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ThisWorkbook"/>
  <mc:AlternateContent xmlns:mc="http://schemas.openxmlformats.org/markup-compatibility/2006">
    <mc:Choice Requires="x15">
      <x15ac:absPath xmlns:x15ac="http://schemas.microsoft.com/office/spreadsheetml/2010/11/ac" url="H:\APP\PA\PAForum\Web Publications\FINANCE\Sources and Uses\2025\"/>
    </mc:Choice>
  </mc:AlternateContent>
  <xr:revisionPtr revIDLastSave="0" documentId="13_ncr:1_{C15FCF0D-877B-4413-B725-01F9BC3ABE1F}" xr6:coauthVersionLast="47" xr6:coauthVersionMax="47" xr10:uidLastSave="{00000000-0000-0000-0000-000000000000}"/>
  <bookViews>
    <workbookView xWindow="-108" yWindow="-108" windowWidth="23256" windowHeight="12456" tabRatio="996" xr2:uid="{00000000-000D-0000-FFFF-FFFF00000000}"/>
  </bookViews>
  <sheets>
    <sheet name="Table of Contents" sheetId="27" r:id="rId1"/>
    <sheet name="Campus Contact Information" sheetId="18" r:id="rId2"/>
    <sheet name="Research Guidance" sheetId="26" r:id="rId3"/>
    <sheet name="Research (by Institution)" sheetId="8" r:id="rId4"/>
    <sheet name="Summary (by System)" sheetId="10" r:id="rId5"/>
    <sheet name="Summary (by Institution Type)" sheetId="17" r:id="rId6"/>
    <sheet name="Almanac" sheetId="12" r:id="rId7"/>
    <sheet name="Source of Funds" sheetId="15" r:id="rId8"/>
    <sheet name="Academic Space Model" sheetId="4" r:id="rId9"/>
    <sheet name="FTSE | FTFE" sheetId="24" r:id="rId10"/>
    <sheet name="Hidden" sheetId="13" state="veryHidden" r:id="rId11"/>
    <sheet name="Input" sheetId="1" state="veryHidden" r:id="rId12"/>
  </sheets>
  <definedNames>
    <definedName name="_xlnm._FilterDatabase" localSheetId="1" hidden="1">'Campus Contact Information'!$H$1:$N$87</definedName>
    <definedName name="_xlnm._FilterDatabase" localSheetId="10" hidden="1">Hidden!$A$1:$C$81</definedName>
    <definedName name="_Order1" hidden="1">255</definedName>
    <definedName name="_Order2" hidden="1">255</definedName>
    <definedName name="_Sort" hidden="1">#REF!</definedName>
    <definedName name="Inst_Name_List">Index[Institution Name]</definedName>
    <definedName name="Inst_System">Hidden!$H$3:$J$10</definedName>
    <definedName name="Inst_System_List">Hidden!$H$3:$H$10</definedName>
    <definedName name="Inst_Type">Hidden!$H$14:$J$20</definedName>
    <definedName name="Inst_Type_List">Hidden!$H$14:$H$20</definedName>
    <definedName name="Peer_Groups">Hidden!$H$25:$I$30</definedName>
    <definedName name="Z_1FFC368C_FAAC_4C27_917C_33EB7F20D079_.wvu.PrintTitles" hidden="1">#REF!,#REF!</definedName>
    <definedName name="Z_390E69FE_30BF_46A8_BB03_D0C9901EA0FB_.wvu.PrintTitles" hidden="1">#REF!,#REF!</definedName>
    <definedName name="Z_4AC09102_7151_4BC1_97EC_C57915589D6D_.wvu.PrintTitles" hidden="1">#REF!,#REF!</definedName>
    <definedName name="Z_59C042EE_7BE0_46D7_83D3_48C0860AA9B7_.wvu.PrintTitles" hidden="1">#REF!,#REF!</definedName>
    <definedName name="Z_5DB122DC_76B1_4E56_B2C5_DC5B34D3FE31_.wvu.PrintTitles" hidden="1">#REF!,#REF!</definedName>
    <definedName name="Z_7E968537_F35A_46C0_AAAE_B8F2523DE409_.wvu.PrintTitles" hidden="1">#REF!,#REF!</definedName>
    <definedName name="Z_999D944D_85B2_4CAE_97DA_DC2EB4BF0AB0_.wvu.PrintTitles" hidden="1">#REF!,#REF!</definedName>
    <definedName name="Z_9A9AF875_8B7A_4EA5_9837_BF2AFF98C487_.wvu.PrintTitles" hidden="1">#REF!,#REF!</definedName>
    <definedName name="Z_C63CB8F7_18C4_4A70_94EC_26C8D6B5C80F_.wvu.PrintTitles" hidden="1">#REF!,#REF!</definedName>
    <definedName name="Z_D8EE2E15_379C_4027_9083_08D90932B4E1_.wvu.PrintTitles" hidden="1">#REF!,#REF!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2" i="18" l="1"/>
  <c r="N3" i="18"/>
  <c r="N4" i="18"/>
  <c r="N5" i="18"/>
  <c r="N6" i="18"/>
  <c r="N7" i="18"/>
  <c r="N8" i="18"/>
  <c r="N9" i="18"/>
  <c r="N10" i="18"/>
  <c r="N11" i="18"/>
  <c r="N12" i="18"/>
  <c r="N13" i="18"/>
  <c r="N14" i="18"/>
  <c r="N15" i="18"/>
  <c r="N16" i="18"/>
  <c r="N17" i="18"/>
  <c r="N18" i="18"/>
  <c r="N19" i="18"/>
  <c r="N20" i="18"/>
  <c r="N21" i="18"/>
  <c r="N22" i="18"/>
  <c r="N23" i="18"/>
  <c r="N24" i="18"/>
  <c r="N25" i="18"/>
  <c r="N26" i="18"/>
  <c r="N27" i="18"/>
  <c r="N28" i="18"/>
  <c r="N29" i="18"/>
  <c r="N30" i="18"/>
  <c r="N31" i="18"/>
  <c r="N32" i="18"/>
  <c r="N33" i="18"/>
  <c r="N34" i="18"/>
  <c r="N35" i="18"/>
  <c r="N36" i="18"/>
  <c r="N37" i="18"/>
  <c r="N38" i="18"/>
  <c r="N39" i="18"/>
  <c r="N40" i="18"/>
  <c r="N41" i="18"/>
  <c r="N42" i="18"/>
  <c r="N43" i="18"/>
  <c r="N44" i="18"/>
  <c r="N45" i="18"/>
  <c r="N46" i="18"/>
  <c r="N47" i="18"/>
  <c r="N48" i="18"/>
  <c r="N49" i="18"/>
  <c r="N50" i="18"/>
  <c r="N51" i="18"/>
  <c r="N52" i="18"/>
  <c r="N53" i="18"/>
  <c r="N54" i="18"/>
  <c r="N55" i="18"/>
  <c r="N56" i="18"/>
  <c r="N57" i="18"/>
  <c r="N58" i="18"/>
  <c r="N59" i="18"/>
  <c r="N60" i="18"/>
  <c r="N61" i="18"/>
  <c r="N62" i="18"/>
  <c r="N63" i="18"/>
  <c r="N64" i="18"/>
  <c r="N65" i="18"/>
  <c r="N66" i="18"/>
  <c r="N67" i="18"/>
  <c r="N68" i="18"/>
  <c r="N69" i="18"/>
  <c r="N70" i="18"/>
  <c r="N71" i="18"/>
  <c r="N72" i="18"/>
  <c r="N73" i="18"/>
  <c r="N74" i="18"/>
  <c r="N75" i="18"/>
  <c r="N76" i="18"/>
  <c r="N77" i="18"/>
  <c r="N78" i="18"/>
  <c r="N79" i="18"/>
  <c r="N80" i="18"/>
  <c r="N81" i="18"/>
  <c r="N82" i="18"/>
  <c r="N83" i="18"/>
  <c r="N84" i="18"/>
  <c r="N85" i="18"/>
  <c r="N86" i="18"/>
  <c r="N87" i="18"/>
  <c r="K2" i="18"/>
  <c r="K3" i="18"/>
  <c r="K4" i="18"/>
  <c r="K5" i="18"/>
  <c r="K6" i="18"/>
  <c r="K7" i="18"/>
  <c r="K8" i="18"/>
  <c r="K9" i="18"/>
  <c r="K10" i="18"/>
  <c r="K11" i="18"/>
  <c r="K12" i="18"/>
  <c r="K13" i="18"/>
  <c r="K14" i="18"/>
  <c r="K15" i="18"/>
  <c r="K16" i="18"/>
  <c r="K17" i="18"/>
  <c r="K18" i="18"/>
  <c r="K19" i="18"/>
  <c r="K20" i="18"/>
  <c r="K21" i="18"/>
  <c r="K22" i="18"/>
  <c r="K23" i="18"/>
  <c r="K24" i="18"/>
  <c r="K25" i="18"/>
  <c r="K26" i="18"/>
  <c r="K27" i="18"/>
  <c r="K28" i="18"/>
  <c r="K29" i="18"/>
  <c r="K30" i="18"/>
  <c r="K31" i="18"/>
  <c r="K32" i="18"/>
  <c r="K33" i="18"/>
  <c r="K34" i="18"/>
  <c r="K35" i="18"/>
  <c r="K36" i="18"/>
  <c r="K37" i="18"/>
  <c r="K38" i="18"/>
  <c r="K39" i="18"/>
  <c r="K40" i="18"/>
  <c r="K41" i="18"/>
  <c r="K42" i="18"/>
  <c r="K43" i="18"/>
  <c r="K44" i="18"/>
  <c r="K45" i="18"/>
  <c r="K46" i="18"/>
  <c r="K47" i="18"/>
  <c r="K48" i="18"/>
  <c r="K49" i="18"/>
  <c r="K50" i="18"/>
  <c r="K51" i="18"/>
  <c r="K52" i="18"/>
  <c r="K53" i="18"/>
  <c r="K54" i="18"/>
  <c r="K55" i="18"/>
  <c r="K56" i="18"/>
  <c r="K57" i="18"/>
  <c r="K58" i="18"/>
  <c r="K59" i="18"/>
  <c r="K60" i="18"/>
  <c r="K61" i="18"/>
  <c r="K62" i="18"/>
  <c r="K63" i="18"/>
  <c r="K64" i="18"/>
  <c r="K65" i="18"/>
  <c r="K66" i="18"/>
  <c r="K67" i="18"/>
  <c r="K68" i="18"/>
  <c r="K69" i="18"/>
  <c r="K70" i="18"/>
  <c r="K71" i="18"/>
  <c r="K72" i="18"/>
  <c r="K73" i="18"/>
  <c r="K74" i="18"/>
  <c r="K75" i="18"/>
  <c r="K76" i="18"/>
  <c r="K77" i="18"/>
  <c r="K78" i="18"/>
  <c r="K79" i="18"/>
  <c r="K80" i="18"/>
  <c r="K81" i="18"/>
  <c r="K82" i="18"/>
  <c r="K83" i="18"/>
  <c r="K84" i="18"/>
  <c r="K85" i="18"/>
  <c r="K86" i="18"/>
  <c r="K87" i="18"/>
  <c r="L2" i="18"/>
  <c r="L3" i="18"/>
  <c r="L4" i="18"/>
  <c r="L5" i="18"/>
  <c r="L6" i="18"/>
  <c r="L7" i="18"/>
  <c r="L8" i="18"/>
  <c r="L9" i="18"/>
  <c r="L10" i="18"/>
  <c r="L11" i="18"/>
  <c r="L12" i="18"/>
  <c r="L13" i="18"/>
  <c r="L14" i="18"/>
  <c r="L15" i="18"/>
  <c r="L16" i="18"/>
  <c r="L17" i="18"/>
  <c r="L18" i="18"/>
  <c r="L19" i="18"/>
  <c r="L20" i="18"/>
  <c r="L21" i="18"/>
  <c r="L22" i="18"/>
  <c r="L23" i="18"/>
  <c r="L24" i="18"/>
  <c r="L25" i="18"/>
  <c r="L26" i="18"/>
  <c r="L27" i="18"/>
  <c r="L28" i="18"/>
  <c r="L29" i="18"/>
  <c r="L30" i="18"/>
  <c r="L31" i="18"/>
  <c r="L32" i="18"/>
  <c r="L33" i="18"/>
  <c r="L34" i="18"/>
  <c r="L35" i="18"/>
  <c r="L36" i="18"/>
  <c r="L37" i="18"/>
  <c r="L38" i="18"/>
  <c r="L39" i="18"/>
  <c r="L40" i="18"/>
  <c r="L41" i="18"/>
  <c r="L42" i="18"/>
  <c r="L43" i="18"/>
  <c r="L44" i="18"/>
  <c r="L45" i="18"/>
  <c r="L46" i="18"/>
  <c r="L47" i="18"/>
  <c r="L48" i="18"/>
  <c r="L49" i="18"/>
  <c r="L50" i="18"/>
  <c r="L51" i="18"/>
  <c r="L52" i="18"/>
  <c r="L53" i="18"/>
  <c r="L54" i="18"/>
  <c r="L55" i="18"/>
  <c r="L56" i="18"/>
  <c r="L57" i="18"/>
  <c r="L58" i="18"/>
  <c r="L59" i="18"/>
  <c r="L60" i="18"/>
  <c r="L61" i="18"/>
  <c r="L62" i="18"/>
  <c r="L63" i="18"/>
  <c r="L64" i="18"/>
  <c r="L65" i="18"/>
  <c r="L66" i="18"/>
  <c r="L67" i="18"/>
  <c r="L68" i="18"/>
  <c r="L69" i="18"/>
  <c r="L70" i="18"/>
  <c r="L71" i="18"/>
  <c r="L72" i="18"/>
  <c r="L73" i="18"/>
  <c r="L74" i="18"/>
  <c r="L75" i="18"/>
  <c r="L76" i="18"/>
  <c r="L77" i="18"/>
  <c r="L78" i="18"/>
  <c r="L79" i="18"/>
  <c r="L80" i="18"/>
  <c r="L81" i="18"/>
  <c r="L82" i="18"/>
  <c r="L83" i="18"/>
  <c r="L84" i="18"/>
  <c r="L85" i="18"/>
  <c r="L86" i="18"/>
  <c r="L87" i="18"/>
  <c r="I2" i="18"/>
  <c r="I3" i="18"/>
  <c r="I4" i="18"/>
  <c r="I5" i="18"/>
  <c r="I6" i="18"/>
  <c r="I7" i="18"/>
  <c r="I8" i="18"/>
  <c r="I9" i="18"/>
  <c r="I10" i="18"/>
  <c r="I11" i="18"/>
  <c r="I12" i="18"/>
  <c r="I13" i="18"/>
  <c r="I14" i="18"/>
  <c r="I15" i="18"/>
  <c r="I16" i="18"/>
  <c r="I17" i="18"/>
  <c r="I18" i="18"/>
  <c r="I19" i="18"/>
  <c r="I20" i="18"/>
  <c r="I21" i="18"/>
  <c r="I22" i="18"/>
  <c r="I23" i="18"/>
  <c r="I24" i="18"/>
  <c r="I25" i="18"/>
  <c r="I26" i="18"/>
  <c r="I27" i="18"/>
  <c r="I28" i="18"/>
  <c r="I29" i="18"/>
  <c r="I30" i="18"/>
  <c r="I31" i="18"/>
  <c r="I32" i="18"/>
  <c r="I33" i="18"/>
  <c r="I34" i="18"/>
  <c r="I35" i="18"/>
  <c r="I36" i="18"/>
  <c r="I37" i="18"/>
  <c r="I38" i="18"/>
  <c r="I39" i="18"/>
  <c r="I40" i="18"/>
  <c r="I41" i="18"/>
  <c r="I42" i="18"/>
  <c r="I43" i="18"/>
  <c r="I44" i="18"/>
  <c r="I45" i="18"/>
  <c r="I46" i="18"/>
  <c r="I47" i="18"/>
  <c r="I48" i="18"/>
  <c r="I49" i="18"/>
  <c r="I50" i="18"/>
  <c r="I51" i="18"/>
  <c r="I52" i="18"/>
  <c r="I53" i="18"/>
  <c r="I54" i="18"/>
  <c r="I55" i="18"/>
  <c r="I56" i="18"/>
  <c r="I57" i="18"/>
  <c r="I58" i="18"/>
  <c r="I59" i="18"/>
  <c r="I60" i="18"/>
  <c r="I61" i="18"/>
  <c r="I62" i="18"/>
  <c r="I63" i="18"/>
  <c r="I64" i="18"/>
  <c r="I65" i="18"/>
  <c r="I66" i="18"/>
  <c r="I67" i="18"/>
  <c r="I68" i="18"/>
  <c r="I69" i="18"/>
  <c r="I70" i="18"/>
  <c r="I71" i="18"/>
  <c r="I72" i="18"/>
  <c r="I73" i="18"/>
  <c r="I74" i="18"/>
  <c r="I75" i="18"/>
  <c r="I76" i="18"/>
  <c r="I77" i="18"/>
  <c r="I78" i="18"/>
  <c r="I79" i="18"/>
  <c r="I80" i="18"/>
  <c r="I81" i="18"/>
  <c r="I82" i="18"/>
  <c r="I83" i="18"/>
  <c r="I84" i="18"/>
  <c r="I85" i="18"/>
  <c r="I86" i="18"/>
  <c r="I87" i="18"/>
  <c r="M2" i="18"/>
  <c r="M3" i="18"/>
  <c r="M4" i="18"/>
  <c r="M5" i="18"/>
  <c r="M6" i="18"/>
  <c r="M7" i="18"/>
  <c r="M8" i="18"/>
  <c r="M9" i="18"/>
  <c r="M10" i="18"/>
  <c r="M11" i="18"/>
  <c r="M12" i="18"/>
  <c r="M13" i="18"/>
  <c r="M14" i="18"/>
  <c r="M15" i="18"/>
  <c r="M16" i="18"/>
  <c r="M17" i="18"/>
  <c r="M18" i="18"/>
  <c r="M19" i="18"/>
  <c r="M20" i="18"/>
  <c r="M21" i="18"/>
  <c r="M22" i="18"/>
  <c r="M23" i="18"/>
  <c r="M24" i="18"/>
  <c r="M25" i="18"/>
  <c r="M26" i="18"/>
  <c r="M27" i="18"/>
  <c r="M28" i="18"/>
  <c r="M29" i="18"/>
  <c r="M30" i="18"/>
  <c r="M31" i="18"/>
  <c r="M32" i="18"/>
  <c r="M33" i="18"/>
  <c r="M34" i="18"/>
  <c r="M35" i="18"/>
  <c r="M36" i="18"/>
  <c r="M37" i="18"/>
  <c r="M38" i="18"/>
  <c r="M39" i="18"/>
  <c r="M40" i="18"/>
  <c r="M41" i="18"/>
  <c r="M42" i="18"/>
  <c r="M43" i="18"/>
  <c r="M44" i="18"/>
  <c r="M45" i="18"/>
  <c r="M46" i="18"/>
  <c r="M47" i="18"/>
  <c r="M48" i="18"/>
  <c r="M49" i="18"/>
  <c r="M50" i="18"/>
  <c r="M51" i="18"/>
  <c r="M52" i="18"/>
  <c r="M53" i="18"/>
  <c r="M54" i="18"/>
  <c r="M55" i="18"/>
  <c r="M56" i="18"/>
  <c r="M57" i="18"/>
  <c r="M58" i="18"/>
  <c r="M59" i="18"/>
  <c r="M60" i="18"/>
  <c r="M61" i="18"/>
  <c r="M62" i="18"/>
  <c r="M63" i="18"/>
  <c r="M64" i="18"/>
  <c r="M65" i="18"/>
  <c r="M66" i="18"/>
  <c r="M67" i="18"/>
  <c r="M68" i="18"/>
  <c r="M69" i="18"/>
  <c r="M70" i="18"/>
  <c r="M71" i="18"/>
  <c r="M72" i="18"/>
  <c r="M73" i="18"/>
  <c r="M74" i="18"/>
  <c r="M75" i="18"/>
  <c r="M76" i="18"/>
  <c r="M77" i="18"/>
  <c r="M78" i="18"/>
  <c r="M79" i="18"/>
  <c r="M80" i="18"/>
  <c r="M81" i="18"/>
  <c r="M82" i="18"/>
  <c r="M83" i="18"/>
  <c r="M84" i="18"/>
  <c r="M85" i="18"/>
  <c r="M86" i="18"/>
  <c r="M87" i="18"/>
  <c r="J2" i="18"/>
  <c r="J3" i="18"/>
  <c r="J4" i="18"/>
  <c r="J5" i="18"/>
  <c r="J6" i="18"/>
  <c r="J7" i="18"/>
  <c r="J8" i="18"/>
  <c r="J9" i="18"/>
  <c r="J10" i="18"/>
  <c r="J11" i="18"/>
  <c r="J12" i="18"/>
  <c r="J13" i="18"/>
  <c r="J14" i="18"/>
  <c r="J15" i="18"/>
  <c r="J16" i="18"/>
  <c r="J17" i="18"/>
  <c r="J18" i="18"/>
  <c r="J19" i="18"/>
  <c r="J20" i="18"/>
  <c r="J21" i="18"/>
  <c r="J22" i="18"/>
  <c r="J23" i="18"/>
  <c r="J24" i="18"/>
  <c r="J25" i="18"/>
  <c r="J26" i="18"/>
  <c r="J27" i="18"/>
  <c r="J28" i="18"/>
  <c r="J29" i="18"/>
  <c r="J30" i="18"/>
  <c r="J31" i="18"/>
  <c r="J32" i="18"/>
  <c r="J33" i="18"/>
  <c r="J34" i="18"/>
  <c r="J35" i="18"/>
  <c r="J36" i="18"/>
  <c r="J37" i="18"/>
  <c r="J38" i="18"/>
  <c r="J39" i="18"/>
  <c r="J40" i="18"/>
  <c r="J41" i="18"/>
  <c r="J42" i="18"/>
  <c r="J43" i="18"/>
  <c r="J44" i="18"/>
  <c r="J45" i="18"/>
  <c r="J46" i="18"/>
  <c r="J47" i="18"/>
  <c r="J48" i="18"/>
  <c r="J49" i="18"/>
  <c r="J50" i="18"/>
  <c r="J51" i="18"/>
  <c r="J52" i="18"/>
  <c r="J53" i="18"/>
  <c r="J54" i="18"/>
  <c r="J55" i="18"/>
  <c r="J56" i="18"/>
  <c r="J57" i="18"/>
  <c r="J58" i="18"/>
  <c r="J59" i="18"/>
  <c r="J60" i="18"/>
  <c r="J61" i="18"/>
  <c r="J62" i="18"/>
  <c r="J63" i="18"/>
  <c r="J64" i="18"/>
  <c r="J65" i="18"/>
  <c r="J66" i="18"/>
  <c r="J67" i="18"/>
  <c r="J68" i="18"/>
  <c r="J69" i="18"/>
  <c r="J70" i="18"/>
  <c r="J71" i="18"/>
  <c r="J72" i="18"/>
  <c r="J73" i="18"/>
  <c r="J74" i="18"/>
  <c r="J75" i="18"/>
  <c r="J76" i="18"/>
  <c r="J77" i="18"/>
  <c r="J78" i="18"/>
  <c r="J79" i="18"/>
  <c r="J80" i="18"/>
  <c r="J81" i="18"/>
  <c r="J82" i="18"/>
  <c r="J83" i="18"/>
  <c r="J84" i="18"/>
  <c r="J85" i="18"/>
  <c r="J86" i="18"/>
  <c r="J87" i="18"/>
  <c r="H2" i="17"/>
  <c r="H2" i="10"/>
  <c r="H2" i="8"/>
  <c r="X1" i="17"/>
  <c r="GP3" i="1" a="1"/>
  <c r="GP3" i="1" s="1"/>
  <c r="GP4" i="1" a="1"/>
  <c r="GP4" i="1" s="1"/>
  <c r="GP5" i="1" a="1"/>
  <c r="GP5" i="1" s="1"/>
  <c r="GP6" i="1" a="1"/>
  <c r="GP6" i="1" s="1"/>
  <c r="GP7" i="1" a="1"/>
  <c r="GP7" i="1" s="1"/>
  <c r="GP8" i="1" a="1"/>
  <c r="GP8" i="1" s="1"/>
  <c r="GP9" i="1" a="1"/>
  <c r="GP9" i="1" s="1"/>
  <c r="GP10" i="1" a="1"/>
  <c r="GP10" i="1" s="1"/>
  <c r="GP11" i="1" a="1"/>
  <c r="GP11" i="1" s="1"/>
  <c r="GP12" i="1" a="1"/>
  <c r="GP12" i="1" s="1"/>
  <c r="GP13" i="1" a="1"/>
  <c r="GP13" i="1" s="1"/>
  <c r="GP14" i="1" a="1"/>
  <c r="GP14" i="1" s="1"/>
  <c r="GP15" i="1" a="1"/>
  <c r="GP15" i="1" s="1"/>
  <c r="GP16" i="1" a="1"/>
  <c r="GP16" i="1" s="1"/>
  <c r="GP17" i="1" a="1"/>
  <c r="GP17" i="1" s="1"/>
  <c r="GP18" i="1" a="1"/>
  <c r="GP18" i="1" s="1"/>
  <c r="GP19" i="1" a="1"/>
  <c r="GP19" i="1" s="1"/>
  <c r="GP20" i="1" a="1"/>
  <c r="GP20" i="1" s="1"/>
  <c r="GP21" i="1" a="1"/>
  <c r="GP21" i="1" s="1"/>
  <c r="GP22" i="1" a="1"/>
  <c r="GP22" i="1" s="1"/>
  <c r="GP23" i="1" a="1"/>
  <c r="GP23" i="1" s="1"/>
  <c r="GP24" i="1" a="1"/>
  <c r="GP24" i="1" s="1"/>
  <c r="GP25" i="1" a="1"/>
  <c r="GP25" i="1" s="1"/>
  <c r="GP26" i="1" a="1"/>
  <c r="GP26" i="1" s="1"/>
  <c r="GP27" i="1" a="1"/>
  <c r="GP27" i="1" s="1"/>
  <c r="GP28" i="1" a="1"/>
  <c r="GP28" i="1" s="1"/>
  <c r="GP29" i="1" a="1"/>
  <c r="GP29" i="1" s="1"/>
  <c r="GP30" i="1" a="1"/>
  <c r="GP30" i="1" s="1"/>
  <c r="GP31" i="1" a="1"/>
  <c r="GP31" i="1" s="1"/>
  <c r="GP32" i="1" a="1"/>
  <c r="GP32" i="1" s="1"/>
  <c r="GP33" i="1" a="1"/>
  <c r="GP33" i="1" s="1"/>
  <c r="GP34" i="1" a="1"/>
  <c r="GP34" i="1" s="1"/>
  <c r="GP35" i="1" a="1"/>
  <c r="GP35" i="1" s="1"/>
  <c r="GP36" i="1" a="1"/>
  <c r="GP36" i="1" s="1"/>
  <c r="GP37" i="1" a="1"/>
  <c r="GP37" i="1" s="1"/>
  <c r="GP38" i="1" a="1"/>
  <c r="GP38" i="1" s="1"/>
  <c r="GP39" i="1" a="1"/>
  <c r="GP39" i="1" s="1"/>
  <c r="GP40" i="1" a="1"/>
  <c r="GP40" i="1" s="1"/>
  <c r="GP41" i="1" a="1"/>
  <c r="GP41" i="1" s="1"/>
  <c r="GP42" i="1" a="1"/>
  <c r="GP42" i="1" s="1"/>
  <c r="GP43" i="1" a="1"/>
  <c r="GP43" i="1" s="1"/>
  <c r="GP44" i="1" a="1"/>
  <c r="GP44" i="1" s="1"/>
  <c r="GP45" i="1" a="1"/>
  <c r="GP45" i="1" s="1"/>
  <c r="GP46" i="1" a="1"/>
  <c r="GP46" i="1" s="1"/>
  <c r="GP47" i="1" a="1"/>
  <c r="GP47" i="1" s="1"/>
  <c r="GP48" i="1" a="1"/>
  <c r="GP48" i="1" s="1"/>
  <c r="GP49" i="1" a="1"/>
  <c r="GP49" i="1" s="1"/>
  <c r="GP50" i="1" a="1"/>
  <c r="GP50" i="1" s="1"/>
  <c r="GP51" i="1" a="1"/>
  <c r="GP51" i="1" s="1"/>
  <c r="GP52" i="1" a="1"/>
  <c r="GP52" i="1" s="1"/>
  <c r="GP53" i="1" a="1"/>
  <c r="GP53" i="1" s="1"/>
  <c r="GP54" i="1" a="1"/>
  <c r="GP54" i="1" s="1"/>
  <c r="GP55" i="1" a="1"/>
  <c r="GP55" i="1" s="1"/>
  <c r="GP56" i="1" a="1"/>
  <c r="GP56" i="1" s="1"/>
  <c r="GP57" i="1" a="1"/>
  <c r="GP57" i="1" s="1"/>
  <c r="GP58" i="1" a="1"/>
  <c r="GP58" i="1" s="1"/>
  <c r="GP59" i="1" a="1"/>
  <c r="GP59" i="1" s="1"/>
  <c r="GP60" i="1" a="1"/>
  <c r="GP60" i="1" s="1"/>
  <c r="GP61" i="1" a="1"/>
  <c r="GP61" i="1" s="1"/>
  <c r="GP62" i="1" a="1"/>
  <c r="GP62" i="1" s="1"/>
  <c r="GP63" i="1" a="1"/>
  <c r="GP63" i="1" s="1"/>
  <c r="GP64" i="1" a="1"/>
  <c r="GP64" i="1" s="1"/>
  <c r="GP65" i="1" a="1"/>
  <c r="GP65" i="1" s="1"/>
  <c r="GP66" i="1" a="1"/>
  <c r="GP66" i="1" s="1"/>
  <c r="GP67" i="1" a="1"/>
  <c r="GP67" i="1" s="1"/>
  <c r="GP68" i="1" a="1"/>
  <c r="GP68" i="1" s="1"/>
  <c r="GP69" i="1" a="1"/>
  <c r="GP69" i="1" s="1"/>
  <c r="GP70" i="1" a="1"/>
  <c r="GP70" i="1" s="1"/>
  <c r="GP71" i="1" a="1"/>
  <c r="GP71" i="1" s="1"/>
  <c r="GP72" i="1" a="1"/>
  <c r="GP72" i="1" s="1"/>
  <c r="GP73" i="1" a="1"/>
  <c r="GP73" i="1" s="1"/>
  <c r="GP74" i="1" a="1"/>
  <c r="GP74" i="1" s="1"/>
  <c r="GP75" i="1" a="1"/>
  <c r="GP75" i="1" s="1"/>
  <c r="GP76" i="1" a="1"/>
  <c r="GP76" i="1" s="1"/>
  <c r="GP77" i="1" a="1"/>
  <c r="GP77" i="1" s="1"/>
  <c r="GP78" i="1" a="1"/>
  <c r="GP78" i="1" s="1"/>
  <c r="GP79" i="1" a="1"/>
  <c r="GP79" i="1" s="1"/>
  <c r="GP80" i="1" a="1"/>
  <c r="GP80" i="1" s="1"/>
  <c r="GP81" i="1" a="1"/>
  <c r="GP81" i="1" s="1"/>
  <c r="GP82" i="1" a="1"/>
  <c r="GP82" i="1" s="1"/>
  <c r="GP83" i="1" a="1"/>
  <c r="GP83" i="1" s="1"/>
  <c r="GP84" i="1" a="1"/>
  <c r="GP84" i="1" s="1"/>
  <c r="GP85" i="1" a="1"/>
  <c r="GP85" i="1" s="1"/>
  <c r="GP86" i="1" a="1"/>
  <c r="GP86" i="1" s="1"/>
  <c r="GP87" i="1" a="1"/>
  <c r="GP87" i="1" s="1"/>
  <c r="GP88" i="1" a="1"/>
  <c r="GP88" i="1" s="1"/>
  <c r="GP89" i="1" a="1"/>
  <c r="GP89" i="1" s="1"/>
  <c r="GP90" i="1" a="1"/>
  <c r="GP90" i="1" s="1"/>
  <c r="GP91" i="1" a="1"/>
  <c r="GP91" i="1" s="1"/>
  <c r="GP92" i="1" a="1"/>
  <c r="GP92" i="1" s="1"/>
  <c r="GP93" i="1" a="1"/>
  <c r="GP93" i="1" s="1"/>
  <c r="GP94" i="1" a="1"/>
  <c r="GP94" i="1" s="1"/>
  <c r="GP95" i="1" a="1"/>
  <c r="GP95" i="1" s="1"/>
  <c r="GP2" i="1" a="1"/>
  <c r="GP2" i="1" s="1"/>
  <c r="GO3" i="1" a="1"/>
  <c r="GO3" i="1" s="1"/>
  <c r="GO4" i="1" a="1"/>
  <c r="GO4" i="1" s="1"/>
  <c r="GO5" i="1" a="1"/>
  <c r="GO5" i="1" s="1"/>
  <c r="GO6" i="1" a="1"/>
  <c r="GO6" i="1" s="1"/>
  <c r="GO7" i="1" a="1"/>
  <c r="GO7" i="1" s="1"/>
  <c r="GO8" i="1" a="1"/>
  <c r="GO8" i="1" s="1"/>
  <c r="GO9" i="1" a="1"/>
  <c r="GO9" i="1" s="1"/>
  <c r="GO10" i="1" a="1"/>
  <c r="GO10" i="1" s="1"/>
  <c r="GO11" i="1" a="1"/>
  <c r="GO11" i="1" s="1"/>
  <c r="GO12" i="1" a="1"/>
  <c r="GO12" i="1" s="1"/>
  <c r="GO13" i="1" a="1"/>
  <c r="GO13" i="1" s="1"/>
  <c r="GO14" i="1" a="1"/>
  <c r="GO14" i="1" s="1"/>
  <c r="GO15" i="1" a="1"/>
  <c r="GO15" i="1" s="1"/>
  <c r="GO16" i="1" a="1"/>
  <c r="GO16" i="1" s="1"/>
  <c r="GO17" i="1" a="1"/>
  <c r="GO17" i="1" s="1"/>
  <c r="GO18" i="1" a="1"/>
  <c r="GO18" i="1" s="1"/>
  <c r="GO19" i="1" a="1"/>
  <c r="GO19" i="1" s="1"/>
  <c r="GO20" i="1" a="1"/>
  <c r="GO20" i="1" s="1"/>
  <c r="GO21" i="1" a="1"/>
  <c r="GO21" i="1" s="1"/>
  <c r="GO22" i="1" a="1"/>
  <c r="GO22" i="1" s="1"/>
  <c r="GO23" i="1" a="1"/>
  <c r="GO23" i="1" s="1"/>
  <c r="GO24" i="1" a="1"/>
  <c r="GO24" i="1" s="1"/>
  <c r="GO25" i="1" a="1"/>
  <c r="GO25" i="1" s="1"/>
  <c r="GO26" i="1" a="1"/>
  <c r="GO26" i="1" s="1"/>
  <c r="GO27" i="1" a="1"/>
  <c r="GO27" i="1" s="1"/>
  <c r="GO28" i="1" a="1"/>
  <c r="GO28" i="1" s="1"/>
  <c r="GO29" i="1" a="1"/>
  <c r="GO29" i="1" s="1"/>
  <c r="GO30" i="1" a="1"/>
  <c r="GO30" i="1" s="1"/>
  <c r="GO31" i="1" a="1"/>
  <c r="GO31" i="1" s="1"/>
  <c r="GO32" i="1" a="1"/>
  <c r="GO32" i="1" s="1"/>
  <c r="GO33" i="1" a="1"/>
  <c r="GO33" i="1" s="1"/>
  <c r="GO34" i="1" a="1"/>
  <c r="GO34" i="1" s="1"/>
  <c r="GO35" i="1" a="1"/>
  <c r="GO35" i="1" s="1"/>
  <c r="GO36" i="1" a="1"/>
  <c r="GO36" i="1" s="1"/>
  <c r="GO37" i="1" a="1"/>
  <c r="GO37" i="1" s="1"/>
  <c r="GO38" i="1" a="1"/>
  <c r="GO38" i="1" s="1"/>
  <c r="GO39" i="1" a="1"/>
  <c r="GO39" i="1" s="1"/>
  <c r="GO40" i="1" a="1"/>
  <c r="GO40" i="1" s="1"/>
  <c r="GO41" i="1" a="1"/>
  <c r="GO41" i="1" s="1"/>
  <c r="GO42" i="1" a="1"/>
  <c r="GO42" i="1" s="1"/>
  <c r="GO43" i="1" a="1"/>
  <c r="GO43" i="1" s="1"/>
  <c r="GO44" i="1" a="1"/>
  <c r="GO44" i="1" s="1"/>
  <c r="GO45" i="1" a="1"/>
  <c r="GO45" i="1" s="1"/>
  <c r="GO46" i="1" a="1"/>
  <c r="GO46" i="1" s="1"/>
  <c r="GO47" i="1" a="1"/>
  <c r="GO47" i="1" s="1"/>
  <c r="GO48" i="1" a="1"/>
  <c r="GO48" i="1" s="1"/>
  <c r="GO49" i="1" a="1"/>
  <c r="GO49" i="1" s="1"/>
  <c r="GO50" i="1" a="1"/>
  <c r="GO50" i="1" s="1"/>
  <c r="GO51" i="1" a="1"/>
  <c r="GO51" i="1" s="1"/>
  <c r="GO52" i="1" a="1"/>
  <c r="GO52" i="1" s="1"/>
  <c r="GO53" i="1" a="1"/>
  <c r="GO53" i="1" s="1"/>
  <c r="GO54" i="1" a="1"/>
  <c r="GO54" i="1" s="1"/>
  <c r="GO55" i="1" a="1"/>
  <c r="GO55" i="1" s="1"/>
  <c r="GO56" i="1" a="1"/>
  <c r="GO56" i="1" s="1"/>
  <c r="GO57" i="1" a="1"/>
  <c r="GO57" i="1" s="1"/>
  <c r="GO58" i="1" a="1"/>
  <c r="GO58" i="1" s="1"/>
  <c r="GO59" i="1" a="1"/>
  <c r="GO59" i="1" s="1"/>
  <c r="GO60" i="1" a="1"/>
  <c r="GO60" i="1" s="1"/>
  <c r="GO61" i="1" a="1"/>
  <c r="GO61" i="1" s="1"/>
  <c r="GO62" i="1" a="1"/>
  <c r="GO62" i="1" s="1"/>
  <c r="GO63" i="1" a="1"/>
  <c r="GO63" i="1" s="1"/>
  <c r="GO64" i="1" a="1"/>
  <c r="GO64" i="1" s="1"/>
  <c r="GO65" i="1" a="1"/>
  <c r="GO65" i="1" s="1"/>
  <c r="GO66" i="1" a="1"/>
  <c r="GO66" i="1" s="1"/>
  <c r="GO67" i="1" a="1"/>
  <c r="GO67" i="1" s="1"/>
  <c r="GO68" i="1" a="1"/>
  <c r="GO68" i="1" s="1"/>
  <c r="GO69" i="1" a="1"/>
  <c r="GO69" i="1" s="1"/>
  <c r="GO70" i="1" a="1"/>
  <c r="GO70" i="1" s="1"/>
  <c r="GO71" i="1" a="1"/>
  <c r="GO71" i="1" s="1"/>
  <c r="GO72" i="1" a="1"/>
  <c r="GO72" i="1" s="1"/>
  <c r="GO73" i="1" a="1"/>
  <c r="GO73" i="1" s="1"/>
  <c r="GO74" i="1" a="1"/>
  <c r="GO74" i="1" s="1"/>
  <c r="GO75" i="1" a="1"/>
  <c r="GO75" i="1" s="1"/>
  <c r="GO76" i="1" a="1"/>
  <c r="GO76" i="1" s="1"/>
  <c r="GO77" i="1" a="1"/>
  <c r="GO77" i="1" s="1"/>
  <c r="GO78" i="1" a="1"/>
  <c r="GO78" i="1" s="1"/>
  <c r="GO79" i="1" a="1"/>
  <c r="GO79" i="1" s="1"/>
  <c r="GO80" i="1" a="1"/>
  <c r="GO80" i="1" s="1"/>
  <c r="GO81" i="1" a="1"/>
  <c r="GO81" i="1" s="1"/>
  <c r="GO82" i="1" a="1"/>
  <c r="GO82" i="1" s="1"/>
  <c r="GO83" i="1" a="1"/>
  <c r="GO83" i="1" s="1"/>
  <c r="GO84" i="1" a="1"/>
  <c r="GO84" i="1" s="1"/>
  <c r="GO85" i="1" a="1"/>
  <c r="GO85" i="1" s="1"/>
  <c r="GO86" i="1" a="1"/>
  <c r="GO86" i="1" s="1"/>
  <c r="GO87" i="1" a="1"/>
  <c r="GO87" i="1" s="1"/>
  <c r="GO88" i="1" a="1"/>
  <c r="GO88" i="1" s="1"/>
  <c r="GO89" i="1" a="1"/>
  <c r="GO89" i="1" s="1"/>
  <c r="GO90" i="1" a="1"/>
  <c r="GO90" i="1" s="1"/>
  <c r="GO91" i="1" a="1"/>
  <c r="GO91" i="1" s="1"/>
  <c r="GO92" i="1" a="1"/>
  <c r="GO92" i="1" s="1"/>
  <c r="GO93" i="1" a="1"/>
  <c r="GO93" i="1" s="1"/>
  <c r="GO94" i="1" a="1"/>
  <c r="GO94" i="1" s="1"/>
  <c r="GO95" i="1" a="1"/>
  <c r="GO95" i="1" s="1"/>
  <c r="GO2" i="1" a="1"/>
  <c r="GO2" i="1" s="1"/>
  <c r="Q140" i="24"/>
  <c r="P140" i="24"/>
  <c r="O140" i="24"/>
  <c r="N140" i="24"/>
  <c r="M140" i="24"/>
  <c r="L140" i="24"/>
  <c r="K140" i="24"/>
  <c r="J140" i="24"/>
  <c r="P97" i="24"/>
  <c r="N97" i="24"/>
  <c r="M97" i="24"/>
  <c r="L97" i="24"/>
  <c r="K97" i="24"/>
  <c r="J97" i="24"/>
  <c r="Q78" i="24"/>
  <c r="O77" i="24"/>
  <c r="O76" i="24"/>
  <c r="O75" i="24"/>
  <c r="O74" i="24"/>
  <c r="M74" i="24"/>
  <c r="O73" i="24"/>
  <c r="M73" i="24"/>
  <c r="P72" i="24"/>
  <c r="O72" i="24"/>
  <c r="N72" i="24"/>
  <c r="M72" i="24"/>
  <c r="L72" i="24"/>
  <c r="K72" i="24"/>
  <c r="J72" i="24"/>
  <c r="O71" i="24"/>
  <c r="M71" i="24"/>
  <c r="O70" i="24"/>
  <c r="M70" i="24"/>
  <c r="O69" i="24"/>
  <c r="M69" i="24"/>
  <c r="O68" i="24"/>
  <c r="M68" i="24"/>
  <c r="P67" i="24"/>
  <c r="O67" i="24"/>
  <c r="N67" i="24"/>
  <c r="M67" i="24"/>
  <c r="L67" i="24"/>
  <c r="K67" i="24"/>
  <c r="J67" i="24"/>
  <c r="O66" i="24"/>
  <c r="M66" i="24"/>
  <c r="O65" i="24"/>
  <c r="M65" i="24"/>
  <c r="O64" i="24"/>
  <c r="M64" i="24"/>
  <c r="O63" i="24"/>
  <c r="M63" i="24"/>
  <c r="O62" i="24"/>
  <c r="M62" i="24"/>
  <c r="O61" i="24"/>
  <c r="M61" i="24"/>
  <c r="P60" i="24"/>
  <c r="O60" i="24"/>
  <c r="N60" i="24"/>
  <c r="M60" i="24"/>
  <c r="L60" i="24"/>
  <c r="K60" i="24"/>
  <c r="J60" i="24"/>
  <c r="O59" i="24"/>
  <c r="M59" i="24"/>
  <c r="O58" i="24"/>
  <c r="M58" i="24"/>
  <c r="O57" i="24"/>
  <c r="M57" i="24"/>
  <c r="O56" i="24"/>
  <c r="M56" i="24"/>
  <c r="O55" i="24"/>
  <c r="M55" i="24"/>
  <c r="O54" i="24"/>
  <c r="M54" i="24"/>
  <c r="P53" i="24"/>
  <c r="O53" i="24"/>
  <c r="N53" i="24"/>
  <c r="M53" i="24"/>
  <c r="L53" i="24"/>
  <c r="K53" i="24"/>
  <c r="J53" i="24"/>
  <c r="O52" i="24"/>
  <c r="O51" i="24"/>
  <c r="O50" i="24"/>
  <c r="O49" i="24"/>
  <c r="M49" i="24"/>
  <c r="O48" i="24"/>
  <c r="M48" i="24"/>
  <c r="O47" i="24"/>
  <c r="M47" i="24"/>
  <c r="O46" i="24"/>
  <c r="M46" i="24"/>
  <c r="O45" i="24"/>
  <c r="M45" i="24"/>
  <c r="P44" i="24"/>
  <c r="O44" i="24"/>
  <c r="N44" i="24"/>
  <c r="M44" i="24"/>
  <c r="L44" i="24"/>
  <c r="K44" i="24"/>
  <c r="J44" i="24"/>
  <c r="O43" i="24"/>
  <c r="M43" i="24"/>
  <c r="O42" i="24"/>
  <c r="M42" i="24"/>
  <c r="O41" i="24"/>
  <c r="M41" i="24"/>
  <c r="P40" i="24"/>
  <c r="O40" i="24"/>
  <c r="N40" i="24"/>
  <c r="M40" i="24"/>
  <c r="L40" i="24"/>
  <c r="K40" i="24"/>
  <c r="J40" i="24"/>
  <c r="O39" i="24"/>
  <c r="M39" i="24"/>
  <c r="O38" i="24"/>
  <c r="M38" i="24"/>
  <c r="O37" i="24"/>
  <c r="M37" i="24"/>
  <c r="O36" i="24"/>
  <c r="M36" i="24"/>
  <c r="O35" i="24"/>
  <c r="M35" i="24"/>
  <c r="O34" i="24"/>
  <c r="M34" i="24"/>
  <c r="O33" i="24"/>
  <c r="M33" i="24"/>
  <c r="O32" i="24"/>
  <c r="O29" i="24" s="1"/>
  <c r="M32" i="24"/>
  <c r="O31" i="24"/>
  <c r="M31" i="24"/>
  <c r="O30" i="24"/>
  <c r="M30" i="24"/>
  <c r="P29" i="24"/>
  <c r="N29" i="24"/>
  <c r="M29" i="24"/>
  <c r="L29" i="24"/>
  <c r="K29" i="24"/>
  <c r="J29" i="24"/>
  <c r="O28" i="24"/>
  <c r="M28" i="24"/>
  <c r="O27" i="24"/>
  <c r="M27" i="24"/>
  <c r="O26" i="24"/>
  <c r="M26" i="24"/>
  <c r="O25" i="24"/>
  <c r="M25" i="24"/>
  <c r="O24" i="24"/>
  <c r="M24" i="24"/>
  <c r="O23" i="24"/>
  <c r="M23" i="24"/>
  <c r="O22" i="24"/>
  <c r="O19" i="24" s="1"/>
  <c r="M22" i="24"/>
  <c r="M19" i="24" s="1"/>
  <c r="O21" i="24"/>
  <c r="M21" i="24"/>
  <c r="O20" i="24"/>
  <c r="M20" i="24"/>
  <c r="P19" i="24"/>
  <c r="N19" i="24"/>
  <c r="L19" i="24"/>
  <c r="K19" i="24"/>
  <c r="J19" i="24"/>
  <c r="O18" i="24"/>
  <c r="M18" i="24"/>
  <c r="O17" i="24"/>
  <c r="M17" i="24"/>
  <c r="O16" i="24"/>
  <c r="O15" i="24"/>
  <c r="O14" i="24"/>
  <c r="P13" i="24"/>
  <c r="O13" i="24"/>
  <c r="N13" i="24"/>
  <c r="M13" i="24"/>
  <c r="L13" i="24"/>
  <c r="K13" i="24"/>
  <c r="J13" i="24"/>
  <c r="O12" i="24"/>
  <c r="M12" i="24"/>
  <c r="O11" i="24"/>
  <c r="M11" i="24"/>
  <c r="O10" i="24"/>
  <c r="M10" i="24"/>
  <c r="O9" i="24"/>
  <c r="M9" i="24"/>
  <c r="P8" i="24"/>
  <c r="P78" i="24" s="1"/>
  <c r="O8" i="24"/>
  <c r="O78" i="24" s="1"/>
  <c r="N8" i="24"/>
  <c r="N78" i="24" s="1"/>
  <c r="M8" i="24"/>
  <c r="M78" i="24" s="1"/>
  <c r="L8" i="24"/>
  <c r="L78" i="24" s="1"/>
  <c r="K8" i="24"/>
  <c r="K78" i="24" s="1"/>
  <c r="J8" i="24"/>
  <c r="X1" i="10" l="1"/>
  <c r="AN22" i="10" s="1"/>
  <c r="AN21" i="17"/>
  <c r="AM46" i="8"/>
  <c r="AJ46" i="8"/>
  <c r="AG46" i="8"/>
  <c r="AD46" i="8"/>
  <c r="AA46" i="8"/>
  <c r="X46" i="8"/>
  <c r="U46" i="8"/>
  <c r="R46" i="8"/>
  <c r="R41" i="8"/>
  <c r="U41" i="8"/>
  <c r="X41" i="8"/>
  <c r="AA41" i="8"/>
  <c r="AN17" i="10" l="1"/>
  <c r="AE18" i="10"/>
  <c r="S17" i="10"/>
  <c r="V17" i="10"/>
  <c r="AU9" i="10" a="1"/>
  <c r="AU9" i="10" s="1"/>
  <c r="AH18" i="10"/>
  <c r="AB13" i="10"/>
  <c r="AB19" i="10"/>
  <c r="S14" i="10"/>
  <c r="S20" i="10"/>
  <c r="V14" i="10"/>
  <c r="V20" i="10"/>
  <c r="AN14" i="10"/>
  <c r="AN20" i="10"/>
  <c r="AE15" i="10"/>
  <c r="AE21" i="10"/>
  <c r="AH15" i="10"/>
  <c r="AH21" i="10"/>
  <c r="AB16" i="10"/>
  <c r="AB22" i="10"/>
  <c r="Y14" i="10"/>
  <c r="AK15" i="10"/>
  <c r="Y17" i="10"/>
  <c r="AK18" i="10"/>
  <c r="Y20" i="10"/>
  <c r="AK21" i="10"/>
  <c r="AB14" i="10"/>
  <c r="AN15" i="10"/>
  <c r="AB17" i="10"/>
  <c r="AN18" i="10"/>
  <c r="AB20" i="10"/>
  <c r="AN21" i="10"/>
  <c r="S13" i="10"/>
  <c r="AE14" i="10"/>
  <c r="S16" i="10"/>
  <c r="AE17" i="10"/>
  <c r="S19" i="10"/>
  <c r="AE20" i="10"/>
  <c r="S22" i="10"/>
  <c r="V13" i="10"/>
  <c r="AH14" i="10"/>
  <c r="V16" i="10"/>
  <c r="AH17" i="10"/>
  <c r="V19" i="10"/>
  <c r="AH20" i="10"/>
  <c r="V22" i="10"/>
  <c r="Y13" i="10"/>
  <c r="AK14" i="10"/>
  <c r="Y16" i="10"/>
  <c r="AK17" i="10"/>
  <c r="Y19" i="10"/>
  <c r="AK20" i="10"/>
  <c r="Y22" i="10"/>
  <c r="AE13" i="10"/>
  <c r="S15" i="10"/>
  <c r="AE16" i="10"/>
  <c r="S18" i="10"/>
  <c r="AE19" i="10"/>
  <c r="S21" i="10"/>
  <c r="AE22" i="10"/>
  <c r="AH13" i="10"/>
  <c r="V15" i="10"/>
  <c r="AH16" i="10"/>
  <c r="V18" i="10"/>
  <c r="AH19" i="10"/>
  <c r="V21" i="10"/>
  <c r="AH22" i="10"/>
  <c r="AK13" i="10"/>
  <c r="Y15" i="10"/>
  <c r="AK16" i="10"/>
  <c r="Y18" i="10"/>
  <c r="AK19" i="10"/>
  <c r="Y21" i="10"/>
  <c r="AK22" i="10"/>
  <c r="AN13" i="10"/>
  <c r="AB15" i="10"/>
  <c r="AN16" i="10"/>
  <c r="AB18" i="10"/>
  <c r="AN19" i="10"/>
  <c r="AB21" i="10"/>
  <c r="Y16" i="17"/>
  <c r="AK16" i="17"/>
  <c r="Y17" i="17"/>
  <c r="V18" i="17"/>
  <c r="AH18" i="17"/>
  <c r="AE15" i="17"/>
  <c r="AB19" i="17"/>
  <c r="AU9" i="17" a="1"/>
  <c r="AU9" i="17" s="1"/>
  <c r="Y20" i="17"/>
  <c r="AH13" i="17"/>
  <c r="AK20" i="17"/>
  <c r="S14" i="17"/>
  <c r="AN20" i="17"/>
  <c r="V14" i="17"/>
  <c r="Y21" i="17"/>
  <c r="AB15" i="17"/>
  <c r="S22" i="17"/>
  <c r="AH14" i="17"/>
  <c r="AE19" i="17"/>
  <c r="AN16" i="17"/>
  <c r="AH21" i="17"/>
  <c r="AH17" i="17"/>
  <c r="V22" i="17"/>
  <c r="Y13" i="17"/>
  <c r="S18" i="17"/>
  <c r="AH22" i="17"/>
  <c r="Y15" i="17"/>
  <c r="AH16" i="17"/>
  <c r="Y19" i="17"/>
  <c r="AH20" i="17"/>
  <c r="Y14" i="17"/>
  <c r="AH15" i="17"/>
  <c r="Y18" i="17"/>
  <c r="AH19" i="17"/>
  <c r="Y22" i="17"/>
  <c r="S13" i="17"/>
  <c r="AB14" i="17"/>
  <c r="AK15" i="17"/>
  <c r="S17" i="17"/>
  <c r="AB18" i="17"/>
  <c r="AK19" i="17"/>
  <c r="S21" i="17"/>
  <c r="AB22" i="17"/>
  <c r="V13" i="17"/>
  <c r="AE14" i="17"/>
  <c r="AN15" i="17"/>
  <c r="V17" i="17"/>
  <c r="AE18" i="17"/>
  <c r="AN19" i="17"/>
  <c r="V21" i="17"/>
  <c r="AE22" i="17"/>
  <c r="AB13" i="17"/>
  <c r="AK14" i="17"/>
  <c r="S16" i="17"/>
  <c r="AB17" i="17"/>
  <c r="AK18" i="17"/>
  <c r="S20" i="17"/>
  <c r="AB21" i="17"/>
  <c r="AK22" i="17"/>
  <c r="AE13" i="17"/>
  <c r="AN14" i="17"/>
  <c r="V16" i="17"/>
  <c r="AE17" i="17"/>
  <c r="AN18" i="17"/>
  <c r="V20" i="17"/>
  <c r="AE21" i="17"/>
  <c r="AN22" i="17"/>
  <c r="AK13" i="17"/>
  <c r="S15" i="17"/>
  <c r="AB16" i="17"/>
  <c r="AK17" i="17"/>
  <c r="S19" i="17"/>
  <c r="AB20" i="17"/>
  <c r="AK21" i="17"/>
  <c r="AN13" i="17"/>
  <c r="V15" i="17"/>
  <c r="AE16" i="17"/>
  <c r="AN17" i="17"/>
  <c r="V19" i="17"/>
  <c r="AE20" i="17"/>
  <c r="AP46" i="8"/>
  <c r="Q90" i="15"/>
  <c r="Q89" i="15"/>
  <c r="Q88" i="15"/>
  <c r="Q87" i="15"/>
  <c r="Q86" i="15"/>
  <c r="Q85" i="15"/>
  <c r="Q84" i="15"/>
  <c r="Q83" i="15"/>
  <c r="Q82" i="15"/>
  <c r="Q81" i="15"/>
  <c r="Q69" i="15"/>
  <c r="Q68" i="15"/>
  <c r="Q67" i="15"/>
  <c r="Q66" i="15"/>
  <c r="Q65" i="15"/>
  <c r="Q64" i="15"/>
  <c r="Q63" i="15"/>
  <c r="Q62" i="15"/>
  <c r="Q61" i="15"/>
  <c r="Q60" i="15"/>
  <c r="Q59" i="15"/>
  <c r="Q58" i="15"/>
  <c r="Q57" i="15"/>
  <c r="Q56" i="15"/>
  <c r="Q55" i="15"/>
  <c r="Q54" i="15"/>
  <c r="Q53" i="15"/>
  <c r="Q52" i="15"/>
  <c r="Q51" i="15"/>
  <c r="Q50" i="15"/>
  <c r="Q49" i="15"/>
  <c r="Q48" i="15"/>
  <c r="Q47" i="15"/>
  <c r="Q46" i="15"/>
  <c r="Q45" i="15"/>
  <c r="Q44" i="15"/>
  <c r="Q43" i="15"/>
  <c r="Q42" i="15"/>
  <c r="Q41" i="15"/>
  <c r="Q40" i="15"/>
  <c r="Q39" i="15"/>
  <c r="Q38" i="15"/>
  <c r="Q37" i="15"/>
  <c r="Q36" i="15"/>
  <c r="Q35" i="15"/>
  <c r="Q34" i="15"/>
  <c r="Q12" i="15"/>
  <c r="Q13" i="15"/>
  <c r="Q14" i="15"/>
  <c r="Q15" i="15"/>
  <c r="Q16" i="15"/>
  <c r="Q17" i="15"/>
  <c r="Q18" i="15"/>
  <c r="Q19" i="15"/>
  <c r="Q20" i="15"/>
  <c r="Q21" i="15"/>
  <c r="Q22" i="15"/>
  <c r="Q23" i="15"/>
  <c r="Q24" i="15"/>
  <c r="Q11" i="15"/>
  <c r="AK23" i="17" l="1"/>
  <c r="AQ22" i="17"/>
  <c r="AQ15" i="17"/>
  <c r="AQ20" i="17"/>
  <c r="AQ18" i="17"/>
  <c r="AH23" i="17"/>
  <c r="Y23" i="17"/>
  <c r="AQ21" i="17"/>
  <c r="AQ16" i="17"/>
  <c r="AB23" i="17"/>
  <c r="AQ17" i="17"/>
  <c r="V23" i="17"/>
  <c r="AQ14" i="17"/>
  <c r="AQ19" i="17"/>
  <c r="AE23" i="17"/>
  <c r="L28" i="17" s="1"/>
  <c r="S23" i="17"/>
  <c r="L26" i="17" s="1"/>
  <c r="AQ13" i="17"/>
  <c r="AN23" i="17"/>
  <c r="GY2" i="1"/>
  <c r="GY3" i="1"/>
  <c r="GY4" i="1"/>
  <c r="GY5" i="1"/>
  <c r="GY6" i="1"/>
  <c r="GY7" i="1"/>
  <c r="GY8" i="1"/>
  <c r="GY9" i="1"/>
  <c r="GY10" i="1"/>
  <c r="GY11" i="1"/>
  <c r="GY12" i="1"/>
  <c r="GY13" i="1"/>
  <c r="GY14" i="1"/>
  <c r="GY15" i="1"/>
  <c r="GY16" i="1"/>
  <c r="GY17" i="1"/>
  <c r="GY18" i="1"/>
  <c r="GY19" i="1"/>
  <c r="GY20" i="1"/>
  <c r="GY21" i="1"/>
  <c r="GY22" i="1"/>
  <c r="GY23" i="1"/>
  <c r="GY24" i="1"/>
  <c r="GY25" i="1"/>
  <c r="GY26" i="1"/>
  <c r="GY27" i="1"/>
  <c r="GY28" i="1"/>
  <c r="GY29" i="1"/>
  <c r="GY30" i="1"/>
  <c r="GY31" i="1"/>
  <c r="GY32" i="1"/>
  <c r="GY33" i="1"/>
  <c r="GY35" i="1"/>
  <c r="GY36" i="1"/>
  <c r="GY37" i="1"/>
  <c r="GY38" i="1"/>
  <c r="GY39" i="1"/>
  <c r="GY40" i="1"/>
  <c r="GY41" i="1"/>
  <c r="GY42" i="1"/>
  <c r="GY43" i="1"/>
  <c r="GY44" i="1"/>
  <c r="GY45" i="1"/>
  <c r="GY46" i="1"/>
  <c r="GY47" i="1"/>
  <c r="GY48" i="1"/>
  <c r="GY50" i="1"/>
  <c r="GY51" i="1"/>
  <c r="GY52" i="1"/>
  <c r="GY53" i="1"/>
  <c r="GY54" i="1"/>
  <c r="GY55" i="1"/>
  <c r="GY56" i="1"/>
  <c r="GY57" i="1"/>
  <c r="GY58" i="1"/>
  <c r="GY59" i="1"/>
  <c r="GY60" i="1"/>
  <c r="GY61" i="1"/>
  <c r="GY62" i="1"/>
  <c r="GY63" i="1"/>
  <c r="GY64" i="1"/>
  <c r="GY65" i="1"/>
  <c r="GY66" i="1"/>
  <c r="GY67" i="1"/>
  <c r="GY68" i="1"/>
  <c r="GY69" i="1"/>
  <c r="GY70" i="1"/>
  <c r="GY71" i="1"/>
  <c r="GY72" i="1"/>
  <c r="GY73" i="1"/>
  <c r="GY74" i="1"/>
  <c r="GY75" i="1"/>
  <c r="GY76" i="1"/>
  <c r="GY77" i="1"/>
  <c r="GY78" i="1"/>
  <c r="GY79" i="1"/>
  <c r="GY80" i="1"/>
  <c r="GY81" i="1"/>
  <c r="GY82" i="1"/>
  <c r="GY83" i="1"/>
  <c r="GY84" i="1"/>
  <c r="GY85" i="1"/>
  <c r="GY86" i="1"/>
  <c r="GY87" i="1"/>
  <c r="GY88" i="1"/>
  <c r="GY89" i="1"/>
  <c r="GY90" i="1"/>
  <c r="GY91" i="1"/>
  <c r="GY92" i="1"/>
  <c r="GY93" i="1"/>
  <c r="GY94" i="1"/>
  <c r="GY95" i="1"/>
  <c r="GX2" i="1"/>
  <c r="GX3" i="1"/>
  <c r="GX4" i="1"/>
  <c r="GX5" i="1"/>
  <c r="GX6" i="1"/>
  <c r="GX7" i="1"/>
  <c r="GX8" i="1"/>
  <c r="GX9" i="1"/>
  <c r="GX10" i="1"/>
  <c r="GX11" i="1"/>
  <c r="GX12" i="1"/>
  <c r="GX13" i="1"/>
  <c r="GX14" i="1"/>
  <c r="GX15" i="1"/>
  <c r="GX16" i="1"/>
  <c r="GX17" i="1"/>
  <c r="GX18" i="1"/>
  <c r="GX19" i="1"/>
  <c r="GX20" i="1"/>
  <c r="GX21" i="1"/>
  <c r="GX22" i="1"/>
  <c r="GX23" i="1"/>
  <c r="GX24" i="1"/>
  <c r="GX25" i="1"/>
  <c r="GX26" i="1"/>
  <c r="GX27" i="1"/>
  <c r="GX28" i="1"/>
  <c r="GX29" i="1"/>
  <c r="GX30" i="1"/>
  <c r="GX31" i="1"/>
  <c r="GX32" i="1"/>
  <c r="GX33" i="1"/>
  <c r="GX35" i="1"/>
  <c r="GX36" i="1"/>
  <c r="GX37" i="1"/>
  <c r="GX38" i="1"/>
  <c r="GX39" i="1"/>
  <c r="GX40" i="1"/>
  <c r="GX41" i="1"/>
  <c r="GX42" i="1"/>
  <c r="GX43" i="1"/>
  <c r="GX44" i="1"/>
  <c r="GX45" i="1"/>
  <c r="GX46" i="1"/>
  <c r="GX47" i="1"/>
  <c r="GX48" i="1"/>
  <c r="GX50" i="1"/>
  <c r="GX51" i="1"/>
  <c r="GX52" i="1"/>
  <c r="GX53" i="1"/>
  <c r="GX54" i="1"/>
  <c r="GX55" i="1"/>
  <c r="GX56" i="1"/>
  <c r="GX57" i="1"/>
  <c r="GX58" i="1"/>
  <c r="GX59" i="1"/>
  <c r="GX60" i="1"/>
  <c r="GX61" i="1"/>
  <c r="GX62" i="1"/>
  <c r="GX63" i="1"/>
  <c r="GX64" i="1"/>
  <c r="GX65" i="1"/>
  <c r="GX66" i="1"/>
  <c r="GX67" i="1"/>
  <c r="GX68" i="1"/>
  <c r="GX69" i="1"/>
  <c r="GX70" i="1"/>
  <c r="GX71" i="1"/>
  <c r="GX72" i="1"/>
  <c r="GX73" i="1"/>
  <c r="GX74" i="1"/>
  <c r="GX75" i="1"/>
  <c r="GX76" i="1"/>
  <c r="GX77" i="1"/>
  <c r="GX78" i="1"/>
  <c r="GX79" i="1"/>
  <c r="GX80" i="1"/>
  <c r="GX81" i="1"/>
  <c r="GX82" i="1"/>
  <c r="GX83" i="1"/>
  <c r="GX84" i="1"/>
  <c r="GX85" i="1"/>
  <c r="GX86" i="1"/>
  <c r="GX87" i="1"/>
  <c r="GX88" i="1"/>
  <c r="GX89" i="1"/>
  <c r="GX90" i="1"/>
  <c r="GX91" i="1"/>
  <c r="GX92" i="1"/>
  <c r="GX93" i="1"/>
  <c r="GX94" i="1"/>
  <c r="GX95" i="1"/>
  <c r="GW2" i="1"/>
  <c r="GW3" i="1"/>
  <c r="GW4" i="1"/>
  <c r="GW5" i="1"/>
  <c r="GW6" i="1"/>
  <c r="GW7" i="1"/>
  <c r="GW8" i="1"/>
  <c r="GW9" i="1"/>
  <c r="GW10" i="1"/>
  <c r="GW11" i="1"/>
  <c r="GW12" i="1"/>
  <c r="GW13" i="1"/>
  <c r="GW14" i="1"/>
  <c r="GW15" i="1"/>
  <c r="GW16" i="1"/>
  <c r="GW17" i="1"/>
  <c r="GW18" i="1"/>
  <c r="GW19" i="1"/>
  <c r="GW20" i="1"/>
  <c r="GW21" i="1"/>
  <c r="GW22" i="1"/>
  <c r="GW23" i="1"/>
  <c r="GW24" i="1"/>
  <c r="GW25" i="1"/>
  <c r="GW26" i="1"/>
  <c r="GW27" i="1"/>
  <c r="GW28" i="1"/>
  <c r="GW29" i="1"/>
  <c r="GW30" i="1"/>
  <c r="GW31" i="1"/>
  <c r="GW32" i="1"/>
  <c r="GW33" i="1"/>
  <c r="GW35" i="1"/>
  <c r="GW36" i="1"/>
  <c r="GW37" i="1"/>
  <c r="GW38" i="1"/>
  <c r="GW39" i="1"/>
  <c r="GW40" i="1"/>
  <c r="GW41" i="1"/>
  <c r="GW42" i="1"/>
  <c r="GW43" i="1"/>
  <c r="GW44" i="1"/>
  <c r="GW45" i="1"/>
  <c r="GW46" i="1"/>
  <c r="GW47" i="1"/>
  <c r="GW48" i="1"/>
  <c r="GW50" i="1"/>
  <c r="GW51" i="1"/>
  <c r="GW52" i="1"/>
  <c r="GW53" i="1"/>
  <c r="GW54" i="1"/>
  <c r="GW55" i="1"/>
  <c r="GW56" i="1"/>
  <c r="GW57" i="1"/>
  <c r="GW58" i="1"/>
  <c r="GW59" i="1"/>
  <c r="GW60" i="1"/>
  <c r="GW61" i="1"/>
  <c r="GW62" i="1"/>
  <c r="GW63" i="1"/>
  <c r="GW64" i="1"/>
  <c r="GW65" i="1"/>
  <c r="GW66" i="1"/>
  <c r="GW67" i="1"/>
  <c r="GW68" i="1"/>
  <c r="GW69" i="1"/>
  <c r="GW70" i="1"/>
  <c r="GW71" i="1"/>
  <c r="GW72" i="1"/>
  <c r="GW73" i="1"/>
  <c r="GW74" i="1"/>
  <c r="GW75" i="1"/>
  <c r="GW76" i="1"/>
  <c r="GW77" i="1"/>
  <c r="GW78" i="1"/>
  <c r="GW79" i="1"/>
  <c r="GW80" i="1"/>
  <c r="GW81" i="1"/>
  <c r="GW82" i="1"/>
  <c r="GW83" i="1"/>
  <c r="GW84" i="1"/>
  <c r="GW85" i="1"/>
  <c r="GW86" i="1"/>
  <c r="GW87" i="1"/>
  <c r="GW88" i="1"/>
  <c r="GW89" i="1"/>
  <c r="GW90" i="1"/>
  <c r="GW91" i="1"/>
  <c r="GW92" i="1"/>
  <c r="GW93" i="1"/>
  <c r="GW94" i="1"/>
  <c r="GW95" i="1"/>
  <c r="GV2" i="1"/>
  <c r="GV3" i="1"/>
  <c r="GV4" i="1"/>
  <c r="GV5" i="1"/>
  <c r="GV6" i="1"/>
  <c r="GV7" i="1"/>
  <c r="GV8" i="1"/>
  <c r="GV9" i="1"/>
  <c r="GV10" i="1"/>
  <c r="GV11" i="1"/>
  <c r="GV12" i="1"/>
  <c r="GV13" i="1"/>
  <c r="GV14" i="1"/>
  <c r="GV15" i="1"/>
  <c r="GV16" i="1"/>
  <c r="GV17" i="1"/>
  <c r="GV18" i="1"/>
  <c r="GV19" i="1"/>
  <c r="GV20" i="1"/>
  <c r="GV21" i="1"/>
  <c r="GV22" i="1"/>
  <c r="GV23" i="1"/>
  <c r="GV24" i="1"/>
  <c r="GV25" i="1"/>
  <c r="GV26" i="1"/>
  <c r="GV27" i="1"/>
  <c r="GV28" i="1"/>
  <c r="GV29" i="1"/>
  <c r="GV30" i="1"/>
  <c r="GV31" i="1"/>
  <c r="GV32" i="1"/>
  <c r="GV33" i="1"/>
  <c r="GV35" i="1"/>
  <c r="GV36" i="1"/>
  <c r="GV37" i="1"/>
  <c r="GV38" i="1"/>
  <c r="GV39" i="1"/>
  <c r="GV40" i="1"/>
  <c r="GV41" i="1"/>
  <c r="GV42" i="1"/>
  <c r="GV43" i="1"/>
  <c r="GV44" i="1"/>
  <c r="GV45" i="1"/>
  <c r="GV46" i="1"/>
  <c r="GV47" i="1"/>
  <c r="GV48" i="1"/>
  <c r="GV50" i="1"/>
  <c r="GV51" i="1"/>
  <c r="GV52" i="1"/>
  <c r="GV53" i="1"/>
  <c r="GV54" i="1"/>
  <c r="GV55" i="1"/>
  <c r="GV56" i="1"/>
  <c r="GV57" i="1"/>
  <c r="GV58" i="1"/>
  <c r="GV59" i="1"/>
  <c r="GV60" i="1"/>
  <c r="GV61" i="1"/>
  <c r="GV62" i="1"/>
  <c r="GV63" i="1"/>
  <c r="GV64" i="1"/>
  <c r="GV65" i="1"/>
  <c r="GV66" i="1"/>
  <c r="GV67" i="1"/>
  <c r="GV68" i="1"/>
  <c r="GV69" i="1"/>
  <c r="GV70" i="1"/>
  <c r="GV71" i="1"/>
  <c r="GV72" i="1"/>
  <c r="GV73" i="1"/>
  <c r="GV74" i="1"/>
  <c r="GV75" i="1"/>
  <c r="GV76" i="1"/>
  <c r="GV77" i="1"/>
  <c r="GV78" i="1"/>
  <c r="GV79" i="1"/>
  <c r="GV80" i="1"/>
  <c r="GV81" i="1"/>
  <c r="GV82" i="1"/>
  <c r="GV83" i="1"/>
  <c r="GV84" i="1"/>
  <c r="GV85" i="1"/>
  <c r="GV86" i="1"/>
  <c r="GV87" i="1"/>
  <c r="GV88" i="1"/>
  <c r="GV89" i="1"/>
  <c r="GV90" i="1"/>
  <c r="GV91" i="1"/>
  <c r="GV92" i="1"/>
  <c r="GV93" i="1"/>
  <c r="GV94" i="1"/>
  <c r="GV95" i="1"/>
  <c r="GU2" i="1"/>
  <c r="GU3" i="1"/>
  <c r="GU4" i="1"/>
  <c r="GU5" i="1"/>
  <c r="GU6" i="1"/>
  <c r="GU7" i="1"/>
  <c r="GU8" i="1"/>
  <c r="GU9" i="1"/>
  <c r="GU10" i="1"/>
  <c r="GU11" i="1"/>
  <c r="GU12" i="1"/>
  <c r="GU13" i="1"/>
  <c r="GU14" i="1"/>
  <c r="GU15" i="1"/>
  <c r="GU16" i="1"/>
  <c r="GU17" i="1"/>
  <c r="GU18" i="1"/>
  <c r="GU19" i="1"/>
  <c r="GU20" i="1"/>
  <c r="GU21" i="1"/>
  <c r="GU22" i="1"/>
  <c r="GU23" i="1"/>
  <c r="GU24" i="1"/>
  <c r="GU25" i="1"/>
  <c r="GU26" i="1"/>
  <c r="GU27" i="1"/>
  <c r="GU28" i="1"/>
  <c r="GU29" i="1"/>
  <c r="GU30" i="1"/>
  <c r="GU31" i="1"/>
  <c r="GU32" i="1"/>
  <c r="GU33" i="1"/>
  <c r="GU35" i="1"/>
  <c r="GU36" i="1"/>
  <c r="GU37" i="1"/>
  <c r="GU38" i="1"/>
  <c r="GU39" i="1"/>
  <c r="GU40" i="1"/>
  <c r="GU41" i="1"/>
  <c r="GU42" i="1"/>
  <c r="GU43" i="1"/>
  <c r="GU44" i="1"/>
  <c r="GU45" i="1"/>
  <c r="GU46" i="1"/>
  <c r="GU47" i="1"/>
  <c r="GU48" i="1"/>
  <c r="GU50" i="1"/>
  <c r="GU51" i="1"/>
  <c r="GU52" i="1"/>
  <c r="GU53" i="1"/>
  <c r="GU54" i="1"/>
  <c r="GU55" i="1"/>
  <c r="GU56" i="1"/>
  <c r="GU57" i="1"/>
  <c r="GU58" i="1"/>
  <c r="GU59" i="1"/>
  <c r="GU60" i="1"/>
  <c r="GU61" i="1"/>
  <c r="GU62" i="1"/>
  <c r="GU63" i="1"/>
  <c r="GU64" i="1"/>
  <c r="GU65" i="1"/>
  <c r="GU66" i="1"/>
  <c r="GU67" i="1"/>
  <c r="GU68" i="1"/>
  <c r="GU69" i="1"/>
  <c r="GU70" i="1"/>
  <c r="GU71" i="1"/>
  <c r="GU72" i="1"/>
  <c r="GU73" i="1"/>
  <c r="GU74" i="1"/>
  <c r="GU75" i="1"/>
  <c r="GU76" i="1"/>
  <c r="GU77" i="1"/>
  <c r="GU78" i="1"/>
  <c r="GU79" i="1"/>
  <c r="GU80" i="1"/>
  <c r="GU81" i="1"/>
  <c r="GU82" i="1"/>
  <c r="GU83" i="1"/>
  <c r="GU84" i="1"/>
  <c r="GU85" i="1"/>
  <c r="GU86" i="1"/>
  <c r="GU87" i="1"/>
  <c r="GU88" i="1"/>
  <c r="GU89" i="1"/>
  <c r="GU90" i="1"/>
  <c r="GU91" i="1"/>
  <c r="GU92" i="1"/>
  <c r="GU93" i="1"/>
  <c r="GU94" i="1"/>
  <c r="GU95" i="1"/>
  <c r="S29" i="17" l="1" a="1"/>
  <c r="S29" i="17" s="1"/>
  <c r="AD29" i="17" s="1"/>
  <c r="S27" i="17" a="1"/>
  <c r="S27" i="17" s="1"/>
  <c r="AD27" i="17" s="1"/>
  <c r="S26" i="17" a="1"/>
  <c r="S26" i="17" s="1"/>
  <c r="AD26" i="17" s="1"/>
  <c r="S28" i="17" a="1"/>
  <c r="S28" i="17" s="1"/>
  <c r="AD28" i="17" s="1"/>
  <c r="AE21" i="15"/>
  <c r="AE20" i="15"/>
  <c r="AB87" i="15"/>
  <c r="AE18" i="15"/>
  <c r="AB37" i="15"/>
  <c r="AE39" i="15"/>
  <c r="AN50" i="15"/>
  <c r="AB88" i="15"/>
  <c r="AN82" i="15"/>
  <c r="AH45" i="15"/>
  <c r="AB14" i="15"/>
  <c r="AB54" i="15"/>
  <c r="AB53" i="15"/>
  <c r="AN11" i="15"/>
  <c r="AN54" i="15"/>
  <c r="AH64" i="15"/>
  <c r="AB56" i="15"/>
  <c r="AK66" i="15"/>
  <c r="AE58" i="15"/>
  <c r="AB83" i="15"/>
  <c r="AE86" i="15"/>
  <c r="AK44" i="15"/>
  <c r="AB34" i="15"/>
  <c r="AE84" i="15"/>
  <c r="AE36" i="15"/>
  <c r="AH88" i="15"/>
  <c r="AH16" i="15"/>
  <c r="AH58" i="15"/>
  <c r="AH39" i="15"/>
  <c r="AK20" i="15"/>
  <c r="AN24" i="15"/>
  <c r="AN65" i="15"/>
  <c r="AN46" i="15"/>
  <c r="AE62" i="15"/>
  <c r="AH47" i="15"/>
  <c r="AN69" i="15"/>
  <c r="AE19" i="15"/>
  <c r="AN34" i="15"/>
  <c r="AE60" i="15"/>
  <c r="AH44" i="15"/>
  <c r="AE17" i="15"/>
  <c r="AB84" i="15"/>
  <c r="AK45" i="15"/>
  <c r="AB69" i="15"/>
  <c r="AH60" i="15"/>
  <c r="AN48" i="15"/>
  <c r="AE37" i="15"/>
  <c r="AK62" i="15"/>
  <c r="AH57" i="15"/>
  <c r="AN23" i="15"/>
  <c r="AN45" i="15"/>
  <c r="AB39" i="15"/>
  <c r="AE42" i="15"/>
  <c r="AN53" i="15"/>
  <c r="AH22" i="15"/>
  <c r="AN52" i="15"/>
  <c r="AE40" i="15"/>
  <c r="AH20" i="15"/>
  <c r="AE87" i="15"/>
  <c r="AE56" i="15"/>
  <c r="AB67" i="15"/>
  <c r="AE83" i="15"/>
  <c r="AK19" i="15"/>
  <c r="AK18" i="15"/>
  <c r="AB89" i="15"/>
  <c r="AH46" i="15"/>
  <c r="AB86" i="15"/>
  <c r="AH63" i="15"/>
  <c r="AB13" i="15"/>
  <c r="AN51" i="15"/>
  <c r="AE16" i="15"/>
  <c r="AB11" i="15"/>
  <c r="AH42" i="15"/>
  <c r="AH18" i="15"/>
  <c r="AN66" i="15"/>
  <c r="AH40" i="15"/>
  <c r="AH87" i="15"/>
  <c r="AK42" i="15"/>
  <c r="AE54" i="15"/>
  <c r="AK17" i="15"/>
  <c r="AH23" i="15"/>
  <c r="AE15" i="15"/>
  <c r="AH15" i="15"/>
  <c r="AE69" i="15"/>
  <c r="AK40" i="15"/>
  <c r="AK38" i="15"/>
  <c r="AK56" i="15"/>
  <c r="AN18" i="15"/>
  <c r="AN60" i="15"/>
  <c r="AN41" i="15"/>
  <c r="AB58" i="15"/>
  <c r="AH65" i="15"/>
  <c r="AB15" i="15"/>
  <c r="AN67" i="15"/>
  <c r="AB12" i="15"/>
  <c r="AK65" i="15"/>
  <c r="AE11" i="15"/>
  <c r="AN44" i="15"/>
  <c r="AB49" i="15"/>
  <c r="AE53" i="15"/>
  <c r="AH55" i="15"/>
  <c r="AN21" i="15"/>
  <c r="AB48" i="15"/>
  <c r="AH84" i="15"/>
  <c r="AK88" i="15"/>
  <c r="AH83" i="15"/>
  <c r="AN61" i="15"/>
  <c r="AB46" i="15"/>
  <c r="AE49" i="15"/>
  <c r="AH53" i="15"/>
  <c r="AK13" i="15"/>
  <c r="AK55" i="15"/>
  <c r="AK37" i="15"/>
  <c r="AN89" i="15"/>
  <c r="AN17" i="15"/>
  <c r="AN40" i="15"/>
  <c r="AN35" i="15"/>
  <c r="AK49" i="15"/>
  <c r="AE57" i="15"/>
  <c r="AH41" i="15"/>
  <c r="AE85" i="15"/>
  <c r="AB52" i="15"/>
  <c r="AN22" i="15"/>
  <c r="AH85" i="15"/>
  <c r="AK39" i="15"/>
  <c r="AK57" i="15"/>
  <c r="AK86" i="15"/>
  <c r="AB45" i="15"/>
  <c r="AN39" i="15"/>
  <c r="AB17" i="15"/>
  <c r="AN83" i="15"/>
  <c r="AK50" i="15"/>
  <c r="AE61" i="15"/>
  <c r="AE41" i="15"/>
  <c r="AK48" i="15"/>
  <c r="AE89" i="15"/>
  <c r="AH62" i="15"/>
  <c r="AB36" i="15"/>
  <c r="AK46" i="15"/>
  <c r="AH19" i="15"/>
  <c r="AK64" i="15"/>
  <c r="AK22" i="15"/>
  <c r="AH89" i="15"/>
  <c r="AE35" i="15"/>
  <c r="AK61" i="15"/>
  <c r="AB50" i="15"/>
  <c r="AH86" i="15"/>
  <c r="AK60" i="15"/>
  <c r="AE52" i="15"/>
  <c r="AK58" i="15"/>
  <c r="AK87" i="15"/>
  <c r="AN42" i="15"/>
  <c r="AB24" i="15"/>
  <c r="AE50" i="15"/>
  <c r="AH69" i="15"/>
  <c r="AN90" i="15"/>
  <c r="AK85" i="15"/>
  <c r="AB22" i="15"/>
  <c r="AE66" i="15"/>
  <c r="AH52" i="15"/>
  <c r="AK84" i="15"/>
  <c r="AK12" i="15"/>
  <c r="AK36" i="15"/>
  <c r="AN88" i="15"/>
  <c r="AN16" i="15"/>
  <c r="AN58" i="15"/>
  <c r="AB21" i="15"/>
  <c r="AB62" i="15"/>
  <c r="AE47" i="15"/>
  <c r="AH51" i="15"/>
  <c r="AK83" i="15"/>
  <c r="AK11" i="15"/>
  <c r="AK35" i="15"/>
  <c r="AN87" i="15"/>
  <c r="AN15" i="15"/>
  <c r="AN57" i="15"/>
  <c r="AN38" i="15"/>
  <c r="AB40" i="15"/>
  <c r="AB16" i="15"/>
  <c r="AB57" i="15"/>
  <c r="AB55" i="15"/>
  <c r="AH21" i="15"/>
  <c r="AK24" i="15"/>
  <c r="AB35" i="15"/>
  <c r="AK23" i="15"/>
  <c r="AB82" i="15"/>
  <c r="AH90" i="15"/>
  <c r="AK63" i="15"/>
  <c r="AE13" i="15"/>
  <c r="AN47" i="15"/>
  <c r="AB51" i="15"/>
  <c r="AH14" i="15"/>
  <c r="AN63" i="15"/>
  <c r="AH37" i="15"/>
  <c r="AH36" i="15"/>
  <c r="AN20" i="15"/>
  <c r="AE51" i="15"/>
  <c r="AK14" i="15"/>
  <c r="AB64" i="15"/>
  <c r="AH67" i="15"/>
  <c r="AB63" i="15"/>
  <c r="AB20" i="15"/>
  <c r="AE24" i="15"/>
  <c r="AE65" i="15"/>
  <c r="AE46" i="15"/>
  <c r="AH50" i="15"/>
  <c r="AK82" i="15"/>
  <c r="AK69" i="15"/>
  <c r="AK54" i="15"/>
  <c r="AN86" i="15"/>
  <c r="AN14" i="15"/>
  <c r="AN56" i="15"/>
  <c r="AB38" i="15"/>
  <c r="AH61" i="15"/>
  <c r="AE55" i="15"/>
  <c r="AE12" i="15"/>
  <c r="AN19" i="15"/>
  <c r="AK51" i="15"/>
  <c r="AH24" i="15"/>
  <c r="AE90" i="15"/>
  <c r="AB85" i="15"/>
  <c r="AK47" i="15"/>
  <c r="AE88" i="15"/>
  <c r="AE38" i="15"/>
  <c r="AN49" i="15"/>
  <c r="AE14" i="15"/>
  <c r="AH17" i="15"/>
  <c r="AK21" i="15"/>
  <c r="AH38" i="15"/>
  <c r="AN64" i="15"/>
  <c r="AE82" i="15"/>
  <c r="AH56" i="15"/>
  <c r="AK90" i="15"/>
  <c r="AK41" i="15"/>
  <c r="AE67" i="15"/>
  <c r="AE34" i="15"/>
  <c r="AH13" i="15"/>
  <c r="AK89" i="15"/>
  <c r="AN62" i="15"/>
  <c r="AB66" i="15"/>
  <c r="AH12" i="15"/>
  <c r="AK16" i="15"/>
  <c r="AB47" i="15"/>
  <c r="AH11" i="15"/>
  <c r="AH35" i="15"/>
  <c r="AK15" i="15"/>
  <c r="AB65" i="15"/>
  <c r="AH82" i="15"/>
  <c r="AH54" i="15"/>
  <c r="AB23" i="15"/>
  <c r="AH34" i="15"/>
  <c r="AB44" i="15"/>
  <c r="AE48" i="15"/>
  <c r="AB19" i="15"/>
  <c r="AB61" i="15"/>
  <c r="AB42" i="15"/>
  <c r="AE23" i="15"/>
  <c r="AE64" i="15"/>
  <c r="AE45" i="15"/>
  <c r="AH49" i="15"/>
  <c r="AK67" i="15"/>
  <c r="AK53" i="15"/>
  <c r="AK34" i="15"/>
  <c r="AN85" i="15"/>
  <c r="AN13" i="15"/>
  <c r="AN55" i="15"/>
  <c r="AN37" i="15"/>
  <c r="AB90" i="15"/>
  <c r="AB18" i="15"/>
  <c r="AB60" i="15"/>
  <c r="AB41" i="15"/>
  <c r="AE22" i="15"/>
  <c r="AE63" i="15"/>
  <c r="AE44" i="15"/>
  <c r="AH66" i="15"/>
  <c r="AH48" i="15"/>
  <c r="AK52" i="15"/>
  <c r="AN84" i="15"/>
  <c r="AN12" i="15"/>
  <c r="AN36" i="15"/>
  <c r="L29" i="17"/>
  <c r="L30" i="17" s="1"/>
  <c r="L27" i="17"/>
  <c r="AQ23" i="17"/>
  <c r="AB81" i="15"/>
  <c r="AK81" i="15"/>
  <c r="AH81" i="15"/>
  <c r="AE81" i="15"/>
  <c r="AN81" i="15"/>
  <c r="GT2" i="1"/>
  <c r="GT3" i="1"/>
  <c r="GT4" i="1"/>
  <c r="GT5" i="1"/>
  <c r="GT6" i="1"/>
  <c r="GT7" i="1"/>
  <c r="GT8" i="1"/>
  <c r="GT9" i="1"/>
  <c r="GT10" i="1"/>
  <c r="GT11" i="1"/>
  <c r="GT12" i="1"/>
  <c r="GT13" i="1"/>
  <c r="GT14" i="1"/>
  <c r="GT15" i="1"/>
  <c r="GT16" i="1"/>
  <c r="GT17" i="1"/>
  <c r="GT18" i="1"/>
  <c r="GT19" i="1"/>
  <c r="GT20" i="1"/>
  <c r="GT21" i="1"/>
  <c r="GT22" i="1"/>
  <c r="GT23" i="1"/>
  <c r="GT24" i="1"/>
  <c r="GT25" i="1"/>
  <c r="GT26" i="1"/>
  <c r="GT27" i="1"/>
  <c r="GT28" i="1"/>
  <c r="GT29" i="1"/>
  <c r="GT30" i="1"/>
  <c r="GT31" i="1"/>
  <c r="GT32" i="1"/>
  <c r="GT33" i="1"/>
  <c r="GT35" i="1"/>
  <c r="GT36" i="1"/>
  <c r="GT37" i="1"/>
  <c r="GT38" i="1"/>
  <c r="GT39" i="1"/>
  <c r="GT40" i="1"/>
  <c r="GT41" i="1"/>
  <c r="GT42" i="1"/>
  <c r="GT43" i="1"/>
  <c r="GT44" i="1"/>
  <c r="GT45" i="1"/>
  <c r="GT46" i="1"/>
  <c r="GT47" i="1"/>
  <c r="GT48" i="1"/>
  <c r="GT50" i="1"/>
  <c r="GT51" i="1"/>
  <c r="GT52" i="1"/>
  <c r="GT53" i="1"/>
  <c r="GT54" i="1"/>
  <c r="GT55" i="1"/>
  <c r="GT56" i="1"/>
  <c r="GT57" i="1"/>
  <c r="GT58" i="1"/>
  <c r="GT59" i="1"/>
  <c r="GT60" i="1"/>
  <c r="GT61" i="1"/>
  <c r="GT62" i="1"/>
  <c r="GT63" i="1"/>
  <c r="GT64" i="1"/>
  <c r="GT65" i="1"/>
  <c r="GT66" i="1"/>
  <c r="GT67" i="1"/>
  <c r="GT68" i="1"/>
  <c r="GT69" i="1"/>
  <c r="GT70" i="1"/>
  <c r="GT71" i="1"/>
  <c r="GT72" i="1"/>
  <c r="GT73" i="1"/>
  <c r="GT74" i="1"/>
  <c r="GT75" i="1"/>
  <c r="GT76" i="1"/>
  <c r="GT77" i="1"/>
  <c r="GT78" i="1"/>
  <c r="GT79" i="1"/>
  <c r="GT80" i="1"/>
  <c r="GT81" i="1"/>
  <c r="GT82" i="1"/>
  <c r="GT83" i="1"/>
  <c r="GT84" i="1"/>
  <c r="GT85" i="1"/>
  <c r="GT86" i="1"/>
  <c r="GT87" i="1"/>
  <c r="GT88" i="1"/>
  <c r="GT89" i="1"/>
  <c r="GT90" i="1"/>
  <c r="GT91" i="1"/>
  <c r="GT92" i="1"/>
  <c r="GT93" i="1"/>
  <c r="GT94" i="1"/>
  <c r="GT95" i="1"/>
  <c r="GS2" i="1"/>
  <c r="GS3" i="1"/>
  <c r="GS4" i="1"/>
  <c r="GS5" i="1"/>
  <c r="GS6" i="1"/>
  <c r="GS7" i="1"/>
  <c r="GS8" i="1"/>
  <c r="GS9" i="1"/>
  <c r="GS10" i="1"/>
  <c r="GS11" i="1"/>
  <c r="GS12" i="1"/>
  <c r="GS13" i="1"/>
  <c r="GS14" i="1"/>
  <c r="GS15" i="1"/>
  <c r="GS16" i="1"/>
  <c r="GS17" i="1"/>
  <c r="GS18" i="1"/>
  <c r="GS19" i="1"/>
  <c r="GS20" i="1"/>
  <c r="GS21" i="1"/>
  <c r="GS22" i="1"/>
  <c r="GS23" i="1"/>
  <c r="GS24" i="1"/>
  <c r="GS25" i="1"/>
  <c r="GS26" i="1"/>
  <c r="GS27" i="1"/>
  <c r="GS28" i="1"/>
  <c r="GS29" i="1"/>
  <c r="GS30" i="1"/>
  <c r="GS31" i="1"/>
  <c r="GS32" i="1"/>
  <c r="GS33" i="1"/>
  <c r="GS35" i="1"/>
  <c r="GS36" i="1"/>
  <c r="GS37" i="1"/>
  <c r="GS38" i="1"/>
  <c r="GS39" i="1"/>
  <c r="GS40" i="1"/>
  <c r="GS41" i="1"/>
  <c r="GS42" i="1"/>
  <c r="GS43" i="1"/>
  <c r="GS44" i="1"/>
  <c r="GS45" i="1"/>
  <c r="GS46" i="1"/>
  <c r="GS47" i="1"/>
  <c r="GS48" i="1"/>
  <c r="GS50" i="1"/>
  <c r="GS51" i="1"/>
  <c r="GS52" i="1"/>
  <c r="GS53" i="1"/>
  <c r="GS54" i="1"/>
  <c r="GS55" i="1"/>
  <c r="GS56" i="1"/>
  <c r="GS57" i="1"/>
  <c r="GS58" i="1"/>
  <c r="GS59" i="1"/>
  <c r="GS60" i="1"/>
  <c r="GS61" i="1"/>
  <c r="GS62" i="1"/>
  <c r="GS63" i="1"/>
  <c r="GS64" i="1"/>
  <c r="GS65" i="1"/>
  <c r="GS66" i="1"/>
  <c r="GS67" i="1"/>
  <c r="GS68" i="1"/>
  <c r="GS69" i="1"/>
  <c r="GS70" i="1"/>
  <c r="GS71" i="1"/>
  <c r="GS72" i="1"/>
  <c r="GS73" i="1"/>
  <c r="GS74" i="1"/>
  <c r="GS75" i="1"/>
  <c r="GS76" i="1"/>
  <c r="GS77" i="1"/>
  <c r="GS78" i="1"/>
  <c r="GS79" i="1"/>
  <c r="GS80" i="1"/>
  <c r="GS81" i="1"/>
  <c r="GS82" i="1"/>
  <c r="GS83" i="1"/>
  <c r="GS84" i="1"/>
  <c r="GS85" i="1"/>
  <c r="GS86" i="1"/>
  <c r="GS87" i="1"/>
  <c r="GS88" i="1"/>
  <c r="GS89" i="1"/>
  <c r="GS90" i="1"/>
  <c r="GS91" i="1"/>
  <c r="GS92" i="1"/>
  <c r="GS93" i="1"/>
  <c r="GS94" i="1"/>
  <c r="GS95" i="1"/>
  <c r="GR3" i="1"/>
  <c r="GR4" i="1"/>
  <c r="GR5" i="1"/>
  <c r="GR6" i="1"/>
  <c r="GR7" i="1"/>
  <c r="GR8" i="1"/>
  <c r="GR9" i="1"/>
  <c r="GR10" i="1"/>
  <c r="GR11" i="1"/>
  <c r="GR12" i="1"/>
  <c r="GR13" i="1"/>
  <c r="GR14" i="1"/>
  <c r="GR15" i="1"/>
  <c r="GR16" i="1"/>
  <c r="GR17" i="1"/>
  <c r="GR18" i="1"/>
  <c r="GR19" i="1"/>
  <c r="GR20" i="1"/>
  <c r="GR21" i="1"/>
  <c r="GR22" i="1"/>
  <c r="GR23" i="1"/>
  <c r="GR24" i="1"/>
  <c r="GR25" i="1"/>
  <c r="GR26" i="1"/>
  <c r="GR27" i="1"/>
  <c r="GR28" i="1"/>
  <c r="GR29" i="1"/>
  <c r="GR30" i="1"/>
  <c r="GR31" i="1"/>
  <c r="GR32" i="1"/>
  <c r="GR33" i="1"/>
  <c r="GR35" i="1"/>
  <c r="GR36" i="1"/>
  <c r="GR37" i="1"/>
  <c r="GR38" i="1"/>
  <c r="GR39" i="1"/>
  <c r="GR40" i="1"/>
  <c r="GR41" i="1"/>
  <c r="GR42" i="1"/>
  <c r="GR43" i="1"/>
  <c r="GR44" i="1"/>
  <c r="GR45" i="1"/>
  <c r="GR46" i="1"/>
  <c r="GR47" i="1"/>
  <c r="GR48" i="1"/>
  <c r="GR50" i="1"/>
  <c r="GR51" i="1"/>
  <c r="GR52" i="1"/>
  <c r="GR53" i="1"/>
  <c r="GR54" i="1"/>
  <c r="GR55" i="1"/>
  <c r="GR56" i="1"/>
  <c r="GR57" i="1"/>
  <c r="GR58" i="1"/>
  <c r="GR59" i="1"/>
  <c r="GR60" i="1"/>
  <c r="GR61" i="1"/>
  <c r="GR62" i="1"/>
  <c r="GR63" i="1"/>
  <c r="GR64" i="1"/>
  <c r="GR65" i="1"/>
  <c r="GR66" i="1"/>
  <c r="GR67" i="1"/>
  <c r="GR68" i="1"/>
  <c r="GR69" i="1"/>
  <c r="GR70" i="1"/>
  <c r="GR71" i="1"/>
  <c r="GR72" i="1"/>
  <c r="GR73" i="1"/>
  <c r="GR74" i="1"/>
  <c r="GR75" i="1"/>
  <c r="GR76" i="1"/>
  <c r="GR77" i="1"/>
  <c r="GR78" i="1"/>
  <c r="GR79" i="1"/>
  <c r="GR80" i="1"/>
  <c r="GR81" i="1"/>
  <c r="GR82" i="1"/>
  <c r="GR83" i="1"/>
  <c r="GR84" i="1"/>
  <c r="GR85" i="1"/>
  <c r="GR86" i="1"/>
  <c r="GR87" i="1"/>
  <c r="GR88" i="1"/>
  <c r="GR89" i="1"/>
  <c r="GR90" i="1"/>
  <c r="GR91" i="1"/>
  <c r="GR92" i="1"/>
  <c r="GR93" i="1"/>
  <c r="GR94" i="1"/>
  <c r="GR95" i="1"/>
  <c r="GR2" i="1"/>
  <c r="AE25" i="15" l="1"/>
  <c r="AB25" i="15"/>
  <c r="AN25" i="15"/>
  <c r="AH25" i="15"/>
  <c r="AK25" i="15"/>
  <c r="V49" i="15"/>
  <c r="Y34" i="15"/>
  <c r="Y13" i="15"/>
  <c r="S24" i="15"/>
  <c r="Y67" i="15"/>
  <c r="Y53" i="15"/>
  <c r="S23" i="15"/>
  <c r="V66" i="15"/>
  <c r="V48" i="15"/>
  <c r="Y52" i="15"/>
  <c r="Y55" i="15"/>
  <c r="V24" i="15"/>
  <c r="S20" i="15"/>
  <c r="V23" i="15"/>
  <c r="V64" i="15"/>
  <c r="V45" i="15"/>
  <c r="Y49" i="15"/>
  <c r="AH91" i="15"/>
  <c r="AH43" i="15" s="1"/>
  <c r="Y85" i="15"/>
  <c r="Y51" i="15"/>
  <c r="AN91" i="15"/>
  <c r="AN43" i="15" s="1"/>
  <c r="Y83" i="15"/>
  <c r="V46" i="15"/>
  <c r="AB91" i="15"/>
  <c r="AB43" i="15" s="1"/>
  <c r="S17" i="15"/>
  <c r="V20" i="15"/>
  <c r="Y24" i="15"/>
  <c r="Y65" i="15"/>
  <c r="Y46" i="15"/>
  <c r="V67" i="15"/>
  <c r="Y54" i="15"/>
  <c r="V63" i="15"/>
  <c r="Y48" i="15"/>
  <c r="S16" i="15"/>
  <c r="V61" i="15"/>
  <c r="S15" i="15"/>
  <c r="V90" i="15"/>
  <c r="V18" i="15"/>
  <c r="V60" i="15"/>
  <c r="V41" i="15"/>
  <c r="Y22" i="15"/>
  <c r="Y63" i="15"/>
  <c r="Y44" i="15"/>
  <c r="Y37" i="15"/>
  <c r="Y69" i="15"/>
  <c r="S21" i="15"/>
  <c r="Y50" i="15"/>
  <c r="Y64" i="15"/>
  <c r="S14" i="15"/>
  <c r="V89" i="15"/>
  <c r="V17" i="15"/>
  <c r="V40" i="15"/>
  <c r="Y21" i="15"/>
  <c r="Y62" i="15"/>
  <c r="Y12" i="15"/>
  <c r="V50" i="15"/>
  <c r="AK91" i="15"/>
  <c r="AK43" i="15" s="1"/>
  <c r="V42" i="15"/>
  <c r="S13" i="15"/>
  <c r="V88" i="15"/>
  <c r="V16" i="15"/>
  <c r="V58" i="15"/>
  <c r="V39" i="15"/>
  <c r="Y20" i="15"/>
  <c r="V53" i="15"/>
  <c r="Y36" i="15"/>
  <c r="V21" i="15"/>
  <c r="S12" i="15"/>
  <c r="V87" i="15"/>
  <c r="V15" i="15"/>
  <c r="V57" i="15"/>
  <c r="V38" i="15"/>
  <c r="Y19" i="15"/>
  <c r="Y61" i="15"/>
  <c r="Y42" i="15"/>
  <c r="V34" i="15"/>
  <c r="V51" i="15"/>
  <c r="Y82" i="15"/>
  <c r="V44" i="15"/>
  <c r="S18" i="15"/>
  <c r="V47" i="15"/>
  <c r="Y45" i="15"/>
  <c r="V55" i="15"/>
  <c r="Y84" i="15"/>
  <c r="Y35" i="15"/>
  <c r="V22" i="15"/>
  <c r="V19" i="15"/>
  <c r="V14" i="15"/>
  <c r="Y60" i="15"/>
  <c r="V13" i="15"/>
  <c r="Y89" i="15"/>
  <c r="Y40" i="15"/>
  <c r="V84" i="15"/>
  <c r="V36" i="15"/>
  <c r="Y58" i="15"/>
  <c r="AE91" i="15"/>
  <c r="AE43" i="15" s="1"/>
  <c r="S19" i="15"/>
  <c r="V62" i="15"/>
  <c r="Y23" i="15"/>
  <c r="Y90" i="15"/>
  <c r="V37" i="15"/>
  <c r="V12" i="15"/>
  <c r="Y88" i="15"/>
  <c r="Y39" i="15"/>
  <c r="Y15" i="15"/>
  <c r="V52" i="15"/>
  <c r="Y11" i="15"/>
  <c r="S22" i="15"/>
  <c r="V65" i="15"/>
  <c r="Y66" i="15"/>
  <c r="Y47" i="15"/>
  <c r="S11" i="15"/>
  <c r="V86" i="15"/>
  <c r="V56" i="15"/>
  <c r="Y18" i="15"/>
  <c r="Y41" i="15"/>
  <c r="V85" i="15"/>
  <c r="Y17" i="15"/>
  <c r="Y16" i="15"/>
  <c r="V83" i="15"/>
  <c r="V11" i="15"/>
  <c r="V35" i="15"/>
  <c r="Y87" i="15"/>
  <c r="Y57" i="15"/>
  <c r="Y38" i="15"/>
  <c r="V82" i="15"/>
  <c r="V69" i="15"/>
  <c r="V54" i="15"/>
  <c r="Y86" i="15"/>
  <c r="Y14" i="15"/>
  <c r="Y56" i="15"/>
  <c r="S90" i="15"/>
  <c r="S87" i="15"/>
  <c r="S88" i="15"/>
  <c r="S86" i="15"/>
  <c r="S85" i="15"/>
  <c r="S84" i="15"/>
  <c r="S89" i="15"/>
  <c r="S83" i="15"/>
  <c r="S82" i="15"/>
  <c r="S38" i="15"/>
  <c r="S50" i="15"/>
  <c r="S49" i="15"/>
  <c r="S48" i="15"/>
  <c r="S47" i="15"/>
  <c r="S45" i="15"/>
  <c r="S65" i="15"/>
  <c r="S44" i="15"/>
  <c r="S57" i="15"/>
  <c r="S58" i="15"/>
  <c r="S56" i="15"/>
  <c r="S64" i="15"/>
  <c r="S63" i="15"/>
  <c r="S54" i="15"/>
  <c r="S53" i="15"/>
  <c r="S42" i="15"/>
  <c r="S66" i="15"/>
  <c r="S46" i="15"/>
  <c r="S69" i="15"/>
  <c r="S52" i="15"/>
  <c r="S41" i="15"/>
  <c r="S67" i="15"/>
  <c r="S61" i="15"/>
  <c r="S51" i="15"/>
  <c r="S60" i="15"/>
  <c r="S39" i="15"/>
  <c r="S40" i="15"/>
  <c r="S62" i="15"/>
  <c r="S55" i="15"/>
  <c r="S37" i="15"/>
  <c r="S34" i="15"/>
  <c r="S35" i="15"/>
  <c r="S36" i="15"/>
  <c r="V81" i="15"/>
  <c r="Y81" i="15"/>
  <c r="S81" i="15"/>
  <c r="S7" i="4"/>
  <c r="V7" i="4"/>
  <c r="Y7" i="4"/>
  <c r="D31" i="13"/>
  <c r="D79" i="13"/>
  <c r="D61" i="13"/>
  <c r="D63" i="13"/>
  <c r="D62" i="13"/>
  <c r="D65" i="13"/>
  <c r="D66" i="13"/>
  <c r="D76" i="13"/>
  <c r="D75" i="13"/>
  <c r="D74" i="13"/>
  <c r="D67" i="13"/>
  <c r="D68" i="13"/>
  <c r="D40" i="13"/>
  <c r="D33" i="13"/>
  <c r="D39" i="13"/>
  <c r="D17" i="13"/>
  <c r="D24" i="13"/>
  <c r="D35" i="13"/>
  <c r="D36" i="13"/>
  <c r="D30" i="13"/>
  <c r="D94" i="13"/>
  <c r="D6" i="13"/>
  <c r="D38" i="13"/>
  <c r="D34" i="13"/>
  <c r="D37" i="13"/>
  <c r="D88" i="13"/>
  <c r="D86" i="13"/>
  <c r="D85" i="13"/>
  <c r="D82" i="13"/>
  <c r="D83" i="13"/>
  <c r="D84" i="13"/>
  <c r="D55" i="13"/>
  <c r="D12" i="13"/>
  <c r="D19" i="13"/>
  <c r="D18" i="13"/>
  <c r="D54" i="13"/>
  <c r="D23" i="13"/>
  <c r="D59" i="13"/>
  <c r="D56" i="13"/>
  <c r="D3" i="13"/>
  <c r="D89" i="13"/>
  <c r="D92" i="13"/>
  <c r="D90" i="13"/>
  <c r="D14" i="13"/>
  <c r="D22" i="13"/>
  <c r="D46" i="13"/>
  <c r="D60" i="13"/>
  <c r="D78" i="13"/>
  <c r="D73" i="13"/>
  <c r="D69" i="13"/>
  <c r="D70" i="13"/>
  <c r="D72" i="13"/>
  <c r="D71" i="13"/>
  <c r="D41" i="13"/>
  <c r="D91" i="13"/>
  <c r="D57" i="13"/>
  <c r="D58" i="13"/>
  <c r="D77" i="13"/>
  <c r="D64" i="13"/>
  <c r="D87" i="13"/>
  <c r="D20" i="13"/>
  <c r="D26" i="13"/>
  <c r="D25" i="13"/>
  <c r="D27" i="13"/>
  <c r="D28" i="13"/>
  <c r="D29" i="13"/>
  <c r="D32" i="13"/>
  <c r="D42" i="13"/>
  <c r="D44" i="13"/>
  <c r="D9" i="13"/>
  <c r="D10" i="13"/>
  <c r="D11" i="13"/>
  <c r="D53" i="13"/>
  <c r="D48" i="13"/>
  <c r="D52" i="13"/>
  <c r="D49" i="13"/>
  <c r="D51" i="13"/>
  <c r="D50" i="13"/>
  <c r="D47" i="13"/>
  <c r="D2" i="13"/>
  <c r="D4" i="13"/>
  <c r="D5" i="13"/>
  <c r="D7" i="13"/>
  <c r="D8" i="13"/>
  <c r="D13" i="13"/>
  <c r="D15" i="13"/>
  <c r="D16" i="13"/>
  <c r="D21" i="13"/>
  <c r="D43" i="13"/>
  <c r="D45" i="13"/>
  <c r="D80" i="13"/>
  <c r="D81" i="13"/>
  <c r="D93" i="13"/>
  <c r="D95" i="13"/>
  <c r="AQ88" i="15" l="1"/>
  <c r="AQ40" i="15"/>
  <c r="AQ87" i="15"/>
  <c r="AQ39" i="15"/>
  <c r="AQ14" i="15"/>
  <c r="AQ20" i="15"/>
  <c r="AQ24" i="15"/>
  <c r="AQ16" i="15"/>
  <c r="AQ47" i="15"/>
  <c r="AQ15" i="15"/>
  <c r="AQ86" i="15"/>
  <c r="AQ54" i="15"/>
  <c r="AQ51" i="15"/>
  <c r="AQ90" i="15"/>
  <c r="AQ49" i="15"/>
  <c r="AQ42" i="15"/>
  <c r="AQ11" i="15"/>
  <c r="AQ61" i="15"/>
  <c r="AQ18" i="15"/>
  <c r="AQ83" i="15"/>
  <c r="V25" i="15"/>
  <c r="AQ21" i="15"/>
  <c r="S25" i="15"/>
  <c r="AQ53" i="15"/>
  <c r="AQ13" i="15"/>
  <c r="AQ23" i="15"/>
  <c r="AQ50" i="15"/>
  <c r="AQ56" i="15"/>
  <c r="AQ36" i="15"/>
  <c r="Y25" i="15"/>
  <c r="AQ64" i="15"/>
  <c r="AQ67" i="15"/>
  <c r="AQ22" i="15"/>
  <c r="AQ17" i="15"/>
  <c r="AQ19" i="15"/>
  <c r="Y91" i="15"/>
  <c r="Y43" i="15" s="1"/>
  <c r="V91" i="15"/>
  <c r="V43" i="15" s="1"/>
  <c r="AQ60" i="15"/>
  <c r="AQ41" i="15"/>
  <c r="AQ58" i="15"/>
  <c r="AQ63" i="15"/>
  <c r="AQ82" i="15"/>
  <c r="AQ89" i="15"/>
  <c r="AQ69" i="15"/>
  <c r="AQ48" i="15"/>
  <c r="AQ35" i="15"/>
  <c r="AQ57" i="15"/>
  <c r="AQ34" i="15"/>
  <c r="AQ37" i="15"/>
  <c r="AQ84" i="15"/>
  <c r="AQ12" i="15"/>
  <c r="AQ38" i="15"/>
  <c r="AQ52" i="15"/>
  <c r="AQ44" i="15"/>
  <c r="AQ55" i="15"/>
  <c r="AQ46" i="15"/>
  <c r="AQ65" i="15"/>
  <c r="AQ85" i="15"/>
  <c r="AQ62" i="15"/>
  <c r="AQ66" i="15"/>
  <c r="AQ45" i="15"/>
  <c r="S91" i="15"/>
  <c r="S43" i="15" s="1"/>
  <c r="AQ81" i="15"/>
  <c r="AQ43" i="15" l="1"/>
  <c r="AQ25" i="15"/>
  <c r="AQ91" i="15"/>
  <c r="V68" i="15"/>
  <c r="AE68" i="15"/>
  <c r="S68" i="15"/>
  <c r="AH68" i="15"/>
  <c r="AB68" i="15"/>
  <c r="AK68" i="15"/>
  <c r="Y68" i="15"/>
  <c r="AN68" i="15"/>
  <c r="Y59" i="15" l="1"/>
  <c r="Y70" i="15" s="1"/>
  <c r="AE59" i="15"/>
  <c r="AE70" i="15" s="1"/>
  <c r="V59" i="15"/>
  <c r="V70" i="15" s="1"/>
  <c r="AQ68" i="15"/>
  <c r="AK59" i="15"/>
  <c r="AK70" i="15" s="1"/>
  <c r="AN59" i="15"/>
  <c r="AN70" i="15" s="1"/>
  <c r="AH59" i="15"/>
  <c r="AH70" i="15" s="1"/>
  <c r="AB59" i="15"/>
  <c r="AB70" i="15" s="1"/>
  <c r="S59" i="15"/>
  <c r="S70" i="15" s="1"/>
  <c r="V8" i="4"/>
  <c r="V9" i="4"/>
  <c r="V10" i="4"/>
  <c r="V11" i="4"/>
  <c r="V12" i="4"/>
  <c r="V13" i="4"/>
  <c r="V14" i="4"/>
  <c r="V15" i="4"/>
  <c r="V16" i="4"/>
  <c r="V17" i="4"/>
  <c r="V18" i="4"/>
  <c r="V19" i="4"/>
  <c r="V20" i="4"/>
  <c r="V21" i="4"/>
  <c r="V22" i="4"/>
  <c r="V23" i="4"/>
  <c r="V24" i="4"/>
  <c r="V25" i="4"/>
  <c r="V26" i="4"/>
  <c r="V27" i="4"/>
  <c r="V28" i="4"/>
  <c r="V29" i="4"/>
  <c r="V30" i="4"/>
  <c r="V31" i="4"/>
  <c r="V32" i="4"/>
  <c r="V33" i="4"/>
  <c r="V34" i="4"/>
  <c r="V35" i="4"/>
  <c r="V36" i="4"/>
  <c r="V37" i="4"/>
  <c r="V38" i="4"/>
  <c r="V39" i="4"/>
  <c r="V40" i="4"/>
  <c r="V41" i="4"/>
  <c r="V42" i="4"/>
  <c r="V43" i="4"/>
  <c r="V44" i="4"/>
  <c r="V45" i="4"/>
  <c r="V46" i="4"/>
  <c r="V47" i="4"/>
  <c r="V48" i="4"/>
  <c r="V49" i="4"/>
  <c r="V50" i="4"/>
  <c r="V51" i="4"/>
  <c r="V52" i="4"/>
  <c r="V53" i="4"/>
  <c r="V54" i="4"/>
  <c r="V55" i="4"/>
  <c r="V56" i="4"/>
  <c r="V57" i="4"/>
  <c r="V58" i="4"/>
  <c r="V59" i="4"/>
  <c r="V60" i="4"/>
  <c r="V61" i="4"/>
  <c r="V62" i="4"/>
  <c r="V63" i="4"/>
  <c r="V64" i="4"/>
  <c r="V65" i="4"/>
  <c r="V66" i="4"/>
  <c r="Y8" i="4"/>
  <c r="Y9" i="4"/>
  <c r="Y10" i="4"/>
  <c r="Y11" i="4"/>
  <c r="Y12" i="4"/>
  <c r="Y13" i="4"/>
  <c r="Y14" i="4"/>
  <c r="Y15" i="4"/>
  <c r="Y16" i="4"/>
  <c r="Y17" i="4"/>
  <c r="Y18" i="4"/>
  <c r="Y19" i="4"/>
  <c r="Y20" i="4"/>
  <c r="Y21" i="4"/>
  <c r="Y22" i="4"/>
  <c r="Y23" i="4"/>
  <c r="Y24" i="4"/>
  <c r="Y25" i="4"/>
  <c r="Y26" i="4"/>
  <c r="Y27" i="4"/>
  <c r="Y28" i="4"/>
  <c r="Y29" i="4"/>
  <c r="Y30" i="4"/>
  <c r="Y31" i="4"/>
  <c r="Y32" i="4"/>
  <c r="Y33" i="4"/>
  <c r="Y34" i="4"/>
  <c r="Y35" i="4"/>
  <c r="Y36" i="4"/>
  <c r="Y37" i="4"/>
  <c r="Y38" i="4"/>
  <c r="Y39" i="4"/>
  <c r="Y40" i="4"/>
  <c r="Y41" i="4"/>
  <c r="Y42" i="4"/>
  <c r="Y43" i="4"/>
  <c r="Y44" i="4"/>
  <c r="Y45" i="4"/>
  <c r="Y46" i="4"/>
  <c r="Y47" i="4"/>
  <c r="Y48" i="4"/>
  <c r="Y49" i="4"/>
  <c r="Y50" i="4"/>
  <c r="Y51" i="4"/>
  <c r="Y52" i="4"/>
  <c r="Y53" i="4"/>
  <c r="Y54" i="4"/>
  <c r="Y55" i="4"/>
  <c r="Y56" i="4"/>
  <c r="Y57" i="4"/>
  <c r="Y58" i="4"/>
  <c r="Y59" i="4"/>
  <c r="Y60" i="4"/>
  <c r="Y61" i="4"/>
  <c r="Y62" i="4"/>
  <c r="Y63" i="4"/>
  <c r="Y64" i="4"/>
  <c r="Y65" i="4"/>
  <c r="Y66" i="4"/>
  <c r="S8" i="4"/>
  <c r="S9" i="4"/>
  <c r="S10" i="4"/>
  <c r="S11" i="4"/>
  <c r="S12" i="4"/>
  <c r="S13" i="4"/>
  <c r="S14" i="4"/>
  <c r="S15" i="4"/>
  <c r="S16" i="4"/>
  <c r="S17" i="4"/>
  <c r="S18" i="4"/>
  <c r="S19" i="4"/>
  <c r="S20" i="4"/>
  <c r="S21" i="4"/>
  <c r="S22" i="4"/>
  <c r="S23" i="4"/>
  <c r="S24" i="4"/>
  <c r="S25" i="4"/>
  <c r="S26" i="4"/>
  <c r="S27" i="4"/>
  <c r="S28" i="4"/>
  <c r="S29" i="4"/>
  <c r="S30" i="4"/>
  <c r="S31" i="4"/>
  <c r="S32" i="4"/>
  <c r="S33" i="4"/>
  <c r="S34" i="4"/>
  <c r="S35" i="4"/>
  <c r="S36" i="4"/>
  <c r="S37" i="4"/>
  <c r="S38" i="4"/>
  <c r="S39" i="4"/>
  <c r="S40" i="4"/>
  <c r="S41" i="4"/>
  <c r="S42" i="4"/>
  <c r="S43" i="4"/>
  <c r="S44" i="4"/>
  <c r="S45" i="4"/>
  <c r="S46" i="4"/>
  <c r="S47" i="4"/>
  <c r="S48" i="4"/>
  <c r="S49" i="4"/>
  <c r="S50" i="4"/>
  <c r="S51" i="4"/>
  <c r="S52" i="4"/>
  <c r="S53" i="4"/>
  <c r="S54" i="4"/>
  <c r="S55" i="4"/>
  <c r="S56" i="4"/>
  <c r="S57" i="4"/>
  <c r="S58" i="4"/>
  <c r="S59" i="4"/>
  <c r="S60" i="4"/>
  <c r="S61" i="4"/>
  <c r="S62" i="4"/>
  <c r="S63" i="4"/>
  <c r="S64" i="4"/>
  <c r="S65" i="4"/>
  <c r="S66" i="4"/>
  <c r="P49" i="12"/>
  <c r="R14" i="12"/>
  <c r="U14" i="12" s="1"/>
  <c r="R15" i="12"/>
  <c r="U15" i="12" s="1"/>
  <c r="R16" i="12"/>
  <c r="U16" i="12" s="1"/>
  <c r="R17" i="12"/>
  <c r="U17" i="12" s="1"/>
  <c r="R18" i="12"/>
  <c r="U18" i="12" s="1"/>
  <c r="R19" i="12"/>
  <c r="U19" i="12" s="1"/>
  <c r="R20" i="12"/>
  <c r="U20" i="12" s="1"/>
  <c r="R21" i="12"/>
  <c r="U21" i="12" s="1"/>
  <c r="R22" i="12"/>
  <c r="U22" i="12" s="1"/>
  <c r="R23" i="12"/>
  <c r="U23" i="12" s="1"/>
  <c r="R24" i="12"/>
  <c r="U24" i="12" s="1"/>
  <c r="R25" i="12"/>
  <c r="U25" i="12" s="1"/>
  <c r="R26" i="12"/>
  <c r="U26" i="12" s="1"/>
  <c r="R27" i="12"/>
  <c r="U27" i="12" s="1"/>
  <c r="R28" i="12"/>
  <c r="U28" i="12" s="1"/>
  <c r="R29" i="12"/>
  <c r="U29" i="12" s="1"/>
  <c r="R30" i="12"/>
  <c r="U30" i="12" s="1"/>
  <c r="R31" i="12"/>
  <c r="U31" i="12" s="1"/>
  <c r="R32" i="12"/>
  <c r="U32" i="12" s="1"/>
  <c r="R33" i="12"/>
  <c r="U33" i="12" s="1"/>
  <c r="R34" i="12"/>
  <c r="U34" i="12" s="1"/>
  <c r="R35" i="12"/>
  <c r="U35" i="12" s="1"/>
  <c r="R36" i="12"/>
  <c r="U36" i="12" s="1"/>
  <c r="R37" i="12"/>
  <c r="U37" i="12" s="1"/>
  <c r="R38" i="12"/>
  <c r="U38" i="12" s="1"/>
  <c r="R39" i="12"/>
  <c r="U39" i="12" s="1"/>
  <c r="R40" i="12"/>
  <c r="U40" i="12" s="1"/>
  <c r="R41" i="12"/>
  <c r="U41" i="12" s="1"/>
  <c r="R42" i="12"/>
  <c r="U42" i="12" s="1"/>
  <c r="R43" i="12"/>
  <c r="U43" i="12" s="1"/>
  <c r="R44" i="12"/>
  <c r="U44" i="12" s="1"/>
  <c r="R45" i="12"/>
  <c r="U45" i="12" s="1"/>
  <c r="R46" i="12"/>
  <c r="U46" i="12" s="1"/>
  <c r="R47" i="12"/>
  <c r="U47" i="12" s="1"/>
  <c r="R48" i="12"/>
  <c r="U48" i="12" s="1"/>
  <c r="R13" i="12"/>
  <c r="U13" i="12" s="1"/>
  <c r="R12" i="8"/>
  <c r="U49" i="12" l="1"/>
  <c r="AQ59" i="15"/>
  <c r="AQ70" i="15" s="1"/>
  <c r="R49" i="12"/>
  <c r="AN23" i="10"/>
  <c r="AQ14" i="10"/>
  <c r="AQ17" i="10"/>
  <c r="AQ20" i="10"/>
  <c r="Y23" i="10"/>
  <c r="AK23" i="10"/>
  <c r="AQ13" i="10"/>
  <c r="AQ16" i="10"/>
  <c r="AQ19" i="10"/>
  <c r="AQ22" i="10"/>
  <c r="V23" i="10"/>
  <c r="AB23" i="10"/>
  <c r="AE23" i="10"/>
  <c r="L28" i="10" s="1"/>
  <c r="AQ18" i="10"/>
  <c r="AQ15" i="10"/>
  <c r="AQ21" i="10"/>
  <c r="AH23" i="10"/>
  <c r="S23" i="10"/>
  <c r="L26" i="10" s="1"/>
  <c r="S26" i="10" l="1" a="1"/>
  <c r="S26" i="10" s="1"/>
  <c r="AD26" i="10" s="1"/>
  <c r="S27" i="10" a="1"/>
  <c r="S27" i="10" s="1"/>
  <c r="AD27" i="10" s="1"/>
  <c r="S28" i="10" a="1"/>
  <c r="S28" i="10" s="1"/>
  <c r="AD28" i="10" s="1"/>
  <c r="S29" i="10" a="1"/>
  <c r="S29" i="10" s="1"/>
  <c r="AD29" i="10" s="1"/>
  <c r="L27" i="10"/>
  <c r="L29" i="10"/>
  <c r="L30" i="10" s="1"/>
  <c r="AQ23" i="10"/>
  <c r="X59" i="8" l="1"/>
  <c r="U59" i="8"/>
  <c r="AM58" i="8"/>
  <c r="AM59" i="8"/>
  <c r="AM60" i="8"/>
  <c r="AM48" i="8"/>
  <c r="AJ58" i="8"/>
  <c r="AJ59" i="8"/>
  <c r="AJ60" i="8"/>
  <c r="AG58" i="8"/>
  <c r="AG59" i="8"/>
  <c r="AG60" i="8"/>
  <c r="AD58" i="8"/>
  <c r="AD59" i="8"/>
  <c r="AD60" i="8"/>
  <c r="AA58" i="8"/>
  <c r="AA59" i="8"/>
  <c r="AA60" i="8"/>
  <c r="X58" i="8"/>
  <c r="X60" i="8"/>
  <c r="X47" i="8"/>
  <c r="U58" i="8"/>
  <c r="U60" i="8"/>
  <c r="R58" i="8"/>
  <c r="R60" i="8"/>
  <c r="R59" i="8"/>
  <c r="R48" i="8"/>
  <c r="AM39" i="8"/>
  <c r="AM40" i="8"/>
  <c r="AM41" i="8"/>
  <c r="AM42" i="8"/>
  <c r="AM43" i="8"/>
  <c r="AM44" i="8"/>
  <c r="AM45" i="8"/>
  <c r="AM47" i="8"/>
  <c r="AJ39" i="8"/>
  <c r="AJ40" i="8"/>
  <c r="AJ41" i="8"/>
  <c r="AJ42" i="8"/>
  <c r="AJ43" i="8"/>
  <c r="AJ44" i="8"/>
  <c r="AJ45" i="8"/>
  <c r="AJ47" i="8"/>
  <c r="AJ48" i="8"/>
  <c r="AG39" i="8"/>
  <c r="AG40" i="8"/>
  <c r="AG41" i="8"/>
  <c r="AG42" i="8"/>
  <c r="AG43" i="8"/>
  <c r="AG44" i="8"/>
  <c r="AG45" i="8"/>
  <c r="AG47" i="8"/>
  <c r="AG48" i="8"/>
  <c r="AD39" i="8"/>
  <c r="AD40" i="8"/>
  <c r="AD41" i="8"/>
  <c r="AD42" i="8"/>
  <c r="AD43" i="8"/>
  <c r="AD44" i="8"/>
  <c r="AD45" i="8"/>
  <c r="AD47" i="8"/>
  <c r="AD48" i="8"/>
  <c r="AA39" i="8"/>
  <c r="AA40" i="8"/>
  <c r="AA42" i="8"/>
  <c r="AA43" i="8"/>
  <c r="AA44" i="8"/>
  <c r="AA45" i="8"/>
  <c r="AA47" i="8"/>
  <c r="AA48" i="8"/>
  <c r="X39" i="8"/>
  <c r="X40" i="8"/>
  <c r="X42" i="8"/>
  <c r="X43" i="8"/>
  <c r="X44" i="8"/>
  <c r="X45" i="8"/>
  <c r="X48" i="8"/>
  <c r="U39" i="8"/>
  <c r="U40" i="8"/>
  <c r="U42" i="8"/>
  <c r="U43" i="8"/>
  <c r="U44" i="8"/>
  <c r="U45" i="8"/>
  <c r="U47" i="8"/>
  <c r="U48" i="8"/>
  <c r="R47" i="8"/>
  <c r="R45" i="8"/>
  <c r="R44" i="8"/>
  <c r="R43" i="8"/>
  <c r="R42" i="8"/>
  <c r="R40" i="8"/>
  <c r="R39" i="8"/>
  <c r="R28" i="8"/>
  <c r="AM28" i="8"/>
  <c r="AM25" i="8"/>
  <c r="AM21" i="8"/>
  <c r="AM19" i="8"/>
  <c r="AM18" i="8"/>
  <c r="AM15" i="8"/>
  <c r="AM13" i="8"/>
  <c r="AM12" i="8"/>
  <c r="AJ28" i="8"/>
  <c r="AJ25" i="8"/>
  <c r="AJ21" i="8"/>
  <c r="AJ19" i="8"/>
  <c r="AJ18" i="8"/>
  <c r="AJ15" i="8"/>
  <c r="AJ13" i="8"/>
  <c r="AJ12" i="8"/>
  <c r="AG28" i="8"/>
  <c r="AG25" i="8"/>
  <c r="AG21" i="8"/>
  <c r="AG19" i="8"/>
  <c r="AG18" i="8"/>
  <c r="AG15" i="8"/>
  <c r="AG13" i="8"/>
  <c r="AG12" i="8"/>
  <c r="AD28" i="8"/>
  <c r="AD25" i="8"/>
  <c r="AD21" i="8"/>
  <c r="AD19" i="8"/>
  <c r="AD18" i="8"/>
  <c r="AD15" i="8"/>
  <c r="AD13" i="8"/>
  <c r="AD12" i="8"/>
  <c r="AA28" i="8"/>
  <c r="AA25" i="8"/>
  <c r="AA21" i="8"/>
  <c r="AA19" i="8"/>
  <c r="AA18" i="8"/>
  <c r="AA15" i="8"/>
  <c r="AA13" i="8"/>
  <c r="AA12" i="8"/>
  <c r="X28" i="8"/>
  <c r="X25" i="8"/>
  <c r="X21" i="8"/>
  <c r="X19" i="8"/>
  <c r="X18" i="8"/>
  <c r="X15" i="8"/>
  <c r="X13" i="8"/>
  <c r="X12" i="8"/>
  <c r="U28" i="8"/>
  <c r="U25" i="8"/>
  <c r="U21" i="8"/>
  <c r="U19" i="8"/>
  <c r="U18" i="8"/>
  <c r="U15" i="8"/>
  <c r="U13" i="8"/>
  <c r="U12" i="8"/>
  <c r="R25" i="8"/>
  <c r="R21" i="8"/>
  <c r="R19" i="8"/>
  <c r="R18" i="8"/>
  <c r="R15" i="8"/>
  <c r="R13" i="8"/>
  <c r="AG61" i="8" l="1"/>
  <c r="U61" i="8"/>
  <c r="AP43" i="8"/>
  <c r="AD61" i="8"/>
  <c r="AP47" i="8"/>
  <c r="R61" i="8"/>
  <c r="AP58" i="8"/>
  <c r="AP39" i="8"/>
  <c r="X61" i="8"/>
  <c r="AP40" i="8"/>
  <c r="AJ61" i="8"/>
  <c r="AP41" i="8"/>
  <c r="AP42" i="8"/>
  <c r="AA61" i="8"/>
  <c r="AP44" i="8"/>
  <c r="AM61" i="8"/>
  <c r="AP48" i="8"/>
  <c r="AP59" i="8"/>
  <c r="AP45" i="8"/>
  <c r="AP60" i="8"/>
  <c r="AA49" i="8"/>
  <c r="U49" i="8"/>
  <c r="AG49" i="8"/>
  <c r="AJ49" i="8"/>
  <c r="X49" i="8"/>
  <c r="AM49" i="8"/>
  <c r="R49" i="8"/>
  <c r="AD49" i="8"/>
  <c r="R31" i="8"/>
  <c r="AY8" i="8" s="1"/>
  <c r="AM31" i="8"/>
  <c r="AJ31" i="8"/>
  <c r="AG31" i="8"/>
  <c r="AD31" i="8"/>
  <c r="AY10" i="8" s="1"/>
  <c r="AP28" i="8"/>
  <c r="AA31" i="8"/>
  <c r="AP25" i="8"/>
  <c r="AP21" i="8"/>
  <c r="AP19" i="8"/>
  <c r="AP18" i="8"/>
  <c r="AP15" i="8"/>
  <c r="X31" i="8"/>
  <c r="AP13" i="8"/>
  <c r="U31" i="8"/>
  <c r="AP12" i="8"/>
  <c r="AY11" i="8" l="1"/>
  <c r="AY12" i="8" s="1"/>
  <c r="AY9" i="8"/>
  <c r="AG51" i="8"/>
  <c r="U51" i="8"/>
  <c r="AA51" i="8"/>
  <c r="AP61" i="8"/>
  <c r="AM51" i="8"/>
  <c r="AD51" i="8"/>
  <c r="R51" i="8"/>
  <c r="X51" i="8"/>
  <c r="AJ51" i="8"/>
  <c r="AP49" i="8"/>
  <c r="AP31" i="8"/>
  <c r="AP51" i="8"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<sst xmlns="http://schemas.openxmlformats.org/spreadsheetml/2006/main" count="2514" uniqueCount="1012">
  <si>
    <t>Institution Name</t>
  </si>
  <si>
    <t>Fed.AFR</t>
  </si>
  <si>
    <t>Fed.Not</t>
  </si>
  <si>
    <t>Fed.Pass</t>
  </si>
  <si>
    <t>Fed.RecIDC</t>
  </si>
  <si>
    <t>Fed.Cap</t>
  </si>
  <si>
    <t>Fed.501</t>
  </si>
  <si>
    <t>Fed.Pass2</t>
  </si>
  <si>
    <t>Fed.Pass3</t>
  </si>
  <si>
    <t>St.AFR</t>
  </si>
  <si>
    <t>St.Not</t>
  </si>
  <si>
    <t>St.Pass</t>
  </si>
  <si>
    <t>St.RecIDC</t>
  </si>
  <si>
    <t>St.Cap</t>
  </si>
  <si>
    <t>St.501</t>
  </si>
  <si>
    <t>St.Pass2</t>
  </si>
  <si>
    <t>St.Pass3</t>
  </si>
  <si>
    <t>St.C&amp;G.AFR</t>
  </si>
  <si>
    <t>St.C&amp;G.Not</t>
  </si>
  <si>
    <t>St.C&amp;G.Pass</t>
  </si>
  <si>
    <t>St.C&amp;G.RecIDC</t>
  </si>
  <si>
    <t>St.C&amp;G.Cap</t>
  </si>
  <si>
    <t>St.C&amp;G.501</t>
  </si>
  <si>
    <t>St.C&amp;G.Pass2</t>
  </si>
  <si>
    <t>St.C&amp;G.Pass3</t>
  </si>
  <si>
    <t>St.All.AFR</t>
  </si>
  <si>
    <t>St.All.Not</t>
  </si>
  <si>
    <t>St.All.Pass</t>
  </si>
  <si>
    <t>St.All.RecIDC</t>
  </si>
  <si>
    <t>St.All.Cap</t>
  </si>
  <si>
    <t>St.All.501</t>
  </si>
  <si>
    <t>St.All.Pass2</t>
  </si>
  <si>
    <t>St.All.Pass3</t>
  </si>
  <si>
    <t>Inst.AFR</t>
  </si>
  <si>
    <t>Inst.Not</t>
  </si>
  <si>
    <t>Inst.Pass</t>
  </si>
  <si>
    <t>Inst.RecIDC</t>
  </si>
  <si>
    <t>Inst.Cap</t>
  </si>
  <si>
    <t>Inst.501</t>
  </si>
  <si>
    <t>Inst.Pass2</t>
  </si>
  <si>
    <t>Inst.Pass3</t>
  </si>
  <si>
    <t>P4P.AFR</t>
  </si>
  <si>
    <t>P4P.Not</t>
  </si>
  <si>
    <t>P4P.Pass</t>
  </si>
  <si>
    <t>P4P.RecIDC</t>
  </si>
  <si>
    <t>P4P.Cap</t>
  </si>
  <si>
    <t>P4P.501</t>
  </si>
  <si>
    <t>P4P.Pass2</t>
  </si>
  <si>
    <t>P4P.Pass3</t>
  </si>
  <si>
    <t>PNP.AFR</t>
  </si>
  <si>
    <t>PNP.Not</t>
  </si>
  <si>
    <t>PNP.Pass</t>
  </si>
  <si>
    <t>PNP.RecIDC</t>
  </si>
  <si>
    <t>PNP.Cap</t>
  </si>
  <si>
    <t>PNP.501</t>
  </si>
  <si>
    <t>PNP.Pass2</t>
  </si>
  <si>
    <t>PNP.Pass3</t>
  </si>
  <si>
    <t>P.All.AFR</t>
  </si>
  <si>
    <t>P.All.Not</t>
  </si>
  <si>
    <t>P.All.Pass</t>
  </si>
  <si>
    <t>P.All.RecIDC</t>
  </si>
  <si>
    <t>P.All.Cap</t>
  </si>
  <si>
    <t>P.All.501</t>
  </si>
  <si>
    <t>P.All.Pass2</t>
  </si>
  <si>
    <t>P.All.Pass3</t>
  </si>
  <si>
    <t>Fed.Comp</t>
  </si>
  <si>
    <t>Fed.Eng</t>
  </si>
  <si>
    <t>Fed.Geo</t>
  </si>
  <si>
    <t>Fed.Life</t>
  </si>
  <si>
    <t>Fed.Math</t>
  </si>
  <si>
    <t>Fed.Phys</t>
  </si>
  <si>
    <t>Fed.Psyc</t>
  </si>
  <si>
    <t>Fed.Soc</t>
  </si>
  <si>
    <t>Fed.Othr</t>
  </si>
  <si>
    <t>Fed.Non</t>
  </si>
  <si>
    <t>St.Comp</t>
  </si>
  <si>
    <t>St.Eng</t>
  </si>
  <si>
    <t>St.Geo</t>
  </si>
  <si>
    <t>St.Life</t>
  </si>
  <si>
    <t>St.Math</t>
  </si>
  <si>
    <t>St.Phys</t>
  </si>
  <si>
    <t>St.Psyc</t>
  </si>
  <si>
    <t>St.Soc</t>
  </si>
  <si>
    <t>St.Othr</t>
  </si>
  <si>
    <t>St.Non</t>
  </si>
  <si>
    <t>St.C&amp;G.Comp</t>
  </si>
  <si>
    <t>St.C&amp;G.Eng</t>
  </si>
  <si>
    <t>St.C&amp;G.Geo</t>
  </si>
  <si>
    <t>St.C&amp;G.Life</t>
  </si>
  <si>
    <t>St.C&amp;G.Math</t>
  </si>
  <si>
    <t>St.C&amp;G.Phys</t>
  </si>
  <si>
    <t>St.C&amp;G.Psyc</t>
  </si>
  <si>
    <t>St.C&amp;G.Soc</t>
  </si>
  <si>
    <t>St.C&amp;G.Othr</t>
  </si>
  <si>
    <t>St.C&amp;G.Non</t>
  </si>
  <si>
    <t>St.All.Comp</t>
  </si>
  <si>
    <t>St.All.Eng</t>
  </si>
  <si>
    <t>St.All.Geo</t>
  </si>
  <si>
    <t>St.All.Life</t>
  </si>
  <si>
    <t>St.All.Math</t>
  </si>
  <si>
    <t>St.All.Phys</t>
  </si>
  <si>
    <t>St.All.Psyc</t>
  </si>
  <si>
    <t>St.All.Soc</t>
  </si>
  <si>
    <t>St.All.Othr</t>
  </si>
  <si>
    <t>St.All.Non</t>
  </si>
  <si>
    <t>Inst.Comp</t>
  </si>
  <si>
    <t>Inst.Eng</t>
  </si>
  <si>
    <t>Inst.Geo</t>
  </si>
  <si>
    <t>Inst.Life</t>
  </si>
  <si>
    <t>Inst.Math</t>
  </si>
  <si>
    <t>Inst.Phys</t>
  </si>
  <si>
    <t>Inst.Psyc</t>
  </si>
  <si>
    <t>Inst.Soc</t>
  </si>
  <si>
    <t>Inst.Othr</t>
  </si>
  <si>
    <t>Inst.Non</t>
  </si>
  <si>
    <t>P4P.Comp</t>
  </si>
  <si>
    <t>P4P.Eng</t>
  </si>
  <si>
    <t>P4P.Geo</t>
  </si>
  <si>
    <t>P4P.Life</t>
  </si>
  <si>
    <t>P4P.Math</t>
  </si>
  <si>
    <t>P4P.Phys</t>
  </si>
  <si>
    <t>P4P.Psyc</t>
  </si>
  <si>
    <t>P4P.Soc</t>
  </si>
  <si>
    <t>P4P.Othr</t>
  </si>
  <si>
    <t>P4P.Non</t>
  </si>
  <si>
    <t>PNP.Comp</t>
  </si>
  <si>
    <t>PNP.Eng</t>
  </si>
  <si>
    <t>PNP.Geo</t>
  </si>
  <si>
    <t>PNP.Life</t>
  </si>
  <si>
    <t>PNP.Math</t>
  </si>
  <si>
    <t>PNP.Phys</t>
  </si>
  <si>
    <t>PNP.Psyc</t>
  </si>
  <si>
    <t>PNP.Soc</t>
  </si>
  <si>
    <t>PNP.Othr</t>
  </si>
  <si>
    <t>PNP.Non</t>
  </si>
  <si>
    <t>P.All.Comp</t>
  </si>
  <si>
    <t>P.All.Eng</t>
  </si>
  <si>
    <t>P.All.Geo</t>
  </si>
  <si>
    <t>P.All.Life</t>
  </si>
  <si>
    <t>P.All.Math</t>
  </si>
  <si>
    <t>P.All.Phys</t>
  </si>
  <si>
    <t>P.All.Psyc</t>
  </si>
  <si>
    <t>P.All.Soc</t>
  </si>
  <si>
    <t>P.All.Othr</t>
  </si>
  <si>
    <t>P.All.Non</t>
  </si>
  <si>
    <t>Fed.MedRes</t>
  </si>
  <si>
    <t>Fed.Adult</t>
  </si>
  <si>
    <t>Fed.Embr</t>
  </si>
  <si>
    <t>St.MedRes</t>
  </si>
  <si>
    <t>St.Embr</t>
  </si>
  <si>
    <t>St.C&amp;G.MedRes</t>
  </si>
  <si>
    <t>St.C&amp;G.Adult</t>
  </si>
  <si>
    <t>St.C&amp;G.Embr</t>
  </si>
  <si>
    <t>St.All.MedRes</t>
  </si>
  <si>
    <t>St.All.Adult</t>
  </si>
  <si>
    <t>St.All.Embr</t>
  </si>
  <si>
    <t>Inst.MedRes</t>
  </si>
  <si>
    <t>Inst.Adult</t>
  </si>
  <si>
    <t>Inst.Embr</t>
  </si>
  <si>
    <t>P4P.MedRes</t>
  </si>
  <si>
    <t>P4P.Adult</t>
  </si>
  <si>
    <t>P4P.Embr</t>
  </si>
  <si>
    <t>PNP.Adult</t>
  </si>
  <si>
    <t>PNP.Embr</t>
  </si>
  <si>
    <t>P.All.MedRes</t>
  </si>
  <si>
    <t>P.All.Adult</t>
  </si>
  <si>
    <t>P.All.Embr</t>
  </si>
  <si>
    <t>S.M.Res</t>
  </si>
  <si>
    <t>S.M.NetE&amp;G</t>
  </si>
  <si>
    <t>The University of Texas of the Permian Basin</t>
  </si>
  <si>
    <t>The University of Texas at San Antonio</t>
  </si>
  <si>
    <t>The University of Texas at Tyler</t>
  </si>
  <si>
    <t>Texas A&amp;M University</t>
  </si>
  <si>
    <t>Texas A&amp;M University at Galveston</t>
  </si>
  <si>
    <t>Prairie View A&amp;M University</t>
  </si>
  <si>
    <t>Tarleton State University</t>
  </si>
  <si>
    <t>Texas A&amp;M University - Corpus Christi</t>
  </si>
  <si>
    <t>Texas A&amp;M University - Kingsville</t>
  </si>
  <si>
    <t>Texas A&amp;M International University</t>
  </si>
  <si>
    <t>West Texas A&amp;M University</t>
  </si>
  <si>
    <t>East Texas A&amp;M University</t>
  </si>
  <si>
    <t>Texas A&amp;M University - Texarkana</t>
  </si>
  <si>
    <t>Texas A&amp;M University - Central Texas</t>
  </si>
  <si>
    <t>Texas A&amp;M University - San Antonio</t>
  </si>
  <si>
    <t>University of Houston (A+H)</t>
  </si>
  <si>
    <t>University of Houston - Clear Lake</t>
  </si>
  <si>
    <t>University of Houston - Downtown</t>
  </si>
  <si>
    <t>University of Houston - Victoria</t>
  </si>
  <si>
    <t>Lamar University</t>
  </si>
  <si>
    <t>Sam Houston State University (A+H)</t>
  </si>
  <si>
    <t>Sul Ross State University</t>
  </si>
  <si>
    <t>Texas Tech University</t>
  </si>
  <si>
    <t>Angelo State University</t>
  </si>
  <si>
    <t>University of North Texas at Dallas</t>
  </si>
  <si>
    <t>Midwestern State University</t>
  </si>
  <si>
    <t>Stephen F. Austin State University</t>
  </si>
  <si>
    <t>The University of Texas Southwestern Medical Center</t>
  </si>
  <si>
    <t>The University of Texas at Arlington</t>
  </si>
  <si>
    <t>The University of Texas Medical Branch at Galveston</t>
  </si>
  <si>
    <t>The University of Texas Health Science Center at Houston</t>
  </si>
  <si>
    <t>The University of Texas Health Science Center at San Antonio</t>
  </si>
  <si>
    <t>The University of Texas M.D. Anderson Cancer Center</t>
  </si>
  <si>
    <t>The University of Texas Health Science Center at Tyler</t>
  </si>
  <si>
    <t>University of North Texas Health Science Center at Fort Worth</t>
  </si>
  <si>
    <t>Texas Tech University Health Sciences Center</t>
  </si>
  <si>
    <t>Texas Tech University Health Sciences Center at El Paso</t>
  </si>
  <si>
    <t>Lamar Institute of Technology</t>
  </si>
  <si>
    <t>Lamar State College - Orange</t>
  </si>
  <si>
    <t>The University of Texas at Austin (A+H)</t>
  </si>
  <si>
    <t>The University of Texas at Austin (M)</t>
  </si>
  <si>
    <t>Lamar State College - Port Arthur</t>
  </si>
  <si>
    <t>Texas State Technical College - Harlingen</t>
  </si>
  <si>
    <t>University of Houston (M)</t>
  </si>
  <si>
    <t>Sam Houston State University (M)</t>
  </si>
  <si>
    <t>Texas State Technical College - West Texas</t>
  </si>
  <si>
    <t>Texas State Technical College - Marshall</t>
  </si>
  <si>
    <t>Texas State Technical College - Waco</t>
  </si>
  <si>
    <t>Texas State Technical College - North Texas</t>
  </si>
  <si>
    <t>Texas State Technical College - Fort Bend</t>
  </si>
  <si>
    <t>System</t>
  </si>
  <si>
    <t>The University of Texas at Dallas</t>
  </si>
  <si>
    <t>Texas A&amp;M AgriLife Research</t>
  </si>
  <si>
    <t>Texas A&amp;M Engineering Experiment Station</t>
  </si>
  <si>
    <t>The University of Texas at El Paso</t>
  </si>
  <si>
    <t>William Marsh Rice University</t>
  </si>
  <si>
    <t>Type</t>
  </si>
  <si>
    <t>Sort</t>
  </si>
  <si>
    <t>Status</t>
  </si>
  <si>
    <t>PEER</t>
  </si>
  <si>
    <t>FICE</t>
  </si>
  <si>
    <t>T.501</t>
  </si>
  <si>
    <t>Academic Space Model</t>
  </si>
  <si>
    <t>Institution</t>
  </si>
  <si>
    <t>Fiscal Year 2025</t>
  </si>
  <si>
    <t>Texas A&amp;M University System Health Science Center</t>
  </si>
  <si>
    <t>Texas State University</t>
  </si>
  <si>
    <t>University of North Texas</t>
  </si>
  <si>
    <t>Texas Southern University</t>
  </si>
  <si>
    <t>Texas Woman's University</t>
  </si>
  <si>
    <t>1)</t>
  </si>
  <si>
    <t>2)</t>
  </si>
  <si>
    <t>3)</t>
  </si>
  <si>
    <t>4)</t>
  </si>
  <si>
    <t>Federal</t>
  </si>
  <si>
    <t>State of Texas</t>
  </si>
  <si>
    <t>Institutional</t>
  </si>
  <si>
    <t>Private</t>
  </si>
  <si>
    <t>Total</t>
  </si>
  <si>
    <t>Business</t>
  </si>
  <si>
    <t>Nonprofit</t>
  </si>
  <si>
    <t>All Other</t>
  </si>
  <si>
    <t>Summary of R&amp;D Expenditures</t>
  </si>
  <si>
    <t xml:space="preserve">State and Local Government </t>
  </si>
  <si>
    <t>Institutional Funds</t>
  </si>
  <si>
    <t>R &amp; D expenses from the AFR</t>
  </si>
  <si>
    <t>Research Expenditures by Discipline</t>
  </si>
  <si>
    <t xml:space="preserve">State Contracts &amp; Grants </t>
  </si>
  <si>
    <t>Computer and Information Sciences</t>
  </si>
  <si>
    <t>Engineering</t>
  </si>
  <si>
    <t>Geosciences, Atmospheric Sciences, and Ocean Sciences</t>
  </si>
  <si>
    <t>Life Sciences</t>
  </si>
  <si>
    <t>Mathematics and Statistics</t>
  </si>
  <si>
    <t>Physical Sciences</t>
  </si>
  <si>
    <t>Psychology</t>
  </si>
  <si>
    <t>Social Sciences</t>
  </si>
  <si>
    <t>Other Sciences</t>
  </si>
  <si>
    <t>Non-S&amp;E Fields</t>
  </si>
  <si>
    <t>Method of Funding Error Check</t>
  </si>
  <si>
    <t>Select Areas of Special Interest</t>
  </si>
  <si>
    <t>Medical Research</t>
  </si>
  <si>
    <t>Human Stem Cells - Adult¹</t>
  </si>
  <si>
    <t>Human Stem Cells - Embryonic¹</t>
  </si>
  <si>
    <t>1) Human stem cell research (adult and embryonic) was added to this in Fiscal Year 2013, as required by Texas Education Code, Chapter 61 Subchapter C, Section 61.0662 (d).</t>
  </si>
  <si>
    <t>For the Year Ended August 31, 2025</t>
  </si>
  <si>
    <t>PNP.MedRes</t>
  </si>
  <si>
    <t>Fed.BAL</t>
  </si>
  <si>
    <t>St.BAL</t>
  </si>
  <si>
    <t>St.C&amp;G.BAL</t>
  </si>
  <si>
    <t>St.All.BAL</t>
  </si>
  <si>
    <t>Inst.BAL</t>
  </si>
  <si>
    <t>P4P.BAL</t>
  </si>
  <si>
    <t>PNP.BAL</t>
  </si>
  <si>
    <t>P.All.BAL</t>
  </si>
  <si>
    <t>SRECNP.BAL</t>
  </si>
  <si>
    <t>SRECNP.RES</t>
  </si>
  <si>
    <t>First</t>
  </si>
  <si>
    <t>Last</t>
  </si>
  <si>
    <t>Phone</t>
  </si>
  <si>
    <t>Email</t>
  </si>
  <si>
    <t>First.ALT</t>
  </si>
  <si>
    <t>Last.ALT</t>
  </si>
  <si>
    <t>Phone.ALT</t>
  </si>
  <si>
    <t>Email.ALT</t>
  </si>
  <si>
    <t>Carrie</t>
  </si>
  <si>
    <t>McMahan</t>
  </si>
  <si>
    <t>mcmahan_c@utpb.edu</t>
  </si>
  <si>
    <t>Natalie</t>
  </si>
  <si>
    <t>Harms</t>
  </si>
  <si>
    <t>harms_n@utpb.edu</t>
  </si>
  <si>
    <t>Cynthia</t>
  </si>
  <si>
    <t>Schweers</t>
  </si>
  <si>
    <t>Cynthia.schweers@utsa.edu</t>
  </si>
  <si>
    <t>Gregory</t>
  </si>
  <si>
    <t>Yturralde</t>
  </si>
  <si>
    <t>Gregory.yturralde@utsa.edu</t>
  </si>
  <si>
    <t>Brenda</t>
  </si>
  <si>
    <t>Golemon</t>
  </si>
  <si>
    <t>bgolemon@uttyler.edu</t>
  </si>
  <si>
    <t>Charles</t>
  </si>
  <si>
    <t>Lemay</t>
  </si>
  <si>
    <t>clemay@uttyler.edu</t>
  </si>
  <si>
    <t>Nancy</t>
  </si>
  <si>
    <t>Hranicky</t>
  </si>
  <si>
    <t>nhranicky@tamus.edu</t>
  </si>
  <si>
    <t>Cris</t>
  </si>
  <si>
    <t>Sowden</t>
  </si>
  <si>
    <t>crisla@tamu.edu</t>
  </si>
  <si>
    <t>Theresa</t>
  </si>
  <si>
    <t>Augustin</t>
  </si>
  <si>
    <t>thaugustin@pvamu.edu</t>
  </si>
  <si>
    <t>Sheila</t>
  </si>
  <si>
    <t>Hawkins</t>
  </si>
  <si>
    <t>hawkins@tarleton.edu</t>
  </si>
  <si>
    <t>Cassie</t>
  </si>
  <si>
    <t>Eyring</t>
  </si>
  <si>
    <t>cassie.eyring@tamucc.edu</t>
  </si>
  <si>
    <t>Samantha</t>
  </si>
  <si>
    <t>Padilla</t>
  </si>
  <si>
    <t>samantha.padilla@tamuk.edu</t>
  </si>
  <si>
    <t>Robyn</t>
  </si>
  <si>
    <t>Wallace</t>
  </si>
  <si>
    <t>robyn.wallace@tamuk.edu</t>
  </si>
  <si>
    <t>Elena</t>
  </si>
  <si>
    <t>Martinez</t>
  </si>
  <si>
    <t>emartinez@tamiu.edu</t>
  </si>
  <si>
    <t>Tammy</t>
  </si>
  <si>
    <t>Cooper</t>
  </si>
  <si>
    <t>tammy.cooper@etamu.edu</t>
  </si>
  <si>
    <t>Rhonda</t>
  </si>
  <si>
    <t>Jones</t>
  </si>
  <si>
    <t>rjones@tamut.edu</t>
  </si>
  <si>
    <t>Danielle</t>
  </si>
  <si>
    <t>Clouden</t>
  </si>
  <si>
    <t>d.clouden@tamuct.edu</t>
  </si>
  <si>
    <t>Elias</t>
  </si>
  <si>
    <t>Sanchez</t>
  </si>
  <si>
    <t>esanchez3@tamusa.edu</t>
  </si>
  <si>
    <t>University of Houston (A+H+M)</t>
  </si>
  <si>
    <t>Folasade</t>
  </si>
  <si>
    <t>Baker</t>
  </si>
  <si>
    <t>fbaker@central.uh.edu</t>
  </si>
  <si>
    <t>Leslie</t>
  </si>
  <si>
    <t>Fluharty</t>
  </si>
  <si>
    <t>laskweres@uh.edu</t>
  </si>
  <si>
    <t>Tanjina</t>
  </si>
  <si>
    <t>Rahman</t>
  </si>
  <si>
    <t>Rahman@uhcl.edu</t>
  </si>
  <si>
    <t>Charlotte</t>
  </si>
  <si>
    <t>Abrams</t>
  </si>
  <si>
    <t>Abrams@uhcl.edu</t>
  </si>
  <si>
    <t>TIFFANY</t>
  </si>
  <si>
    <t>LUONG</t>
  </si>
  <si>
    <t>nguyent@uhd.edu</t>
  </si>
  <si>
    <t>Meneley</t>
  </si>
  <si>
    <t>meneleyt@uhd.edu</t>
  </si>
  <si>
    <t>June</t>
  </si>
  <si>
    <t>Nelson</t>
  </si>
  <si>
    <t>nelsonj@tamuv.edu</t>
  </si>
  <si>
    <t>Mollie</t>
  </si>
  <si>
    <t>Holt</t>
  </si>
  <si>
    <t>holtm@tamuv.edu</t>
  </si>
  <si>
    <t>Spencer</t>
  </si>
  <si>
    <t>Sims</t>
  </si>
  <si>
    <t>simsss@lamar.edu</t>
  </si>
  <si>
    <t>Aisha</t>
  </si>
  <si>
    <t>Davis</t>
  </si>
  <si>
    <t>aavery7@lamar.edu</t>
  </si>
  <si>
    <t>Sam Houston State University (A+H+M)</t>
  </si>
  <si>
    <t>Jennifer</t>
  </si>
  <si>
    <t>jlj093@shshu.ed</t>
  </si>
  <si>
    <t>Babcock</t>
  </si>
  <si>
    <t>jlb050@shsu.edu</t>
  </si>
  <si>
    <t>jlj093@shsu.edu</t>
  </si>
  <si>
    <t>Bonnie</t>
  </si>
  <si>
    <t>Albright</t>
  </si>
  <si>
    <t>Bonnie.Albright@sulross.edu</t>
  </si>
  <si>
    <t>Alicia</t>
  </si>
  <si>
    <t>Salinas</t>
  </si>
  <si>
    <t>Alicia.Salinas@sulross.edu</t>
  </si>
  <si>
    <t>Lori</t>
  </si>
  <si>
    <t>Eppler</t>
  </si>
  <si>
    <t>lori.eppler@ttu.edu</t>
  </si>
  <si>
    <t>Eric</t>
  </si>
  <si>
    <t>Fisher</t>
  </si>
  <si>
    <t>eric.fisher@ttu.edu</t>
  </si>
  <si>
    <t>Gina</t>
  </si>
  <si>
    <t>Councilman</t>
  </si>
  <si>
    <t>gina.councilman@angelo.edu</t>
  </si>
  <si>
    <t>Jackie</t>
  </si>
  <si>
    <t>Baxter</t>
  </si>
  <si>
    <t>jackie.baxter@angelo.edu</t>
  </si>
  <si>
    <t>Leigh-Ann</t>
  </si>
  <si>
    <t>Fashina</t>
  </si>
  <si>
    <t>Leigh-Ann.Fashina@untdallas.edu</t>
  </si>
  <si>
    <t>Gia</t>
  </si>
  <si>
    <t>Doss</t>
  </si>
  <si>
    <t>Gia.Doss@untdallas.edu</t>
  </si>
  <si>
    <t xml:space="preserve">Anna </t>
  </si>
  <si>
    <t>Daugherty</t>
  </si>
  <si>
    <t>anna.daugherty@msutexas.edu</t>
  </si>
  <si>
    <t>Chris</t>
  </si>
  <si>
    <t>Stovall</t>
  </si>
  <si>
    <t>chris.stovall@msutexas.edu</t>
  </si>
  <si>
    <t>Kendall</t>
  </si>
  <si>
    <t>Rocha</t>
  </si>
  <si>
    <t>rochaka@sfasu.edu</t>
  </si>
  <si>
    <t>Kay</t>
  </si>
  <si>
    <t>Johnson</t>
  </si>
  <si>
    <t>johnsondk6@sfasu.edu</t>
  </si>
  <si>
    <t>Sharon</t>
  </si>
  <si>
    <t>Leary</t>
  </si>
  <si>
    <t>Sharon.Leary@UTSouthwestern.edu</t>
  </si>
  <si>
    <t>John</t>
  </si>
  <si>
    <t>Schmidt</t>
  </si>
  <si>
    <t>John.Schmidt@UTSouthwestern.edu</t>
  </si>
  <si>
    <t>Debra</t>
  </si>
  <si>
    <t>debra.johnson@uta.edu</t>
  </si>
  <si>
    <t>Marie</t>
  </si>
  <si>
    <t>Adams</t>
  </si>
  <si>
    <t>marie.adams@uta.edu</t>
  </si>
  <si>
    <t>Joshua</t>
  </si>
  <si>
    <t>Tucker</t>
  </si>
  <si>
    <t>joatucke@utmb.edu</t>
  </si>
  <si>
    <t>Felicia</t>
  </si>
  <si>
    <t>Trigo</t>
  </si>
  <si>
    <t>fdtrigo@utmb.edu</t>
  </si>
  <si>
    <t>Scott</t>
  </si>
  <si>
    <t>Barnett</t>
  </si>
  <si>
    <t>Scott.Barnett@uth.tmc.edu</t>
  </si>
  <si>
    <t>Kristin</t>
  </si>
  <si>
    <t>Cao</t>
  </si>
  <si>
    <t>Kristin.Cao@uth.tmc.edu</t>
  </si>
  <si>
    <t>Yinwen</t>
  </si>
  <si>
    <t>Li</t>
  </si>
  <si>
    <t>liy2@uthscsa.edu</t>
  </si>
  <si>
    <t>Monica</t>
  </si>
  <si>
    <t xml:space="preserve">Davila </t>
  </si>
  <si>
    <t>mdavila7@mdanderson.org</t>
  </si>
  <si>
    <t>Cristina</t>
  </si>
  <si>
    <t>Gonzales</t>
  </si>
  <si>
    <t>crisgonzales@mdanderson.org</t>
  </si>
  <si>
    <t>Aaron</t>
  </si>
  <si>
    <t>clemay@utttyler.edu</t>
  </si>
  <si>
    <t>Elbrich</t>
  </si>
  <si>
    <t>Debbie</t>
  </si>
  <si>
    <t>elbrich@tamu.edu</t>
  </si>
  <si>
    <t>Julie</t>
  </si>
  <si>
    <t>Meisinger</t>
  </si>
  <si>
    <t>julie.meisinger@unthealth.edu</t>
  </si>
  <si>
    <t>Tonya</t>
  </si>
  <si>
    <t>Woodrow</t>
  </si>
  <si>
    <t>tonya.woodrow@unthealth.edu</t>
  </si>
  <si>
    <t>REBECCA</t>
  </si>
  <si>
    <t>AGUILAR</t>
  </si>
  <si>
    <t>REBECCA,.AGUILAR@TTUHSC.EDU</t>
  </si>
  <si>
    <t>MIKE</t>
  </si>
  <si>
    <t>WEST</t>
  </si>
  <si>
    <t>MICHAEL.WEST@TTUHSC.EDU</t>
  </si>
  <si>
    <t xml:space="preserve">Blessing Washington </t>
  </si>
  <si>
    <t>cblessin@ttuhsc.edu</t>
  </si>
  <si>
    <t>Karina</t>
  </si>
  <si>
    <t>Rodriguez</t>
  </si>
  <si>
    <t>karina1.rodriguez@ttuhsc.edu</t>
  </si>
  <si>
    <t>Placette</t>
  </si>
  <si>
    <t>aaplacette@lit.edu</t>
  </si>
  <si>
    <t>Amanda</t>
  </si>
  <si>
    <t>Retherford</t>
  </si>
  <si>
    <t>amretherford@lit.edu</t>
  </si>
  <si>
    <t>The University of Texas at Austin (A+H+M)</t>
  </si>
  <si>
    <t>Jared</t>
  </si>
  <si>
    <t>Ensign</t>
  </si>
  <si>
    <t>jared.ensign@austin.utexas.edu</t>
  </si>
  <si>
    <t>Michelle</t>
  </si>
  <si>
    <t>Lee</t>
  </si>
  <si>
    <t>michelle.lee2@austin.utexas.edu</t>
  </si>
  <si>
    <t>Jamie</t>
  </si>
  <si>
    <t>Oltz</t>
  </si>
  <si>
    <t>Jamie.Oltz@lsco.edu</t>
  </si>
  <si>
    <t>Carissa</t>
  </si>
  <si>
    <t>Saenz</t>
  </si>
  <si>
    <t>Carissa.Saenz@lsco.edu</t>
  </si>
  <si>
    <t>Steven</t>
  </si>
  <si>
    <t>Lerma</t>
  </si>
  <si>
    <t>steven.lerma@utrgv.edu</t>
  </si>
  <si>
    <t>Lilia</t>
  </si>
  <si>
    <t>St. Clair</t>
  </si>
  <si>
    <t>lilia.stclair@utrgv.edu</t>
  </si>
  <si>
    <t>Newsome</t>
  </si>
  <si>
    <t>Steffany</t>
  </si>
  <si>
    <t>newsomes@lamarpa.edu</t>
  </si>
  <si>
    <t>Clements</t>
  </si>
  <si>
    <t xml:space="preserve">Brittany </t>
  </si>
  <si>
    <t>taylorbr1@lamarpa.edu</t>
  </si>
  <si>
    <t>Christopher</t>
  </si>
  <si>
    <t>Greenwood</t>
  </si>
  <si>
    <t>christopher.greenwood@tstc.edu</t>
  </si>
  <si>
    <t>Jessica</t>
  </si>
  <si>
    <t>Montalvo</t>
  </si>
  <si>
    <t>jessica.montalvo@tstc.edu</t>
  </si>
  <si>
    <t>Cindy</t>
  </si>
  <si>
    <t>Milligan</t>
  </si>
  <si>
    <t>cxm133830@utdallas.edu</t>
  </si>
  <si>
    <t xml:space="preserve">Melody </t>
  </si>
  <si>
    <t xml:space="preserve">Monjazeb </t>
  </si>
  <si>
    <t>melody.monjazeb@utdallas.edu</t>
  </si>
  <si>
    <t>Lyndee</t>
  </si>
  <si>
    <t>Park-Jones</t>
  </si>
  <si>
    <t>lyndee.park@ag.tamu.edu</t>
  </si>
  <si>
    <t>Texas A&amp;M AgriLife Extension Service</t>
  </si>
  <si>
    <t>Cain</t>
  </si>
  <si>
    <t>jennifer.cain@ag.tamu.edu</t>
  </si>
  <si>
    <t xml:space="preserve">Jiying </t>
  </si>
  <si>
    <t>Yu</t>
  </si>
  <si>
    <t>j-yu@tamu.edu</t>
  </si>
  <si>
    <t>Texas A&amp;M Engineering Extension Service</t>
  </si>
  <si>
    <t>Deepak</t>
  </si>
  <si>
    <t>Tyagi</t>
  </si>
  <si>
    <t>monty.tyagi@teex.tamu.edu</t>
  </si>
  <si>
    <t>Texas A&amp;M Forest Service</t>
  </si>
  <si>
    <t>Travis</t>
  </si>
  <si>
    <t>Zamzow</t>
  </si>
  <si>
    <t>tzamzow@tfs.tamu.edu</t>
  </si>
  <si>
    <t>Texas A&amp;M Transportation Institute</t>
  </si>
  <si>
    <t>Stephanie</t>
  </si>
  <si>
    <t>s-barnett@tti.tamu.edu</t>
  </si>
  <si>
    <t>Texas A&amp;M Vet. Medical Diagnostic Laboratory</t>
  </si>
  <si>
    <t>Adrienne</t>
  </si>
  <si>
    <t>Person</t>
  </si>
  <si>
    <t>adrienne.person@tvmdl.tamu.edu</t>
  </si>
  <si>
    <t>Texas Division of Emergency Management</t>
  </si>
  <si>
    <t>Daniel</t>
  </si>
  <si>
    <t>Pall</t>
  </si>
  <si>
    <t>Daniel.Pall@tdem.texas.gov</t>
  </si>
  <si>
    <t>Texas A&amp;M System Shared Services Center</t>
  </si>
  <si>
    <t>Verna</t>
  </si>
  <si>
    <t>Fritsch</t>
  </si>
  <si>
    <t>vfritsche@tamus.edu</t>
  </si>
  <si>
    <t>Dominguez</t>
  </si>
  <si>
    <t>drdominguez@utep.edu</t>
  </si>
  <si>
    <t>Germán</t>
  </si>
  <si>
    <t>Hurtado</t>
  </si>
  <si>
    <t>hugerman@utep.edu</t>
  </si>
  <si>
    <t>Abilene Christian University</t>
  </si>
  <si>
    <t>N/A</t>
  </si>
  <si>
    <t>Raymond</t>
  </si>
  <si>
    <t>Wilkinson</t>
  </si>
  <si>
    <t>rww08b@acu.edu</t>
  </si>
  <si>
    <t>Karen</t>
  </si>
  <si>
    <t>Gililland</t>
  </si>
  <si>
    <t>kmg10b@acu.edu</t>
  </si>
  <si>
    <t>Austin College</t>
  </si>
  <si>
    <t>Amon</t>
  </si>
  <si>
    <t>Seagull</t>
  </si>
  <si>
    <t>aseagull@austincollege.edu</t>
  </si>
  <si>
    <t>Krystal</t>
  </si>
  <si>
    <t>Hutcheson</t>
  </si>
  <si>
    <t>khutcheson@austincollege.edu</t>
  </si>
  <si>
    <t>Baylor University</t>
  </si>
  <si>
    <t>Todd</t>
  </si>
  <si>
    <t>cindy_todd@baylor.edu</t>
  </si>
  <si>
    <t>Suzanne</t>
  </si>
  <si>
    <t>Weems</t>
  </si>
  <si>
    <t>suzanne_weems@baylor.edu</t>
  </si>
  <si>
    <t>East Texas Baptist University</t>
  </si>
  <si>
    <t>Joanna</t>
  </si>
  <si>
    <t>Hammond</t>
  </si>
  <si>
    <t>jhammond@etbu.edu</t>
  </si>
  <si>
    <t>Bryan</t>
  </si>
  <si>
    <t>Fitts</t>
  </si>
  <si>
    <t>bfitts@etbu.edu</t>
  </si>
  <si>
    <t>Houston Christian University</t>
  </si>
  <si>
    <t>Amy</t>
  </si>
  <si>
    <t>McGilvray</t>
  </si>
  <si>
    <t>amcgilvray@hc.edu</t>
  </si>
  <si>
    <t>Mariela</t>
  </si>
  <si>
    <t>Mena</t>
  </si>
  <si>
    <t>mmena@hc.edu</t>
  </si>
  <si>
    <t>Mcmurry University</t>
  </si>
  <si>
    <t>Warren</t>
  </si>
  <si>
    <t>warren.sheila@mcm.edu</t>
  </si>
  <si>
    <t>Sabrina</t>
  </si>
  <si>
    <t>gonzales.sabrina@mcm.edu</t>
  </si>
  <si>
    <t>Our Lady Of The Lake University</t>
  </si>
  <si>
    <t>Newman</t>
  </si>
  <si>
    <t>Wong</t>
  </si>
  <si>
    <t>nwong@ollusa.edu</t>
  </si>
  <si>
    <t>Teresita</t>
  </si>
  <si>
    <t>Munguia</t>
  </si>
  <si>
    <t>tmunguia@ollusa.edu</t>
  </si>
  <si>
    <t>Parker University</t>
  </si>
  <si>
    <t>MICHAEL</t>
  </si>
  <si>
    <t>JACKSON</t>
  </si>
  <si>
    <t>michael.jackson@parker.edu</t>
  </si>
  <si>
    <t>Marianne</t>
  </si>
  <si>
    <t>Wilson</t>
  </si>
  <si>
    <t>mwilson@parker.edu</t>
  </si>
  <si>
    <t>James</t>
  </si>
  <si>
    <t>Webb</t>
  </si>
  <si>
    <t>james.webb@tsus.edu</t>
  </si>
  <si>
    <t>Harper</t>
  </si>
  <si>
    <t>daniel.harper@tsus.edu</t>
  </si>
  <si>
    <t>Mallory</t>
  </si>
  <si>
    <t>Barnes</t>
  </si>
  <si>
    <t>mallory.barnes@ttu.edu</t>
  </si>
  <si>
    <t>Carmichael</t>
  </si>
  <si>
    <t>Sarah</t>
  </si>
  <si>
    <t>sarah.carmichael@ttu.edu</t>
  </si>
  <si>
    <t>Micchael</t>
  </si>
  <si>
    <t>Hensley</t>
  </si>
  <si>
    <t>michael.hensley@untsystem.edu</t>
  </si>
  <si>
    <t>Brittany</t>
  </si>
  <si>
    <t>Wisdom</t>
  </si>
  <si>
    <t>brittany.wisdom@untsystem.edu</t>
  </si>
  <si>
    <t>Paula</t>
  </si>
  <si>
    <t>Castanon</t>
  </si>
  <si>
    <t>pcastanon@utsystem.edu</t>
  </si>
  <si>
    <t>Rayomand</t>
  </si>
  <si>
    <t>Ghadiali</t>
  </si>
  <si>
    <t>rghadiali@utsystem.edu</t>
  </si>
  <si>
    <t>Southwestern University</t>
  </si>
  <si>
    <t>Carolyn</t>
  </si>
  <si>
    <t>Kil</t>
  </si>
  <si>
    <t>carolynkil@southwestern.edu</t>
  </si>
  <si>
    <t>Kimberly</t>
  </si>
  <si>
    <t>Faris</t>
  </si>
  <si>
    <t>farisk@southwestern.edu</t>
  </si>
  <si>
    <t>Texas Christian University</t>
  </si>
  <si>
    <t>Lindsey</t>
  </si>
  <si>
    <t>Millns</t>
  </si>
  <si>
    <t>l.millns@tcu.edu</t>
  </si>
  <si>
    <t>Laurie</t>
  </si>
  <si>
    <t>Harris</t>
  </si>
  <si>
    <t>laurie.harris@tcu.edu</t>
  </si>
  <si>
    <t>Texas Lutheran University</t>
  </si>
  <si>
    <t>Heiser</t>
  </si>
  <si>
    <t>cdheiser@tlu.edu</t>
  </si>
  <si>
    <t>Jeff</t>
  </si>
  <si>
    <t>Jandt</t>
  </si>
  <si>
    <t>jjandt@tlu.edu</t>
  </si>
  <si>
    <t>Trinity University</t>
  </si>
  <si>
    <t>Brell</t>
  </si>
  <si>
    <t>sbrell@trinity.edu</t>
  </si>
  <si>
    <t>University Of Dallas</t>
  </si>
  <si>
    <t>Deborah</t>
  </si>
  <si>
    <t>Zimmerman</t>
  </si>
  <si>
    <t>dbzimmerman@udallas.edu</t>
  </si>
  <si>
    <t>Horvath</t>
  </si>
  <si>
    <t>khorvath@udallas.edu</t>
  </si>
  <si>
    <t>Wayland Baptist University</t>
  </si>
  <si>
    <t>Gregg</t>
  </si>
  <si>
    <t>Greer</t>
  </si>
  <si>
    <t>greerg@wbu.edu</t>
  </si>
  <si>
    <t>McClenagan</t>
  </si>
  <si>
    <t>cindym@wbu.edu</t>
  </si>
  <si>
    <t>Megan</t>
  </si>
  <si>
    <t>Buie</t>
  </si>
  <si>
    <t>mb218@rice.edu</t>
  </si>
  <si>
    <t>Yeung</t>
  </si>
  <si>
    <t>jayeung@rice.edu</t>
  </si>
  <si>
    <t>Institution Type</t>
  </si>
  <si>
    <t>Private/Independent</t>
  </si>
  <si>
    <t>Texas Public Universities</t>
  </si>
  <si>
    <t>TTU</t>
  </si>
  <si>
    <t>UNIV</t>
  </si>
  <si>
    <t>TAMUS</t>
  </si>
  <si>
    <t>Lamar State Colleges</t>
  </si>
  <si>
    <t>LSC</t>
  </si>
  <si>
    <t>TXST</t>
  </si>
  <si>
    <t>Texas Public University with Medical School</t>
  </si>
  <si>
    <t>AHM</t>
  </si>
  <si>
    <t>Health - Related Institutions</t>
  </si>
  <si>
    <t>HRI</t>
  </si>
  <si>
    <t>UTS</t>
  </si>
  <si>
    <t>Agency</t>
  </si>
  <si>
    <t>SYS</t>
  </si>
  <si>
    <t xml:space="preserve"> Texas State Technical Colleges</t>
  </si>
  <si>
    <t>TSTC</t>
  </si>
  <si>
    <t>UHS</t>
  </si>
  <si>
    <t>UNT</t>
  </si>
  <si>
    <t>TAMU</t>
  </si>
  <si>
    <t>P00031</t>
  </si>
  <si>
    <t>P00032</t>
  </si>
  <si>
    <t>P00030</t>
  </si>
  <si>
    <t>RES</t>
  </si>
  <si>
    <t>P00033</t>
  </si>
  <si>
    <t>P00034</t>
  </si>
  <si>
    <t>St.Adult</t>
  </si>
  <si>
    <t>This section provides a summary of the institution’s reported research expenditures categorized by research field, along with corresponding funding sources. Beginning fiscal year 2025, the listed disciplines have been updated to align with the National Science Foundation (NSF) Higher Education Research and Development (HERD) Survey.</t>
  </si>
  <si>
    <t>This section provides information on expenditures in areas of special interest that have specific statutory reporting requirements. The column and cumulative totals under this section may not equal the total research expenditures reported in the sections above.</t>
  </si>
  <si>
    <t>This section provides a summary of the institution’s reported research expenditures, in accordance with state reporting guidelines. For more information on reporting requirements, see Texas Education Code, §61.0662, and Texas Administrative Code Title 19, Part 1, Chapter 13, Subchapter M, Total Research Expenditures.</t>
  </si>
  <si>
    <t>Research Expenditure Summary (by Institution Type)</t>
  </si>
  <si>
    <t>Research Expenditures (by Institution)</t>
  </si>
  <si>
    <t>Research Expenditures</t>
  </si>
  <si>
    <t>State</t>
  </si>
  <si>
    <t>Federal &amp; Private</t>
  </si>
  <si>
    <t>Top 4 Disciplines (if applicable)</t>
  </si>
  <si>
    <t>Notes:</t>
  </si>
  <si>
    <t>Institutions included:</t>
  </si>
  <si>
    <t>Research Expenditure Data to Almanac</t>
  </si>
  <si>
    <t>https://reportcenter.highered.texas.gov/agency-publication/almanac/</t>
  </si>
  <si>
    <t>Almanac</t>
  </si>
  <si>
    <t>Lamar State Colleges and Texas State Technical Colleges</t>
  </si>
  <si>
    <t>Texas Public Universities with Medical Schools</t>
  </si>
  <si>
    <t>PVT</t>
  </si>
  <si>
    <t>Final</t>
  </si>
  <si>
    <t>Returned</t>
  </si>
  <si>
    <t>Revised</t>
  </si>
  <si>
    <t>Research (System)</t>
  </si>
  <si>
    <t>State Colleges</t>
  </si>
  <si>
    <t>Texas A&amp;M Universities</t>
  </si>
  <si>
    <t>System, Universities, &amp; Health-Related Institutions</t>
  </si>
  <si>
    <t>Texas State Universities</t>
  </si>
  <si>
    <t>Texas State Technical Colleges</t>
  </si>
  <si>
    <t>System and State Technical Colleges</t>
  </si>
  <si>
    <t>Texas Tech Universities</t>
  </si>
  <si>
    <t>University of Houston</t>
  </si>
  <si>
    <t>University of Texas</t>
  </si>
  <si>
    <t>Research (Institution Type)</t>
  </si>
  <si>
    <t>Texas Public University</t>
  </si>
  <si>
    <t>Universities (36)</t>
  </si>
  <si>
    <t>Health - Related Institution</t>
  </si>
  <si>
    <t>Health - Related Institutions (14)</t>
  </si>
  <si>
    <t>Lamar State College</t>
  </si>
  <si>
    <t>State Colleges (3)</t>
  </si>
  <si>
    <t>State Technical Colleges (6)</t>
  </si>
  <si>
    <t>Texas A&amp;M Agencies</t>
  </si>
  <si>
    <t>Texas A&amp;M Agencies (only)</t>
  </si>
  <si>
    <t>Research (Peer Groups)</t>
  </si>
  <si>
    <t>Emerging Research University</t>
  </si>
  <si>
    <t>Research University</t>
  </si>
  <si>
    <t>Doctoral</t>
  </si>
  <si>
    <t>Masters</t>
  </si>
  <si>
    <t>Comprehensive</t>
  </si>
  <si>
    <t>General academic teaching institutions, with a health-related institution, that submit a singular annual financial report, will display the institutions' (A+H) Research Expenditure Survey data.  Institutions' (A+H+M) survey data is excluded to avoid duplicate figures.</t>
  </si>
  <si>
    <t>General academic teaching institutions, with a health-related institution, that submit a singular annual financial report, will display the institutions' (M) Research Expenditure Survey data.  Institutions' (A+H+M) survey data is excluded to avoid duplicate figures.</t>
  </si>
  <si>
    <t>Data Source: Research Expenditure Survey, Summary of R&amp;D Expenditures, row 26 to 30.</t>
  </si>
  <si>
    <t>Pittman</t>
  </si>
  <si>
    <t>john.pittman@tsu.edu</t>
  </si>
  <si>
    <t>Stapleton</t>
  </si>
  <si>
    <t>paula.stapleton@tsu.edu</t>
  </si>
  <si>
    <t>Paul</t>
  </si>
  <si>
    <t>Smith</t>
  </si>
  <si>
    <t>psmith19@twu.edu</t>
  </si>
  <si>
    <t>Barbara</t>
  </si>
  <si>
    <t>Newton</t>
  </si>
  <si>
    <t>bnewton@twu.edu</t>
  </si>
  <si>
    <t>Haley</t>
  </si>
  <si>
    <t>cindy.haley@txstate.edu</t>
  </si>
  <si>
    <t>Elizabeth</t>
  </si>
  <si>
    <t>Longoria-Cardenas</t>
  </si>
  <si>
    <t>ec1217@txstate.edu</t>
  </si>
  <si>
    <t>The University of Texas Rio Grande Valley (A+H)</t>
  </si>
  <si>
    <t>The University of Texas Rio Grande Valley (M)</t>
  </si>
  <si>
    <t>The University of Texas Rio Grande Valley (A+H+M)</t>
  </si>
  <si>
    <t>Texas A&amp;M University System Administration</t>
  </si>
  <si>
    <t>The University of Texas System Administration</t>
  </si>
  <si>
    <t>University of Houston System Administration</t>
  </si>
  <si>
    <t>Texas Tech University System Administration</t>
  </si>
  <si>
    <t>University of North Texas System Administration</t>
  </si>
  <si>
    <t>Texas State University System</t>
  </si>
  <si>
    <t>Texas State Technical College System Administration</t>
  </si>
  <si>
    <t>Blank Row</t>
  </si>
  <si>
    <t xml:space="preserve">R&amp;D expenditures for Texas A&amp;M University include consolidated expenditures from Texas A&amp;M University and its service agencies. </t>
  </si>
  <si>
    <r>
      <rPr>
        <u/>
        <sz val="11"/>
        <color theme="1"/>
        <rFont val="Georgia"/>
        <family val="1"/>
      </rPr>
      <t>Plant</t>
    </r>
    <r>
      <rPr>
        <sz val="11"/>
        <color theme="1"/>
        <rFont val="Georgia"/>
        <family val="1"/>
      </rPr>
      <t xml:space="preserve"> funds. Additionally, capital outlay expenditures for research, as reported in the </t>
    </r>
    <r>
      <rPr>
        <i/>
        <sz val="11"/>
        <color theme="1"/>
        <rFont val="Georgia"/>
        <family val="1"/>
      </rPr>
      <t>Cost Study Input</t>
    </r>
    <r>
      <rPr>
        <sz val="11"/>
        <color theme="1"/>
        <rFont val="Georgia"/>
        <family val="1"/>
      </rPr>
      <t xml:space="preserve"> survey, are included—excluding amounts</t>
    </r>
  </si>
  <si>
    <r>
      <t xml:space="preserve">Values in this category represent the sum of research expenditures reported under the Function: </t>
    </r>
    <r>
      <rPr>
        <u/>
        <sz val="11"/>
        <color theme="1"/>
        <rFont val="Georgia"/>
        <family val="1"/>
      </rPr>
      <t>Research</t>
    </r>
    <r>
      <rPr>
        <sz val="11"/>
        <color theme="1"/>
        <rFont val="Georgia"/>
        <family val="1"/>
      </rPr>
      <t xml:space="preserve"> in the </t>
    </r>
    <r>
      <rPr>
        <b/>
        <sz val="11"/>
        <color theme="1"/>
        <rFont val="Georgia"/>
        <family val="1"/>
      </rPr>
      <t>Fund Group Detail</t>
    </r>
    <r>
      <rPr>
        <sz val="11"/>
        <color theme="1"/>
        <rFont val="Georgia"/>
        <family val="1"/>
      </rPr>
      <t xml:space="preserve"> worksheet</t>
    </r>
  </si>
  <si>
    <r>
      <t xml:space="preserve"> associated with </t>
    </r>
    <r>
      <rPr>
        <u/>
        <sz val="11"/>
        <color theme="1"/>
        <rFont val="Georgia"/>
        <family val="1"/>
      </rPr>
      <t>federal</t>
    </r>
    <r>
      <rPr>
        <sz val="11"/>
        <color theme="1"/>
        <rFont val="Georgia"/>
        <family val="1"/>
      </rPr>
      <t xml:space="preserve"> and </t>
    </r>
    <r>
      <rPr>
        <u/>
        <sz val="11"/>
        <color theme="1"/>
        <rFont val="Georgia"/>
        <family val="1"/>
      </rPr>
      <t>state pass-through</t>
    </r>
    <r>
      <rPr>
        <sz val="11"/>
        <color theme="1"/>
        <rFont val="Georgia"/>
        <family val="1"/>
      </rPr>
      <t xml:space="preserve"> funding.</t>
    </r>
  </si>
  <si>
    <t>Values in this category represent the sum of expenditures reported under the functions of Instruction, Research, Public Service, Hospitals and Clinics,</t>
  </si>
  <si>
    <t>Academic Support, Student Services, Institutional Support, Operations and Maintenance of Plant, and Scholarships and Fellowships, as reported in</t>
  </si>
  <si>
    <r>
      <rPr>
        <i/>
        <sz val="11"/>
        <color theme="1"/>
        <rFont val="Georgia"/>
        <family val="1"/>
      </rPr>
      <t>Input</t>
    </r>
    <r>
      <rPr>
        <sz val="11"/>
        <color theme="1"/>
        <rFont val="Georgia"/>
        <family val="1"/>
      </rPr>
      <t xml:space="preserve"> survey, are included—excluding amounts related to </t>
    </r>
    <r>
      <rPr>
        <u/>
        <sz val="11"/>
        <color theme="1"/>
        <rFont val="Georgia"/>
        <family val="1"/>
      </rPr>
      <t>federal</t>
    </r>
    <r>
      <rPr>
        <sz val="11"/>
        <color theme="1"/>
        <rFont val="Georgia"/>
        <family val="1"/>
      </rPr>
      <t xml:space="preserve"> and </t>
    </r>
    <r>
      <rPr>
        <u/>
        <sz val="11"/>
        <color theme="1"/>
        <rFont val="Georgia"/>
        <family val="1"/>
      </rPr>
      <t>state pass-through</t>
    </r>
    <r>
      <rPr>
        <sz val="11"/>
        <color theme="1"/>
        <rFont val="Georgia"/>
        <family val="1"/>
      </rPr>
      <t xml:space="preserve"> funding.</t>
    </r>
  </si>
  <si>
    <r>
      <t xml:space="preserve">the Fund Group Detail worksheet of the Sources &amp; Uses Survey. This includes expenditures from </t>
    </r>
    <r>
      <rPr>
        <u/>
        <sz val="11"/>
        <color theme="1"/>
        <rFont val="Georgia"/>
        <family val="1"/>
      </rPr>
      <t>Educational &amp; Genera</t>
    </r>
    <r>
      <rPr>
        <sz val="11"/>
        <color theme="1"/>
        <rFont val="Georgia"/>
        <family val="1"/>
      </rPr>
      <t xml:space="preserve">l, </t>
    </r>
    <r>
      <rPr>
        <u/>
        <sz val="11"/>
        <color theme="1"/>
        <rFont val="Georgia"/>
        <family val="1"/>
      </rPr>
      <t>Designated</t>
    </r>
    <r>
      <rPr>
        <sz val="11"/>
        <color theme="1"/>
        <rFont val="Georgia"/>
        <family val="1"/>
      </rPr>
      <t xml:space="preserve">, </t>
    </r>
    <r>
      <rPr>
        <u/>
        <sz val="11"/>
        <color theme="1"/>
        <rFont val="Georgia"/>
        <family val="1"/>
      </rPr>
      <t>Restricted</t>
    </r>
  </si>
  <si>
    <r>
      <rPr>
        <u/>
        <sz val="11"/>
        <color theme="1"/>
        <rFont val="Georgia"/>
        <family val="1"/>
      </rPr>
      <t>Expendable</t>
    </r>
    <r>
      <rPr>
        <sz val="11"/>
        <color theme="1"/>
        <rFont val="Georgia"/>
        <family val="1"/>
      </rPr>
      <t xml:space="preserve">, and </t>
    </r>
    <r>
      <rPr>
        <u/>
        <sz val="11"/>
        <color theme="1"/>
        <rFont val="Georgia"/>
        <family val="1"/>
      </rPr>
      <t>Unexpended Plant</t>
    </r>
    <r>
      <rPr>
        <sz val="11"/>
        <color theme="1"/>
        <rFont val="Georgia"/>
        <family val="1"/>
      </rPr>
      <t xml:space="preserve"> funds. Additionally, capital outlay expenditures associated with these functions, as reported in the </t>
    </r>
    <r>
      <rPr>
        <i/>
        <sz val="11"/>
        <color theme="1"/>
        <rFont val="Georgia"/>
        <family val="1"/>
      </rPr>
      <t>Cost Study</t>
    </r>
  </si>
  <si>
    <t>19 TAC §13.303 (c)</t>
  </si>
  <si>
    <t xml:space="preserve">
Research Expenditures²</t>
  </si>
  <si>
    <t xml:space="preserve">
E &amp; G Expenditures³</t>
  </si>
  <si>
    <t xml:space="preserve">
501(c)(3)¹</t>
  </si>
  <si>
    <t xml:space="preserve">
FICE</t>
  </si>
  <si>
    <t xml:space="preserve">
Institution</t>
  </si>
  <si>
    <t xml:space="preserve">
Research
Expenditures</t>
  </si>
  <si>
    <t xml:space="preserve">
Research Exp
 by T/T Faculty</t>
  </si>
  <si>
    <t>Two options in the dropdown menu—Lamar State Colleges and Texas State Technical Colleges—report zero values for all research expenditure figures. These values are accurate and reflect the research expenditures as reported.</t>
  </si>
  <si>
    <t>System Administration</t>
  </si>
  <si>
    <t>T.Fed</t>
  </si>
  <si>
    <t>T.St</t>
  </si>
  <si>
    <t>T.St.C&amp;G</t>
  </si>
  <si>
    <t>T.St.All</t>
  </si>
  <si>
    <t>T.Inst</t>
  </si>
  <si>
    <t>T.P4P</t>
  </si>
  <si>
    <t>T.PNP</t>
  </si>
  <si>
    <t>T.P.All</t>
  </si>
  <si>
    <t xml:space="preserve">Accountability Metric: Research Expenditures by Source of Funds (X06UH) - Total research expenditures by source of funds (federal, state, institutional, and private). </t>
  </si>
  <si>
    <t xml:space="preserve">Accountability Metric: Research Expenditures per FTE Faculty (X05U) - Federal and private research expenditures divided by the number of fall tenured/tenure-track full-time-equivalent faculty with research responsibilities. </t>
  </si>
  <si>
    <t>Accountability Metric: Research Expenditures per FTE Faculty (X05H) - Federal and private research expenditures divided by the number of fall tenured/tenure-track full-time-equivalent faculty (ranks 1-5) with research responsibilities.</t>
  </si>
  <si>
    <t>Texas A&amp;M University and Agencies</t>
  </si>
  <si>
    <t>State of Texas
Appropriations</t>
  </si>
  <si>
    <t>Appropriation</t>
  </si>
  <si>
    <t>Contracts &amp; Grants</t>
  </si>
  <si>
    <t>State All Other</t>
  </si>
  <si>
    <t>Rafiu</t>
  </si>
  <si>
    <t>rafiu.fashina@unt.edu</t>
  </si>
  <si>
    <t>Kristel</t>
  </si>
  <si>
    <t>McClaran</t>
  </si>
  <si>
    <t>kristel.mcclaran@unt.edu</t>
  </si>
  <si>
    <t>1)  Texas A&amp;M University values include TAMU and TAMU Agencies.</t>
  </si>
  <si>
    <t>Texas State Technical College</t>
  </si>
  <si>
    <t>This section provides a summary of the institution’s reported research expenditures categorized by research field, along with corresponding funding sources. Beginning fiscal year 2024, the listed disciplines have been updated to align with the National Science Foundation (NSF) Higher Education Research and Development (HERD) Survey.</t>
  </si>
  <si>
    <t>Name</t>
  </si>
  <si>
    <t>Phone Number</t>
  </si>
  <si>
    <t>Email Address</t>
  </si>
  <si>
    <t>Name (alt)</t>
  </si>
  <si>
    <t>Phone Number (alt)</t>
  </si>
  <si>
    <t>Email Address (alt)</t>
  </si>
  <si>
    <r>
      <t xml:space="preserve">The amount of R&amp;D expenses that </t>
    </r>
    <r>
      <rPr>
        <b/>
        <sz val="12"/>
        <color theme="1"/>
        <rFont val="Georgia"/>
        <family val="1"/>
      </rPr>
      <t>do not meet</t>
    </r>
    <r>
      <rPr>
        <sz val="12"/>
        <color theme="1"/>
        <rFont val="Georgia"/>
        <family val="1"/>
      </rPr>
      <t xml:space="preserve"> the R&amp;D expenditures definition. </t>
    </r>
    <r>
      <rPr>
        <b/>
        <sz val="12"/>
        <color rgb="FFAF211A"/>
        <rFont val="Georgia"/>
        <family val="1"/>
      </rPr>
      <t>(Report as negative number)</t>
    </r>
  </si>
  <si>
    <r>
      <rPr>
        <b/>
        <sz val="12"/>
        <color theme="1"/>
        <rFont val="Georgia"/>
        <family val="1"/>
      </rPr>
      <t>Pass-throughs</t>
    </r>
    <r>
      <rPr>
        <sz val="12"/>
        <color theme="1"/>
        <rFont val="Georgia"/>
        <family val="1"/>
      </rPr>
      <t xml:space="preserve"> to other general academic teaching institutions, medical or dental units, and other agencies of higher education </t>
    </r>
    <r>
      <rPr>
        <b/>
        <sz val="12"/>
        <color theme="1"/>
        <rFont val="Georgia"/>
        <family val="1"/>
      </rPr>
      <t>in Texas</t>
    </r>
    <r>
      <rPr>
        <sz val="12"/>
        <color theme="1"/>
        <rFont val="Georgia"/>
        <family val="1"/>
      </rPr>
      <t xml:space="preserve">. </t>
    </r>
    <r>
      <rPr>
        <b/>
        <sz val="12"/>
        <color rgb="FFAF211A"/>
        <rFont val="Georgia"/>
        <family val="1"/>
      </rPr>
      <t>(Report as negative number)</t>
    </r>
  </si>
  <si>
    <r>
      <rPr>
        <b/>
        <sz val="12"/>
        <color theme="1"/>
        <rFont val="Georgia"/>
        <family val="1"/>
      </rPr>
      <t xml:space="preserve">Recovered indirect costs </t>
    </r>
    <r>
      <rPr>
        <sz val="12"/>
        <color theme="1"/>
        <rFont val="Georgia"/>
        <family val="1"/>
      </rPr>
      <t>associated with expenses for R&amp;D</t>
    </r>
  </si>
  <si>
    <r>
      <rPr>
        <b/>
        <sz val="12"/>
        <color theme="1"/>
        <rFont val="Georgia"/>
        <family val="1"/>
      </rPr>
      <t>Capital outlay for research equipment</t>
    </r>
    <r>
      <rPr>
        <sz val="12"/>
        <color theme="1"/>
        <rFont val="Georgia"/>
        <family val="1"/>
      </rPr>
      <t xml:space="preserve">, exclude R&amp;D plant expenditures or construction. </t>
    </r>
  </si>
  <si>
    <r>
      <rPr>
        <b/>
        <sz val="12"/>
        <color theme="1"/>
        <rFont val="Georgia"/>
        <family val="1"/>
      </rPr>
      <t>Expenditures for conduct of R &amp; D made by institution's research foundation or 501(c) corporation</t>
    </r>
    <r>
      <rPr>
        <sz val="12"/>
        <color theme="1"/>
        <rFont val="Georgia"/>
        <family val="1"/>
      </rPr>
      <t xml:space="preserve"> on behalf of the institution and not reported in institution's AFR, include recovered indirect costs and capital outlay for research equipment.</t>
    </r>
  </si>
  <si>
    <r>
      <rPr>
        <b/>
        <sz val="12"/>
        <color theme="1"/>
        <rFont val="Georgia"/>
        <family val="1"/>
      </rPr>
      <t>Expenses</t>
    </r>
    <r>
      <rPr>
        <sz val="12"/>
        <color theme="1"/>
        <rFont val="Georgia"/>
        <family val="1"/>
      </rPr>
      <t xml:space="preserve"> related to research performed by the agency or institution but </t>
    </r>
    <r>
      <rPr>
        <b/>
        <sz val="12"/>
        <color theme="1"/>
        <rFont val="Georgia"/>
        <family val="1"/>
      </rPr>
      <t xml:space="preserve">recognized on the AFR of a separate agency or institution </t>
    </r>
    <r>
      <rPr>
        <sz val="12"/>
        <color theme="1"/>
        <rFont val="Georgia"/>
        <family val="1"/>
      </rPr>
      <t>who received and expended the funding.</t>
    </r>
  </si>
  <si>
    <r>
      <rPr>
        <b/>
        <sz val="12"/>
        <color theme="1"/>
        <rFont val="Georgia"/>
        <family val="1"/>
      </rPr>
      <t>Expenses</t>
    </r>
    <r>
      <rPr>
        <sz val="12"/>
        <color theme="1"/>
        <rFont val="Georgia"/>
        <family val="1"/>
      </rPr>
      <t xml:space="preserve"> related to research performed at another agency or institution but r</t>
    </r>
    <r>
      <rPr>
        <b/>
        <sz val="12"/>
        <color theme="1"/>
        <rFont val="Georgia"/>
        <family val="1"/>
      </rPr>
      <t>ecognized on your institution’s AFR</t>
    </r>
    <r>
      <rPr>
        <sz val="12"/>
        <color theme="1"/>
        <rFont val="Georgia"/>
        <family val="1"/>
      </rPr>
      <t xml:space="preserve">. </t>
    </r>
    <r>
      <rPr>
        <b/>
        <sz val="12"/>
        <color rgb="FFAF211A"/>
        <rFont val="Georgia"/>
        <family val="1"/>
      </rPr>
      <t>(Report as negative number)</t>
    </r>
  </si>
  <si>
    <t>Student and Faculty Full-Time Equivalent</t>
  </si>
  <si>
    <t>Report as of February 2026</t>
  </si>
  <si>
    <t>Academic Institutions</t>
  </si>
  <si>
    <t>Undergraduate</t>
  </si>
  <si>
    <t>Master's¹</t>
  </si>
  <si>
    <t>Prof &amp; Special-Prof Headcount</t>
  </si>
  <si>
    <t>Full-Time Student
Equivalents²</t>
  </si>
  <si>
    <t>State Funded 
FTSE³</t>
  </si>
  <si>
    <t>T/TT Fall
Faculty FTE⁴</t>
  </si>
  <si>
    <t>Grad School of Biomedical Sciences</t>
  </si>
  <si>
    <t xml:space="preserve">Peter O’Donnell Jr. School of Public Health </t>
  </si>
  <si>
    <t>Southwestern Medical School</t>
  </si>
  <si>
    <t>School of Health Professions</t>
  </si>
  <si>
    <t>School of Nursing</t>
  </si>
  <si>
    <t>School of Public Health</t>
  </si>
  <si>
    <t>Medical School</t>
  </si>
  <si>
    <t>School of Biomedical Informatics</t>
  </si>
  <si>
    <t>Allied Health (Dental)</t>
  </si>
  <si>
    <t>Dental Branch/Academics</t>
  </si>
  <si>
    <t>Dental School</t>
  </si>
  <si>
    <t>Medical School/Academics</t>
  </si>
  <si>
    <t>Dental School/Academics</t>
  </si>
  <si>
    <t>Dental Hygiene</t>
  </si>
  <si>
    <t>Public Health</t>
  </si>
  <si>
    <t xml:space="preserve"> School of Health Professions</t>
  </si>
  <si>
    <t>School of Medical</t>
  </si>
  <si>
    <t>School of Medicine/Academic</t>
  </si>
  <si>
    <t>College of Nursing</t>
  </si>
  <si>
    <t>College of Medicine</t>
  </si>
  <si>
    <t>School of Rural Public Health</t>
  </si>
  <si>
    <t>College of Pharmacy</t>
  </si>
  <si>
    <t>College of Medicine Academic</t>
  </si>
  <si>
    <t>Baylor College Dentistry-Dental Hygiene</t>
  </si>
  <si>
    <t>Baylor College Dentistry-Advanced Education</t>
  </si>
  <si>
    <t>Baylor College Dentistry-Dental School</t>
  </si>
  <si>
    <t>School of Pharmacy</t>
  </si>
  <si>
    <t>Texas College of Osteopathic Medicine</t>
  </si>
  <si>
    <t>School of Allied Health</t>
  </si>
  <si>
    <t>Department of Public Health</t>
  </si>
  <si>
    <t>School of Medicine</t>
  </si>
  <si>
    <t>Paul L. Foster School of Medicine</t>
  </si>
  <si>
    <t>Gayle G. Hunt School of Nursing</t>
  </si>
  <si>
    <t>School of Dental Medicine</t>
  </si>
  <si>
    <t>School of Podiatric Medicine</t>
  </si>
  <si>
    <t>1)  Includes post-baccalaureate, master's, AUD, DPT, and PharmD.</t>
  </si>
  <si>
    <t xml:space="preserve">2)  The sum of undergraduate semester credit hours divided by 30, master's semester credit hours divided by 24, doctoral semester credit hours divided by 18, and DDS, DO, MD, Podiatry, and post-doctoral specialty headcount </t>
  </si>
  <si>
    <t>enrollments (the larger of the fall or summer semester in the fiscal year). State-funded and non-state-funded hours, including dual degree (FE=2) and inter-institutional students (FE=4), are included; all other inter-institutional and</t>
  </si>
  <si>
    <t>flexible entry hours are excluded. Source of data is CBM001, Student Report.</t>
  </si>
  <si>
    <t>3)  Dual degree (FE=2) and inter-institutional students (FE=4) are included; all other inter-institutional, flexible entry, and non-state-funded hours are excluded. Source of data is CBM001, Student Report.</t>
  </si>
  <si>
    <t>4)  Fall tenured/tenure-track full-time-equivalent faculty with research responsibilities. Source of data is CBM008, Faculty Report.</t>
  </si>
  <si>
    <t>Academic
 SCH</t>
  </si>
  <si>
    <t>Technical
 SCH</t>
  </si>
  <si>
    <t>BAT SCH</t>
  </si>
  <si>
    <t>Continuing Ed. SCH</t>
  </si>
  <si>
    <r>
      <t>Full-Time Student
Equivalents</t>
    </r>
    <r>
      <rPr>
        <vertAlign val="superscript"/>
        <sz val="12"/>
        <color theme="1"/>
        <rFont val="Georgia"/>
        <family val="1"/>
      </rPr>
      <t>1</t>
    </r>
  </si>
  <si>
    <t>State Funded 
FTSE²</t>
  </si>
  <si>
    <t>Fall 
Faculty FTE</t>
  </si>
  <si>
    <t>16,522.21</t>
  </si>
  <si>
    <t>1) Academic, technical, and BAT semester credit hours divided by 30 plus continuing education contact hours divided by 900. Source of data is CBM001, Student Report.</t>
  </si>
  <si>
    <t>2) State-funded hours only. Source of data is CBM001, Student Report.</t>
  </si>
  <si>
    <t>3) Texas State Technical College - Waco include TSTC Connect hours.</t>
  </si>
  <si>
    <t>Master's</t>
  </si>
  <si>
    <t>Professional &amp; Special-Prof</t>
  </si>
  <si>
    <t>Optometry</t>
  </si>
  <si>
    <r>
      <t>Full-Time Student
Equivalents</t>
    </r>
    <r>
      <rPr>
        <sz val="12"/>
        <color theme="1"/>
        <rFont val="Georgia"/>
        <family val="1"/>
      </rPr>
      <t>¹</t>
    </r>
  </si>
  <si>
    <r>
      <t>State Funded 
FTSE</t>
    </r>
    <r>
      <rPr>
        <sz val="12"/>
        <color theme="1"/>
        <rFont val="Georgia"/>
        <family val="1"/>
      </rPr>
      <t>²</t>
    </r>
  </si>
  <si>
    <r>
      <t>T/TT Fall
Faculty FTE</t>
    </r>
    <r>
      <rPr>
        <sz val="12"/>
        <color theme="1"/>
        <rFont val="Georgia"/>
        <family val="1"/>
      </rPr>
      <t>³</t>
    </r>
  </si>
  <si>
    <t>1) Undergraduate SCH divided by 30, master's and special-professional divided by 24, doctoral divided by 18, and optometry divided by 34. Source of data is CBM001, Student Report.</t>
  </si>
  <si>
    <t>3) Fall tenured/tenure-track full-time-equivalent faculty (ranks 1-5) with teaching responsibilities (01 and 02). Source of data is CBM008, Faculty Report.</t>
  </si>
  <si>
    <t>4) (A+H) represents the academic and health-related programs, excluding the medical school.</t>
  </si>
  <si>
    <t>FTSE</t>
  </si>
  <si>
    <t>FTFE</t>
  </si>
  <si>
    <t>McMurry University</t>
  </si>
  <si>
    <t>Involves the adoption and adaptation of new techniques or products that have already been brought to a usable condition, but not the adoption and use of a technology.</t>
  </si>
  <si>
    <t>Technology transfer</t>
  </si>
  <si>
    <t>Used primarily in support of a research or development program.</t>
  </si>
  <si>
    <t>Satellite information</t>
  </si>
  <si>
    <t>Part of a specific research undertaking, involving scientific method and hypothesis testing procedures with fairly rigorous standards.</t>
  </si>
  <si>
    <t>Evaluation</t>
  </si>
  <si>
    <t>Systematic and intensive study, including program planning, implementation, and evaluation designed as a fairly rigorous research effort.</t>
  </si>
  <si>
    <t>Economic studies</t>
  </si>
  <si>
    <t>Intended to prove or test whether a technology or method works.</t>
  </si>
  <si>
    <t>Demonstration</t>
  </si>
  <si>
    <t>Conducted as part of a specific research or development program.</t>
  </si>
  <si>
    <t>Collection of statistics</t>
  </si>
  <si>
    <t>R&amp;D Example</t>
  </si>
  <si>
    <t>Activity</t>
  </si>
  <si>
    <t>R&amp;D versus Non-R&amp;D Activities</t>
  </si>
  <si>
    <t>Reporting Categories/Method of Funding</t>
  </si>
  <si>
    <t>Nonprofit Organization, 2 CFR 200.1</t>
  </si>
  <si>
    <t>Applied mathematics; Mathematics; Statistics</t>
  </si>
  <si>
    <t>State, 2 CFR 200.1</t>
  </si>
  <si>
    <t>Indirect (facilities &amp; administrative (F&amp;A)) costs, 2 CFR 200.1</t>
  </si>
  <si>
    <t>Research and Development (R&amp;D), 2 CFR 200.1</t>
  </si>
  <si>
    <t>https://www.nsf.gov/statistics/srvyherd/</t>
  </si>
  <si>
    <t>Examples</t>
  </si>
  <si>
    <t>Definitions for Research Disciplines</t>
  </si>
  <si>
    <t>https://www.nacubo.org/</t>
  </si>
  <si>
    <t>THECB - Online Report: Sources &amp; Uses</t>
  </si>
  <si>
    <t>Financial Terms</t>
  </si>
  <si>
    <t>https://statutes.capitol.texas.gov/Docs/ED/htm/ED.61.htm#61.0662</t>
  </si>
  <si>
    <t>Financial Terms, Research Disciplines, and Method of Funding Definitions</t>
  </si>
  <si>
    <t>Related Resources</t>
  </si>
  <si>
    <t>Research Guidance and Additional Resources</t>
  </si>
  <si>
    <t xml:space="preserve"> </t>
  </si>
  <si>
    <t>The data source for research expenditures is the FY 2025 Sources &amp; Uses Survey, specifically the Fund Group Detail worksheet, under Operating Uses in the Research function (row 75). The research expenditures reported in this dataset should align with the institution's Annual Financial Report (AFR) and Statement of Revenues, Expenses, and Changes in Net Position (SRECNP) reconciliation for research.
The Research per Tenured/Tenure-Track Faculty metric is calculated by dividing the total research expenditures supported by federal or private funding by the number of faculty with teaching responsibility who are tenured or tenure-track for fall 2024.</t>
  </si>
  <si>
    <r>
      <rPr>
        <b/>
        <sz val="12"/>
        <color theme="1"/>
        <rFont val="Georgia"/>
        <family val="1"/>
      </rPr>
      <t>Non-S&amp;E Fields</t>
    </r>
    <r>
      <rPr>
        <sz val="12"/>
        <color theme="1"/>
        <rFont val="Georgia"/>
        <family val="1"/>
      </rPr>
      <t xml:space="preserve"> include all other non-science disciplines.</t>
    </r>
  </si>
  <si>
    <r>
      <rPr>
        <b/>
        <u/>
        <sz val="12"/>
        <color theme="1"/>
        <rFont val="Georgia"/>
        <family val="1"/>
      </rPr>
      <t xml:space="preserve">Private </t>
    </r>
    <r>
      <rPr>
        <sz val="12"/>
        <color theme="1"/>
        <rFont val="Georgia"/>
        <family val="1"/>
      </rPr>
      <t xml:space="preserve">- Expenditures of funds reported as Business Expenditures, Non-profit Organization Expenditures, and All Other Expenditures. </t>
    </r>
  </si>
  <si>
    <r>
      <rPr>
        <b/>
        <u/>
        <sz val="12"/>
        <color theme="1"/>
        <rFont val="Georgia"/>
        <family val="1"/>
      </rPr>
      <t>Business</t>
    </r>
    <r>
      <rPr>
        <sz val="12"/>
        <color theme="1"/>
        <rFont val="Georgia"/>
        <family val="1"/>
      </rPr>
      <t xml:space="preserve"> includes domestic or foreign for-profit organizations.</t>
    </r>
  </si>
  <si>
    <t>https://texas-sos.appianportalsgov.com/rules-and-meetings?
chapter=13&amp;interface=VIEW_TAC&amp;part=1&amp;subchapter=M&amp;title=19</t>
  </si>
  <si>
    <t>https://www.highered.texas.gov/our-work/supporting-our-institutions/
institutional-funding-resources/sources-and-uses/</t>
  </si>
  <si>
    <t>https://www.ecfr.gov/current/title-2/part-200/section-200.1#p-200.1
(Indirect%20(facilities%20%26amp%3B%20administrative%20
(F%26amp%3BA))%20costs)</t>
  </si>
  <si>
    <t>https://www.ecfr.gov/current/title-2/part-200/section-200.1#p-200.1
(Nonprofit%20organization)</t>
  </si>
  <si>
    <t>Texas Administrative Code 
Title 19, Part 1, Chapter 13, Subchapter M</t>
  </si>
  <si>
    <t>Texas Education Code
Chapter 61 Subchapter C, Section 61.0662</t>
  </si>
  <si>
    <t>https://www.ecfr.gov/current/title-2/part-200/section-200.1#p-200.1
(State)</t>
  </si>
  <si>
    <t>https://www.ecfr.gov/current/title-2/part-200/section-200.1#p-200.1
(Research%20and%20Development%20(R%26amp%3BD))</t>
  </si>
  <si>
    <t>National Association of College and University 
Business Officers 
(NACUBO)</t>
  </si>
  <si>
    <t>National Science Foundation (NSF) 
Higher Education Research and Development (HERD) Survey</t>
  </si>
  <si>
    <t>Regular collection and publication of statistics on disease incidence by a state health department for general use.</t>
  </si>
  <si>
    <t>Educational demonstration on new teaching methods intended to make available information about new technologies or methods.</t>
  </si>
  <si>
    <t>Study to determine the impact of proposed tax changes on state revenues or statewide employment, consumption, or industrial output.</t>
  </si>
  <si>
    <t>Evaluation conducted separately from a research project, not involving systematic design and testing.</t>
  </si>
  <si>
    <t>Photographs and tapes purchased from Federal agencies (or others) sponsoring satellite operations and used primarily for the formulation of regulations.</t>
  </si>
  <si>
    <t>Adoption and use of a technology without further study or modification, even if for unique regional or local needs.</t>
  </si>
  <si>
    <r>
      <rPr>
        <b/>
        <u/>
        <sz val="12"/>
        <rFont val="Georgia"/>
        <family val="1"/>
      </rPr>
      <t>Federal</t>
    </r>
    <r>
      <rPr>
        <b/>
        <sz val="12"/>
        <rFont val="Georgia"/>
        <family val="1"/>
      </rPr>
      <t xml:space="preserve">
Examples of federal include the </t>
    </r>
    <r>
      <rPr>
        <sz val="12"/>
        <rFont val="Georgia"/>
        <family val="1"/>
      </rPr>
      <t xml:space="preserve">Departments of Defense, Energy, 
Commerce, and Health and Human Services; National Science Foundation; 
National Aeronautics and Space Administration, etc. </t>
    </r>
  </si>
  <si>
    <r>
      <rPr>
        <b/>
        <u/>
        <sz val="12"/>
        <color theme="1"/>
        <rFont val="Georgia"/>
        <family val="1"/>
      </rPr>
      <t>All Other [State and Local Government]</t>
    </r>
    <r>
      <rPr>
        <sz val="12"/>
        <color theme="1"/>
        <rFont val="Georgia"/>
        <family val="1"/>
      </rPr>
      <t xml:space="preserve">
Contracts and grants with </t>
    </r>
    <r>
      <rPr>
        <b/>
        <sz val="12"/>
        <color theme="1"/>
        <rFont val="Georgia"/>
        <family val="1"/>
      </rPr>
      <t>other U.S. states</t>
    </r>
    <r>
      <rPr>
        <sz val="12"/>
        <color theme="1"/>
        <rFont val="Georgia"/>
        <family val="1"/>
      </rPr>
      <t xml:space="preserve"> and </t>
    </r>
    <r>
      <rPr>
        <b/>
        <sz val="12"/>
        <color theme="1"/>
        <rFont val="Georgia"/>
        <family val="1"/>
      </rPr>
      <t>patient income as 
defined in Texas Education Code, §51.009(c),</t>
    </r>
    <r>
      <rPr>
        <sz val="12"/>
        <color theme="1"/>
        <rFont val="Georgia"/>
        <family val="1"/>
      </rPr>
      <t xml:space="preserve"> should be reported 
under All Other [State and Local Government].</t>
    </r>
  </si>
  <si>
    <t>Non-R&amp;D Example</t>
  </si>
  <si>
    <t>Research and Development (R&amp;D) is creative and systematic work undertaken in order to increase the stock of knowledge "including knowledge of humankind, culture, and society" and to devise new applications of available knowledge. R&amp;D covers three activities: basic research, applied research, and experimental development. 
2 CFR 200.1 “Research and Development (R&amp;D)”</t>
  </si>
  <si>
    <t>Table of Contents</t>
  </si>
  <si>
    <t>Contact Information</t>
  </si>
  <si>
    <t>Summary (by System)</t>
  </si>
  <si>
    <t>Summary (by Institution Type)</t>
  </si>
  <si>
    <t>Research Guidance</t>
  </si>
  <si>
    <t>Research (by Institution)</t>
  </si>
  <si>
    <t>Source of Funds</t>
  </si>
  <si>
    <t>FTSE | FTFE</t>
  </si>
  <si>
    <t>System Office</t>
  </si>
  <si>
    <t>Private Universities (15)</t>
  </si>
  <si>
    <t>System Administration (7)</t>
  </si>
  <si>
    <r>
      <rPr>
        <b/>
        <sz val="20"/>
        <color theme="1"/>
        <rFont val="Georgia"/>
        <family val="1"/>
      </rPr>
      <t xml:space="preserve">Research Expenditures </t>
    </r>
    <r>
      <rPr>
        <b/>
        <sz val="18"/>
        <color theme="1"/>
        <rFont val="Georgia"/>
        <family val="1"/>
      </rPr>
      <t xml:space="preserve">
</t>
    </r>
    <r>
      <rPr>
        <sz val="16"/>
        <color theme="1"/>
        <rFont val="Georgia"/>
        <family val="1"/>
      </rPr>
      <t>by Source of Funds</t>
    </r>
  </si>
  <si>
    <t>2</t>
  </si>
  <si>
    <t>Having defined what constitutes research and development, it is important to note that R&amp;D has specific exclusions. R&amp;D does not include public service or outreach programs, curriculum development (unless included as part of an overall research project), R&amp;D conducted by university faculty or staff at an outside institution that is not accounted for in your financial records, estimates of time budgeted for instruction that is spent on research, capital projects (i.e., construction or renovation of research facilities), non-research training grants, or unrecovered indirect cost that exceed your institution’s federal negotiated Facilities and Administrative (F&amp;A) rate. However, depending upon circumstances, certain activities may or may not be classified as research and development.</t>
  </si>
  <si>
    <r>
      <rPr>
        <b/>
        <u/>
        <sz val="12"/>
        <color theme="1"/>
        <rFont val="Georgia"/>
        <family val="1"/>
      </rPr>
      <t>All Other [Private]</t>
    </r>
    <r>
      <rPr>
        <sz val="12"/>
        <color theme="1"/>
        <rFont val="Georgia"/>
        <family val="1"/>
      </rPr>
      <t xml:space="preserve"> - Expenditures of all other funds</t>
    </r>
    <r>
      <rPr>
        <b/>
        <sz val="12"/>
        <color theme="1"/>
        <rFont val="Georgia"/>
        <family val="1"/>
      </rPr>
      <t xml:space="preserve"> not reported </t>
    </r>
    <r>
      <rPr>
        <sz val="12"/>
        <color theme="1"/>
        <rFont val="Georgia"/>
        <family val="1"/>
      </rPr>
      <t>under the expenditure categories of Business, Nonprofit Organizations, Institutional Funds, State and Local Government or Federal Expenditures, as defined in this section. All Other Expenditures includes funds from foreign universities, foreign governments, portions of gifts designated for research by the donors (including from the reporting institution's 501(c)(3)), and nonfederal and nonstate funds received from other institutions of higher education.</t>
    </r>
  </si>
  <si>
    <r>
      <rPr>
        <b/>
        <u/>
        <sz val="12"/>
        <color theme="1"/>
        <rFont val="Georgia"/>
        <family val="1"/>
      </rPr>
      <t xml:space="preserve">Institutional Funds </t>
    </r>
    <r>
      <rPr>
        <sz val="12"/>
        <color theme="1"/>
        <rFont val="Georgia"/>
        <family val="1"/>
      </rPr>
      <t xml:space="preserve">- Expenditure of funds for R&amp;D that are controlled at the institutional level, such as Available University Fund (AUF), Tobacco Settlement Receipts, </t>
    </r>
    <r>
      <rPr>
        <u/>
        <sz val="12"/>
        <color theme="1"/>
        <rFont val="Georgia"/>
        <family val="1"/>
      </rPr>
      <t>patient income</t>
    </r>
    <r>
      <rPr>
        <sz val="12"/>
        <color theme="1"/>
        <rFont val="Georgia"/>
        <family val="1"/>
      </rPr>
      <t xml:space="preserve"> (</t>
    </r>
    <r>
      <rPr>
        <u/>
        <sz val="12"/>
        <color theme="1"/>
        <rFont val="Georgia"/>
        <family val="1"/>
      </rPr>
      <t>unless defined by Texas Education Code, §51.009(c)</t>
    </r>
    <r>
      <rPr>
        <sz val="12"/>
        <color theme="1"/>
        <rFont val="Georgia"/>
        <family val="1"/>
      </rPr>
      <t>), or other funding held locally used for R&amp;D, excluding institution research administration and support. This category includes cost sharing from unrestricted sources (cost sharing from restricted sources should be classified according to the underlying source) and unrestricted funds from the reporting institution's 501(c)(3)</t>
    </r>
  </si>
  <si>
    <r>
      <rPr>
        <b/>
        <u/>
        <sz val="12"/>
        <color theme="1"/>
        <rFont val="Georgia"/>
        <family val="1"/>
      </rPr>
      <t>State of Texas</t>
    </r>
    <r>
      <rPr>
        <sz val="12"/>
        <color theme="1"/>
        <rFont val="Georgia"/>
        <family val="1"/>
      </rPr>
      <t xml:space="preserve"> is a subset of State and Local Government Expenditures that includes only expenditures of funds appropriated by the state of Texas for research, including state appropriated research non-formula support items and research formula funding.</t>
    </r>
  </si>
  <si>
    <r>
      <rPr>
        <b/>
        <u/>
        <sz val="12"/>
        <color theme="1"/>
        <rFont val="Georgia"/>
        <family val="1"/>
      </rPr>
      <t>State of Texas Contracts &amp; Grants</t>
    </r>
    <r>
      <rPr>
        <sz val="12"/>
        <color theme="1"/>
        <rFont val="Georgia"/>
        <family val="1"/>
      </rPr>
      <t xml:space="preserve"> are a subset of State and Local Government Expenditures that includes only expenditures of interagency contracts, contracts with Texas local governments, and other such state funding sources for R&amp;D, including grants.</t>
    </r>
  </si>
  <si>
    <r>
      <rPr>
        <b/>
        <u/>
        <sz val="12"/>
        <color theme="1"/>
        <rFont val="Georgia"/>
        <family val="1"/>
      </rPr>
      <t>All Other [State and Local Government]</t>
    </r>
    <r>
      <rPr>
        <sz val="12"/>
        <color theme="1"/>
        <rFont val="Georgia"/>
        <family val="1"/>
      </rPr>
      <t xml:space="preserve"> - are a subset of State and Local Government Expenditures that includes expenditures of funds for R&amp;D that are not State of Texas Source Expenditures or State of Texas Contracts &amp; Grants. These include funds from agencies from other states.</t>
    </r>
  </si>
  <si>
    <r>
      <rPr>
        <b/>
        <u/>
        <sz val="12"/>
        <color theme="1"/>
        <rFont val="Georgia"/>
        <family val="1"/>
      </rPr>
      <t>State and local government</t>
    </r>
    <r>
      <rPr>
        <sz val="12"/>
        <color theme="1"/>
        <rFont val="Georgia"/>
        <family val="1"/>
      </rPr>
      <t xml:space="preserve"> - expenditure of funds received for R&amp;D via appropriations from the state of Texas, including non-formula support items, </t>
    </r>
    <r>
      <rPr>
        <u/>
        <sz val="12"/>
        <color theme="1"/>
        <rFont val="Georgia"/>
        <family val="1"/>
      </rPr>
      <t>patient income as defined in Texas Education Code, §51.009(c)</t>
    </r>
    <r>
      <rPr>
        <sz val="12"/>
        <color theme="1"/>
        <rFont val="Georgia"/>
        <family val="1"/>
      </rPr>
      <t>, and funds received from any state, county, municipality, or other local government entity in the United States, including state health agencies. Expenditures include state funds that support R&amp;D at agricultural and other experiment stations.</t>
    </r>
  </si>
  <si>
    <r>
      <rPr>
        <b/>
        <u/>
        <sz val="12"/>
        <color theme="1"/>
        <rFont val="Georgia"/>
        <family val="1"/>
      </rPr>
      <t>State</t>
    </r>
    <r>
      <rPr>
        <sz val="12"/>
        <color theme="1"/>
        <rFont val="Georgia"/>
        <family val="1"/>
      </rPr>
      <t xml:space="preserve"> means any state of the United States, the District of Columbia, the Commonwealth of Puerto Rico, U.S. Virgin Islands, Guam, American Samoa, the Commonwealth of the Northern Mariana Islands, and any agency or instrumentality thereof exclusive of local governments. 
2 CFR 200.1 “State”</t>
    </r>
  </si>
  <si>
    <r>
      <rPr>
        <b/>
        <u/>
        <sz val="12"/>
        <color theme="1"/>
        <rFont val="Georgia"/>
        <family val="1"/>
      </rPr>
      <t>Federal</t>
    </r>
    <r>
      <rPr>
        <sz val="12"/>
        <color theme="1"/>
        <rFont val="Georgia"/>
        <family val="1"/>
      </rPr>
      <t xml:space="preserve"> - Expenditure of funds received by the reporting institution from any agency of the United States government for research and development. These include reimbursements, contracts, grants, and any identifiable amounts spent on research and development from Federal programs including Federal monies passed through state agencies to the reporting institution and federal funds that were passed through to the reporting institution from another institution.</t>
    </r>
  </si>
  <si>
    <t>Artificial intelligence; Computer science; Computer software &amp; media applications; Data processing; Information sciences; Information technology</t>
  </si>
  <si>
    <t>Aerospace, Aeronautical, Astronautical, Bioengineering, Biomedical, Chemical, Civil, Electrical, Electronic, Industrial, Manufacturing, Mechanical, Metallurgical, and other engineering</t>
  </si>
  <si>
    <t>Atmospheric Science &amp; Meteorology; Geological &amp; Earth Sciences; Ocean Sciences &amp; Marine Sciences; Other Geosciences, Atmospheric Sciences, &amp; Ocean Sciences</t>
  </si>
  <si>
    <t>Agricultural Sciences; Biological &amp; Biomedical Sciences; Health Science; Natural Resources &amp; Conservation; Other Life Sciences</t>
  </si>
  <si>
    <t>Business Management &amp; Business Administration; Communication &amp; Communications Technologies; Education; Humanities; Law; Social Work; Visual &amp; Performing Arts; Other Non-S&amp;E Fields</t>
  </si>
  <si>
    <t>Use this category if it is impossible to report multidisciplinary or interdisciplinary R&amp;D expenditures in a specific discipline.</t>
  </si>
  <si>
    <t>Astronomy &amp; Astrophysics; Chemistry; Materials Science; Physics; Other Physical Sciences</t>
  </si>
  <si>
    <t>Clinical psychology; Counseling &amp; applied psychology; Human development; Research &amp; experimental psychology</t>
  </si>
  <si>
    <t>Anthropology; Economics; Political Science and Government; Sociology, Demography, &amp; Population Studies; Other Social Sciences</t>
  </si>
  <si>
    <r>
      <rPr>
        <b/>
        <sz val="12"/>
        <color theme="1"/>
        <rFont val="Georgia"/>
        <family val="1"/>
      </rPr>
      <t>Computer Science</t>
    </r>
    <r>
      <rPr>
        <sz val="12"/>
        <color theme="1"/>
        <rFont val="Georgia"/>
        <family val="1"/>
      </rPr>
      <t xml:space="preserve"> is concerned with the application of mathematical methods to automated information systems, the development of computer technology, and advanced applications of computers.</t>
    </r>
  </si>
  <si>
    <r>
      <rPr>
        <b/>
        <sz val="12"/>
        <color theme="1"/>
        <rFont val="Georgia"/>
        <family val="1"/>
      </rPr>
      <t>Engineering</t>
    </r>
    <r>
      <rPr>
        <sz val="12"/>
        <color theme="1"/>
        <rFont val="Georgia"/>
        <family val="1"/>
      </rPr>
      <t xml:space="preserve"> is concerned with studies directed toward developing engineering principles or toward making specific principles usable in engineering practice. </t>
    </r>
  </si>
  <si>
    <r>
      <rPr>
        <b/>
        <sz val="12"/>
        <color theme="1"/>
        <rFont val="Georgia"/>
        <family val="1"/>
      </rPr>
      <t>Geosciences, Atmospheric Sciences, and Ocean Sciences or Earth Sciences</t>
    </r>
    <r>
      <rPr>
        <sz val="12"/>
        <color theme="1"/>
        <rFont val="Georgia"/>
        <family val="1"/>
      </rPr>
      <t xml:space="preserve"> includes a wide range of scientific disciplines that study the Earth and its various processes. </t>
    </r>
  </si>
  <si>
    <r>
      <rPr>
        <b/>
        <sz val="12"/>
        <color theme="1"/>
        <rFont val="Georgia"/>
        <family val="1"/>
      </rPr>
      <t xml:space="preserve">Life Sciences </t>
    </r>
    <r>
      <rPr>
        <sz val="12"/>
        <color theme="1"/>
        <rFont val="Georgia"/>
        <family val="1"/>
      </rPr>
      <t>include a broad and interdisciplinary field of scientific study that focuses on living organisms and their interactions with each other and their environments.</t>
    </r>
  </si>
  <si>
    <r>
      <rPr>
        <b/>
        <sz val="12"/>
        <color theme="1"/>
        <rFont val="Georgia"/>
        <family val="1"/>
      </rPr>
      <t>Mathematical Sciences</t>
    </r>
    <r>
      <rPr>
        <sz val="12"/>
        <color theme="1"/>
        <rFont val="Georgia"/>
        <family val="1"/>
      </rPr>
      <t xml:space="preserve"> employ logical reasoning with the aid of symbols and are concerned with the development of methods of operation employing such symbols.</t>
    </r>
  </si>
  <si>
    <r>
      <rPr>
        <b/>
        <sz val="12"/>
        <color theme="1"/>
        <rFont val="Georgia"/>
        <family val="1"/>
      </rPr>
      <t>Other Sciences</t>
    </r>
    <r>
      <rPr>
        <sz val="12"/>
        <color theme="1"/>
        <rFont val="Georgia"/>
        <family val="1"/>
      </rPr>
      <t xml:space="preserve"> not elsewhere classified is a category to be used 
for multidisciplinary and interdisciplinary projects and cannot be classified within one of the broad fields of science listed above.</t>
    </r>
  </si>
  <si>
    <r>
      <rPr>
        <b/>
        <sz val="12"/>
        <color theme="1"/>
        <rFont val="Georgia"/>
        <family val="1"/>
      </rPr>
      <t>Physical Sciences</t>
    </r>
    <r>
      <rPr>
        <sz val="12"/>
        <color theme="1"/>
        <rFont val="Georgia"/>
        <family val="1"/>
      </rPr>
      <t xml:space="preserve"> are concerned with the understanding of the material universe and its phenomena. </t>
    </r>
  </si>
  <si>
    <r>
      <rPr>
        <b/>
        <sz val="12"/>
        <color theme="1"/>
        <rFont val="Georgia"/>
        <family val="1"/>
      </rPr>
      <t>Psychology</t>
    </r>
    <r>
      <rPr>
        <sz val="12"/>
        <color theme="1"/>
        <rFont val="Georgia"/>
        <family val="1"/>
      </rPr>
      <t xml:space="preserve"> deals with behavior, mental processes, and individual and group characteristics and abilities. </t>
    </r>
  </si>
  <si>
    <r>
      <rPr>
        <b/>
        <sz val="12"/>
        <color theme="1"/>
        <rFont val="Georgia"/>
        <family val="1"/>
      </rPr>
      <t>Social Sciences</t>
    </r>
    <r>
      <rPr>
        <sz val="12"/>
        <color theme="1"/>
        <rFont val="Georgia"/>
        <family val="1"/>
      </rPr>
      <t xml:space="preserve"> are directed toward an understanding of the behavior of social institutions and groups and of individuals as members of a group.</t>
    </r>
  </si>
  <si>
    <r>
      <rPr>
        <b/>
        <sz val="12"/>
        <color theme="1"/>
        <rFont val="Georgia"/>
        <family val="1"/>
      </rPr>
      <t>Capital outlay for research equipment</t>
    </r>
    <r>
      <rPr>
        <sz val="12"/>
        <color theme="1"/>
        <rFont val="Georgia"/>
        <family val="1"/>
      </rPr>
      <t xml:space="preserve"> - According to the Government Accounting Standards Board, annual financial reports use expenses rather than expenditures. The major difference is that capital outlays for research equipment will be depreciated over the life of the equipment and will not be separately identified as research items in the annual financial reports. This line allows inclusion of expenditures for equipment that are not included in research expenses. The research definition used for this report does not allow inclusion of expenses for R&amp;D plant or construction.</t>
    </r>
  </si>
  <si>
    <r>
      <rPr>
        <b/>
        <sz val="12"/>
        <color theme="1"/>
        <rFont val="Georgia"/>
        <family val="1"/>
      </rPr>
      <t xml:space="preserve">Indirect costs </t>
    </r>
    <r>
      <rPr>
        <sz val="12"/>
        <color theme="1"/>
        <rFont val="Georgia"/>
        <family val="1"/>
      </rPr>
      <t>mean those costs incurred for a common or joint purpose benefitting more than one cost objective, and not readily assignable to the cost objectives specifically benefitted, without effort disproportionate to the results achieved. 
2 CFR 200.1 “Indirect (facilities &amp; administrative (F&amp;A)) costs”</t>
    </r>
  </si>
  <si>
    <r>
      <rPr>
        <b/>
        <sz val="12"/>
        <color theme="1"/>
        <rFont val="Georgia"/>
        <family val="1"/>
      </rPr>
      <t>Pass-through to Sub-recipient</t>
    </r>
    <r>
      <rPr>
        <sz val="12"/>
        <color theme="1"/>
        <rFont val="Georgia"/>
        <family val="1"/>
      </rPr>
      <t xml:space="preserve"> - Sponsored project funds that are passed from one entity to a sub-recipient. The sub-recipient expends the funds to carry out part of the sponsored project on behalf of the pass-through entity.</t>
    </r>
  </si>
  <si>
    <r>
      <rPr>
        <b/>
        <u/>
        <sz val="12"/>
        <color theme="1"/>
        <rFont val="Georgia"/>
        <family val="1"/>
      </rPr>
      <t>Nonprofit</t>
    </r>
    <r>
      <rPr>
        <sz val="12"/>
        <color theme="1"/>
        <rFont val="Georgia"/>
        <family val="1"/>
      </rPr>
      <t xml:space="preserve"> - Expenditures of funds from domestic or foreign non-profit foundations and organizations,</t>
    </r>
    <r>
      <rPr>
        <b/>
        <sz val="12"/>
        <color theme="1"/>
        <rFont val="Georgia"/>
        <family val="1"/>
      </rPr>
      <t xml:space="preserve"> except universities and colleges</t>
    </r>
    <r>
      <rPr>
        <sz val="12"/>
        <color theme="1"/>
        <rFont val="Georgia"/>
        <family val="1"/>
      </rPr>
      <t>. 2 CFR 200.1 “Nonprofit organization”</t>
    </r>
  </si>
  <si>
    <r>
      <t xml:space="preserve">of the </t>
    </r>
    <r>
      <rPr>
        <i/>
        <sz val="11"/>
        <color theme="1"/>
        <rFont val="Georgia"/>
        <family val="1"/>
      </rPr>
      <t>Sources &amp; Uses Survey</t>
    </r>
    <r>
      <rPr>
        <sz val="11"/>
        <color theme="1"/>
        <rFont val="Georgia"/>
        <family val="1"/>
      </rPr>
      <t xml:space="preserve">. This includes expenditures from </t>
    </r>
    <r>
      <rPr>
        <u/>
        <sz val="11"/>
        <color theme="1"/>
        <rFont val="Georgia"/>
        <family val="1"/>
      </rPr>
      <t>Educational &amp; General</t>
    </r>
    <r>
      <rPr>
        <sz val="11"/>
        <color theme="1"/>
        <rFont val="Georgia"/>
        <family val="1"/>
      </rPr>
      <t xml:space="preserve">, </t>
    </r>
    <r>
      <rPr>
        <u/>
        <sz val="11"/>
        <color theme="1"/>
        <rFont val="Georgia"/>
        <family val="1"/>
      </rPr>
      <t>Designated</t>
    </r>
    <r>
      <rPr>
        <sz val="11"/>
        <color theme="1"/>
        <rFont val="Georgia"/>
        <family val="1"/>
      </rPr>
      <t xml:space="preserve">, </t>
    </r>
    <r>
      <rPr>
        <u/>
        <sz val="11"/>
        <color theme="1"/>
        <rFont val="Georgia"/>
        <family val="1"/>
      </rPr>
      <t>Restricted Expendable</t>
    </r>
    <r>
      <rPr>
        <sz val="11"/>
        <color theme="1"/>
        <rFont val="Georgia"/>
        <family val="1"/>
      </rPr>
      <t xml:space="preserve">, and </t>
    </r>
    <r>
      <rPr>
        <u/>
        <sz val="11"/>
        <color theme="1"/>
        <rFont val="Georgia"/>
        <family val="1"/>
      </rPr>
      <t>Unexpended</t>
    </r>
  </si>
  <si>
    <r>
      <t xml:space="preserve">Provides a list of the </t>
    </r>
    <r>
      <rPr>
        <b/>
        <sz val="12"/>
        <color theme="1"/>
        <rFont val="Georgia"/>
        <family val="1"/>
      </rPr>
      <t xml:space="preserve">primary </t>
    </r>
    <r>
      <rPr>
        <sz val="12"/>
        <color theme="1"/>
        <rFont val="Georgia"/>
        <family val="1"/>
      </rPr>
      <t>and</t>
    </r>
    <r>
      <rPr>
        <b/>
        <sz val="12"/>
        <color theme="1"/>
        <rFont val="Georgia"/>
        <family val="1"/>
      </rPr>
      <t xml:space="preserve"> backup contacts</t>
    </r>
    <r>
      <rPr>
        <sz val="12"/>
        <color theme="1"/>
        <rFont val="Georgia"/>
        <family val="1"/>
      </rPr>
      <t xml:space="preserve"> for each institution, including </t>
    </r>
    <r>
      <rPr>
        <b/>
        <sz val="12"/>
        <color theme="1"/>
        <rFont val="Georgia"/>
        <family val="1"/>
      </rPr>
      <t>name</t>
    </r>
    <r>
      <rPr>
        <sz val="12"/>
        <color theme="1"/>
        <rFont val="Georgia"/>
        <family val="1"/>
      </rPr>
      <t xml:space="preserve">, </t>
    </r>
    <r>
      <rPr>
        <b/>
        <sz val="12"/>
        <color theme="1"/>
        <rFont val="Georgia"/>
        <family val="1"/>
      </rPr>
      <t>phone number</t>
    </r>
    <r>
      <rPr>
        <sz val="12"/>
        <color theme="1"/>
        <rFont val="Georgia"/>
        <family val="1"/>
      </rPr>
      <t xml:space="preserve">, and </t>
    </r>
    <r>
      <rPr>
        <b/>
        <sz val="12"/>
        <color theme="1"/>
        <rFont val="Georgia"/>
        <family val="1"/>
      </rPr>
      <t>email address</t>
    </r>
    <r>
      <rPr>
        <sz val="12"/>
        <color theme="1"/>
        <rFont val="Georgia"/>
        <family val="1"/>
      </rPr>
      <t xml:space="preserve"> (if provided).</t>
    </r>
  </si>
  <si>
    <r>
      <t xml:space="preserve">Presents research expenditures data for fiscal year </t>
    </r>
    <r>
      <rPr>
        <b/>
        <sz val="12"/>
        <color theme="1"/>
        <rFont val="Georgia"/>
        <family val="1"/>
      </rPr>
      <t>2025</t>
    </r>
    <r>
      <rPr>
        <sz val="12"/>
        <color theme="1"/>
        <rFont val="Georgia"/>
        <family val="1"/>
      </rPr>
      <t xml:space="preserve">, as reported by </t>
    </r>
    <r>
      <rPr>
        <b/>
        <sz val="12"/>
        <color theme="1"/>
        <rFont val="Georgia"/>
        <family val="1"/>
      </rPr>
      <t xml:space="preserve">each institution </t>
    </r>
    <r>
      <rPr>
        <sz val="12"/>
        <color theme="1"/>
        <rFont val="Georgia"/>
        <family val="1"/>
      </rPr>
      <t xml:space="preserve">on the </t>
    </r>
    <r>
      <rPr>
        <b/>
        <sz val="12"/>
        <color theme="1"/>
        <rFont val="Georgia"/>
        <family val="1"/>
      </rPr>
      <t xml:space="preserve">Research Expenditure </t>
    </r>
    <r>
      <rPr>
        <sz val="12"/>
        <color theme="1"/>
        <rFont val="Georgia"/>
        <family val="1"/>
      </rPr>
      <t>survey</t>
    </r>
    <r>
      <rPr>
        <b/>
        <sz val="12"/>
        <color theme="1"/>
        <rFont val="Georgia"/>
        <family val="1"/>
      </rPr>
      <t xml:space="preserve"> </t>
    </r>
    <r>
      <rPr>
        <sz val="12"/>
        <color theme="1"/>
        <rFont val="Georgia"/>
        <family val="1"/>
      </rPr>
      <t xml:space="preserve">in the </t>
    </r>
    <r>
      <rPr>
        <b/>
        <sz val="12"/>
        <color theme="1"/>
        <rFont val="Georgia"/>
        <family val="1"/>
      </rPr>
      <t>Sources &amp; Uses Survey</t>
    </r>
    <r>
      <rPr>
        <sz val="12"/>
        <color theme="1"/>
        <rFont val="Georgia"/>
        <family val="1"/>
      </rPr>
      <t xml:space="preserve">. Users can select an institution from the dropdown menu to view its data as submitted.	</t>
    </r>
  </si>
  <si>
    <r>
      <t xml:space="preserve">Consolidates </t>
    </r>
    <r>
      <rPr>
        <b/>
        <sz val="12"/>
        <color theme="1"/>
        <rFont val="Georgia"/>
        <family val="1"/>
      </rPr>
      <t xml:space="preserve">Research Expenditures by Discipline </t>
    </r>
    <r>
      <rPr>
        <sz val="12"/>
        <color theme="1"/>
        <rFont val="Georgia"/>
        <family val="1"/>
      </rPr>
      <t xml:space="preserve">data </t>
    </r>
    <r>
      <rPr>
        <b/>
        <sz val="12"/>
        <color theme="1"/>
        <rFont val="Georgia"/>
        <family val="1"/>
      </rPr>
      <t>at the university system level</t>
    </r>
    <r>
      <rPr>
        <sz val="12"/>
        <color theme="1"/>
        <rFont val="Georgia"/>
        <family val="1"/>
      </rPr>
      <t xml:space="preserve">, incorporating submissions from system offices, agencies, universities, health-related institutions, and colleges. Users can select a university system from the dropdown menu to view aggregated financial data for all its affiliated entities, providing a comprehensive overview of system-wide research expenditures. A list of the institutions included in the aggregated data is displayed near the top right of the worksheet for reference.	</t>
    </r>
  </si>
  <si>
    <r>
      <t xml:space="preserve">Aggregates </t>
    </r>
    <r>
      <rPr>
        <b/>
        <sz val="12"/>
        <color theme="1"/>
        <rFont val="Georgia"/>
        <family val="1"/>
      </rPr>
      <t>Research Expenditure</t>
    </r>
    <r>
      <rPr>
        <sz val="12"/>
        <color theme="1"/>
        <rFont val="Georgia"/>
        <family val="1"/>
      </rPr>
      <t xml:space="preserve"> data </t>
    </r>
    <r>
      <rPr>
        <b/>
        <sz val="12"/>
        <color theme="1"/>
        <rFont val="Georgia"/>
        <family val="1"/>
      </rPr>
      <t>by institution type</t>
    </r>
    <r>
      <rPr>
        <sz val="12"/>
        <color theme="1"/>
        <rFont val="Georgia"/>
        <family val="1"/>
      </rPr>
      <t>, providing a summary for universities (36), health-related institutions (14), system offices (7), state colleges (3), state technical colleges (6), TAMU Agencies (9), and private universities (15). A list of the institutions included in the aggregated data is displayed near the top right of the worksheet for reference.</t>
    </r>
  </si>
  <si>
    <r>
      <t xml:space="preserve">Provides a summary of the </t>
    </r>
    <r>
      <rPr>
        <b/>
        <sz val="12"/>
        <color theme="1"/>
        <rFont val="Georgia"/>
        <family val="1"/>
      </rPr>
      <t>Research Expenditures by Discipline</t>
    </r>
    <r>
      <rPr>
        <sz val="12"/>
        <color theme="1"/>
        <rFont val="Georgia"/>
        <family val="1"/>
      </rPr>
      <t xml:space="preserve"> data and </t>
    </r>
    <r>
      <rPr>
        <b/>
        <sz val="12"/>
        <color theme="1"/>
        <rFont val="Georgia"/>
        <family val="1"/>
      </rPr>
      <t>by method of funding</t>
    </r>
    <r>
      <rPr>
        <sz val="12"/>
        <color theme="1"/>
        <rFont val="Georgia"/>
        <family val="1"/>
      </rPr>
      <t xml:space="preserve"> for universities, health-related institutions, state colleges, and state technical colleges published in the Texas Higher Education Accountability System.</t>
    </r>
  </si>
  <si>
    <r>
      <t xml:space="preserve">Provides definitions for financial terms, funding methods, reporting categories, and related resources. Aligns with the Texas Administrative Code (updated October 2024) for </t>
    </r>
    <r>
      <rPr>
        <b/>
        <sz val="12"/>
        <color theme="1"/>
        <rFont val="Georgia"/>
        <family val="1"/>
      </rPr>
      <t>fiscal year 2025</t>
    </r>
    <r>
      <rPr>
        <sz val="12"/>
        <color theme="1"/>
        <rFont val="Georgia"/>
        <family val="1"/>
      </rPr>
      <t xml:space="preserve"> reporting.	</t>
    </r>
  </si>
  <si>
    <r>
      <t xml:space="preserve">Provides a summary of data used for the </t>
    </r>
    <r>
      <rPr>
        <b/>
        <sz val="12"/>
        <color theme="1"/>
        <rFont val="Georgia"/>
        <family val="1"/>
      </rPr>
      <t>Academic Space Model</t>
    </r>
    <r>
      <rPr>
        <sz val="12"/>
        <color theme="1"/>
        <rFont val="Georgia"/>
        <family val="1"/>
      </rPr>
      <t xml:space="preserve"> for Texas public universities.</t>
    </r>
  </si>
  <si>
    <r>
      <t>Lists full-time student equivalent (</t>
    </r>
    <r>
      <rPr>
        <b/>
        <sz val="12"/>
        <color theme="1"/>
        <rFont val="Georgia"/>
        <family val="1"/>
      </rPr>
      <t>FTSE</t>
    </r>
    <r>
      <rPr>
        <sz val="12"/>
        <color theme="1"/>
        <rFont val="Georgia"/>
        <family val="1"/>
      </rPr>
      <t>) and full-time faculty equivalent (</t>
    </r>
    <r>
      <rPr>
        <b/>
        <sz val="12"/>
        <color theme="1"/>
        <rFont val="Georgia"/>
        <family val="1"/>
      </rPr>
      <t>FTFE</t>
    </r>
    <r>
      <rPr>
        <sz val="12"/>
        <color theme="1"/>
        <rFont val="Georgia"/>
        <family val="1"/>
      </rPr>
      <t xml:space="preserve">) for the </t>
    </r>
    <r>
      <rPr>
        <b/>
        <sz val="12"/>
        <color theme="1"/>
        <rFont val="Georgia"/>
        <family val="1"/>
      </rPr>
      <t>2024-2025</t>
    </r>
    <r>
      <rPr>
        <sz val="12"/>
        <color theme="1"/>
        <rFont val="Georgia"/>
        <family val="1"/>
      </rPr>
      <t xml:space="preserve"> academic year across all Texas public universities, health-related institutions, state colleges, and state technical colleges.</t>
    </r>
  </si>
  <si>
    <t>unavailable</t>
  </si>
  <si>
    <t>Published April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</si>
</sst>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7">
    <numFmt numFmtId="6" formatCode="&quot;$&quot;#,##0_);[Red]\(&quot;$&quot;#,##0\)"/>
    <numFmt numFmtId="164" formatCode="000000"/>
    <numFmt numFmtId="165" formatCode="[&lt;=9999999]###\-####;\(###\)\ ###\-####"/>
    <numFmt numFmtId="166" formatCode="&quot;$&quot;#,##0"/>
    <numFmt numFmtId="167" formatCode="0000"/>
    <numFmt numFmtId="168" formatCode="@\⁴"/>
    <numFmt numFmtId="169" formatCode="@\³"/>
  </numFmts>
  <fonts count="56" x14ac:knownFonts="1">
    <font>
      <sz val="11"/>
      <color theme="1"/>
      <name val="Georgia"/>
      <family val="1"/>
    </font>
    <font>
      <sz val="8"/>
      <name val="Georgia Pro"/>
      <family val="2"/>
      <scheme val="minor"/>
    </font>
    <font>
      <sz val="11"/>
      <color rgb="FF3F3F76"/>
      <name val="Overpass"/>
      <family val="2"/>
    </font>
    <font>
      <b/>
      <sz val="11"/>
      <color rgb="FF3F3F3F"/>
      <name val="Overpass"/>
      <family val="2"/>
    </font>
    <font>
      <b/>
      <sz val="11"/>
      <color rgb="FFFA7D00"/>
      <name val="Overpass"/>
      <family val="2"/>
    </font>
    <font>
      <sz val="11"/>
      <color rgb="FFFA7D00"/>
      <name val="Overpass"/>
      <family val="2"/>
    </font>
    <font>
      <b/>
      <sz val="11"/>
      <color theme="0"/>
      <name val="Overpass"/>
      <family val="2"/>
    </font>
    <font>
      <sz val="11"/>
      <color rgb="FFFF0000"/>
      <name val="Overpass"/>
      <family val="2"/>
    </font>
    <font>
      <i/>
      <sz val="11"/>
      <color rgb="FF7F7F7F"/>
      <name val="Overpass"/>
      <family val="2"/>
    </font>
    <font>
      <u/>
      <sz val="11"/>
      <color theme="10"/>
      <name val="Georgia Pro"/>
      <family val="2"/>
      <scheme val="minor"/>
    </font>
    <font>
      <u/>
      <sz val="11"/>
      <color theme="11"/>
      <name val="Georgia Pro"/>
      <family val="2"/>
      <scheme val="minor"/>
    </font>
    <font>
      <b/>
      <sz val="11"/>
      <color theme="3"/>
      <name val="Segoe UI"/>
      <family val="2"/>
    </font>
    <font>
      <sz val="11"/>
      <color rgb="FF9C0006"/>
      <name val="Segoe UI"/>
      <family val="2"/>
    </font>
    <font>
      <sz val="11"/>
      <color rgb="FF006100"/>
      <name val="Segoe UI"/>
      <family val="2"/>
    </font>
    <font>
      <sz val="11"/>
      <color rgb="FF9C5700"/>
      <name val="Segoe UI"/>
      <family val="2"/>
    </font>
    <font>
      <sz val="12"/>
      <color theme="1"/>
      <name val="Georgia Pro"/>
      <family val="2"/>
      <scheme val="minor"/>
    </font>
    <font>
      <u/>
      <sz val="14"/>
      <color theme="10"/>
      <name val="Segoe UI"/>
      <family val="2"/>
    </font>
    <font>
      <b/>
      <sz val="12"/>
      <color theme="1"/>
      <name val="Georgia Pro"/>
      <family val="2"/>
      <scheme val="minor"/>
    </font>
    <font>
      <sz val="11"/>
      <color theme="1"/>
      <name val="Georgia"/>
      <family val="1"/>
    </font>
    <font>
      <b/>
      <sz val="12"/>
      <color theme="0"/>
      <name val="Georgia"/>
      <family val="1"/>
    </font>
    <font>
      <b/>
      <sz val="11"/>
      <color theme="1"/>
      <name val="Georgia"/>
      <family val="1"/>
    </font>
    <font>
      <u/>
      <sz val="11"/>
      <color theme="1"/>
      <name val="Georgia"/>
      <family val="1"/>
    </font>
    <font>
      <i/>
      <sz val="11"/>
      <color theme="1"/>
      <name val="Georgia"/>
      <family val="1"/>
    </font>
    <font>
      <b/>
      <sz val="18"/>
      <color theme="0"/>
      <name val="Georgia"/>
      <family val="1"/>
    </font>
    <font>
      <sz val="12"/>
      <color theme="1"/>
      <name val="Georgia"/>
      <family val="1"/>
    </font>
    <font>
      <b/>
      <sz val="12"/>
      <color theme="1"/>
      <name val="Georgia"/>
      <family val="1"/>
    </font>
    <font>
      <b/>
      <sz val="14"/>
      <color theme="0"/>
      <name val="Georgia"/>
      <family val="1"/>
    </font>
    <font>
      <b/>
      <sz val="18"/>
      <color theme="3"/>
      <name val="Georgia"/>
      <family val="1"/>
    </font>
    <font>
      <b/>
      <sz val="12"/>
      <color theme="0"/>
      <name val="Segoe UI"/>
      <family val="2"/>
    </font>
    <font>
      <sz val="12"/>
      <color theme="0"/>
      <name val="Georgia Pro Black"/>
      <family val="1"/>
    </font>
    <font>
      <sz val="12"/>
      <color theme="1"/>
      <name val="Georgia Pro"/>
      <family val="1"/>
    </font>
    <font>
      <b/>
      <sz val="12"/>
      <color theme="1"/>
      <name val="Georgia Pro"/>
      <family val="1"/>
    </font>
    <font>
      <sz val="12"/>
      <color rgb="FFAF211A"/>
      <name val="Georgia"/>
      <family val="1"/>
    </font>
    <font>
      <sz val="14"/>
      <color theme="1"/>
      <name val="Georgia"/>
      <family val="1"/>
    </font>
    <font>
      <sz val="18"/>
      <color theme="3"/>
      <name val="Georgia"/>
      <family val="1"/>
    </font>
    <font>
      <sz val="14"/>
      <color theme="0"/>
      <name val="Georgia"/>
      <family val="1"/>
    </font>
    <font>
      <sz val="12"/>
      <color theme="0"/>
      <name val="Georgia"/>
      <family val="1"/>
    </font>
    <font>
      <b/>
      <sz val="12"/>
      <color theme="4"/>
      <name val="Georgia"/>
      <family val="1"/>
    </font>
    <font>
      <b/>
      <sz val="12"/>
      <color rgb="FFAF211A"/>
      <name val="Georgia"/>
      <family val="1"/>
    </font>
    <font>
      <sz val="12"/>
      <color theme="4"/>
      <name val="Georgia"/>
      <family val="1"/>
    </font>
    <font>
      <b/>
      <sz val="18"/>
      <color theme="1"/>
      <name val="Georgia"/>
      <family val="1"/>
    </font>
    <font>
      <sz val="12"/>
      <color rgb="FF003E52"/>
      <name val="Georgia"/>
      <family val="1"/>
    </font>
    <font>
      <sz val="16"/>
      <color theme="1"/>
      <name val="Georgia"/>
      <family val="1"/>
    </font>
    <font>
      <sz val="18"/>
      <color theme="3"/>
      <name val="Georgia Pro Black"/>
      <family val="2"/>
      <scheme val="major"/>
    </font>
    <font>
      <b/>
      <sz val="20"/>
      <color theme="1"/>
      <name val="Georgia"/>
      <family val="1"/>
    </font>
    <font>
      <b/>
      <sz val="16"/>
      <color theme="1"/>
      <name val="Georgia"/>
      <family val="1"/>
    </font>
    <font>
      <b/>
      <sz val="16"/>
      <color theme="0"/>
      <name val="Georgia"/>
      <family val="1"/>
    </font>
    <font>
      <vertAlign val="superscript"/>
      <sz val="12"/>
      <color theme="1"/>
      <name val="Georgia"/>
      <family val="1"/>
    </font>
    <font>
      <u/>
      <sz val="12"/>
      <color theme="10"/>
      <name val="Georgia"/>
      <family val="1"/>
    </font>
    <font>
      <sz val="12"/>
      <name val="Georgia"/>
      <family val="1"/>
    </font>
    <font>
      <b/>
      <sz val="14"/>
      <color theme="1"/>
      <name val="Georgia"/>
      <family val="1"/>
    </font>
    <font>
      <b/>
      <u/>
      <sz val="12"/>
      <name val="Georgia"/>
      <family val="1"/>
    </font>
    <font>
      <b/>
      <sz val="12"/>
      <name val="Georgia"/>
      <family val="1"/>
    </font>
    <font>
      <b/>
      <u/>
      <sz val="12"/>
      <color theme="1"/>
      <name val="Georgia"/>
      <family val="1"/>
    </font>
    <font>
      <u/>
      <sz val="12"/>
      <color theme="1"/>
      <name val="Georgia"/>
      <family val="1"/>
    </font>
    <font>
      <sz val="10"/>
      <color theme="1"/>
      <name val="Georgia"/>
      <family val="1"/>
    </font>
  </fonts>
  <fills count="44">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tint="0.79998168889431442"/>
        <bgColor indexed="65"/>
      </patternFill>
    </fill>
    <fill>
      <patternFill patternType="solid">
        <fgColor theme="0"/>
        <bgColor indexed="64"/>
      </patternFill>
    </fill>
    <fill>
      <patternFill patternType="solid">
        <fgColor theme="0" tint="-0.14996795556505021"/>
        <bgColor indexed="64"/>
      </patternFill>
    </fill>
    <fill>
      <patternFill patternType="solid">
        <fgColor theme="0" tint="-0.24994659260841701"/>
        <bgColor indexed="64"/>
      </patternFill>
    </fill>
    <fill>
      <patternFill patternType="solid">
        <fgColor theme="0" tint="-0.34998626667073579"/>
        <bgColor indexed="64"/>
      </patternFill>
    </fill>
    <fill>
      <patternFill patternType="solid">
        <fgColor theme="8"/>
        <bgColor indexed="64"/>
      </patternFill>
    </fill>
    <fill>
      <patternFill patternType="solid">
        <fgColor theme="4"/>
        <bgColor indexed="64"/>
      </patternFill>
    </fill>
    <fill>
      <patternFill patternType="solid">
        <fgColor theme="5"/>
        <bgColor indexed="64"/>
      </patternFill>
    </fill>
    <fill>
      <patternFill patternType="solid">
        <fgColor rgb="FF003E52"/>
        <bgColor indexed="64"/>
      </patternFill>
    </fill>
    <fill>
      <patternFill patternType="solid">
        <fgColor theme="0" tint="-4.9989318521683403E-2"/>
        <bgColor indexed="64"/>
      </patternFill>
    </fill>
    <fill>
      <patternFill patternType="solid">
        <fgColor theme="6"/>
        <bgColor indexed="64"/>
      </patternFill>
    </fill>
    <fill>
      <patternFill patternType="solid">
        <fgColor theme="5" tint="0.79998168889431442"/>
        <bgColor indexed="64"/>
      </patternFill>
    </fill>
    <fill>
      <patternFill patternType="solid">
        <fgColor theme="0" tint="-0.14999847407452621"/>
        <bgColor indexed="64"/>
      </patternFill>
    </fill>
    <fill>
      <patternFill patternType="solid">
        <fgColor rgb="FF87D1E6"/>
        <bgColor indexed="64"/>
      </patternFill>
    </fill>
    <fill>
      <patternFill patternType="solid">
        <fgColor rgb="FF007DA4"/>
        <bgColor indexed="64"/>
      </patternFill>
    </fill>
    <fill>
      <patternFill patternType="solid">
        <fgColor rgb="FFFFFFCC"/>
        <bgColor indexed="64"/>
      </patternFill>
    </fill>
  </fills>
  <borders count="109">
    <border>
      <left/>
      <right/>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theme="4"/>
      </left>
      <right style="thin">
        <color theme="4"/>
      </right>
      <top style="thin">
        <color theme="4"/>
      </top>
      <bottom style="thin">
        <color theme="4"/>
      </bottom>
      <diagonal/>
    </border>
    <border>
      <left style="thin">
        <color theme="4"/>
      </left>
      <right/>
      <top style="thin">
        <color theme="4"/>
      </top>
      <bottom/>
      <diagonal/>
    </border>
    <border>
      <left/>
      <right/>
      <top style="thin">
        <color theme="4"/>
      </top>
      <bottom/>
      <diagonal/>
    </border>
    <border>
      <left/>
      <right style="thin">
        <color theme="4"/>
      </right>
      <top style="thin">
        <color theme="4"/>
      </top>
      <bottom/>
      <diagonal/>
    </border>
    <border>
      <left style="thin">
        <color theme="4"/>
      </left>
      <right/>
      <top/>
      <bottom style="thin">
        <color theme="4"/>
      </bottom>
      <diagonal/>
    </border>
    <border>
      <left/>
      <right/>
      <top/>
      <bottom style="thin">
        <color theme="4"/>
      </bottom>
      <diagonal/>
    </border>
    <border>
      <left/>
      <right style="thin">
        <color theme="4"/>
      </right>
      <top/>
      <bottom style="thin">
        <color theme="4"/>
      </bottom>
      <diagonal/>
    </border>
    <border>
      <left style="thin">
        <color theme="4"/>
      </left>
      <right/>
      <top style="thin">
        <color theme="4"/>
      </top>
      <bottom style="thin">
        <color theme="4"/>
      </bottom>
      <diagonal/>
    </border>
    <border>
      <left/>
      <right/>
      <top style="thin">
        <color theme="4"/>
      </top>
      <bottom style="thin">
        <color theme="4"/>
      </bottom>
      <diagonal/>
    </border>
    <border>
      <left/>
      <right style="thin">
        <color theme="4"/>
      </right>
      <top style="thin">
        <color theme="4"/>
      </top>
      <bottom style="thin">
        <color theme="4"/>
      </bottom>
      <diagonal/>
    </border>
    <border>
      <left style="thin">
        <color theme="4"/>
      </left>
      <right/>
      <top/>
      <bottom/>
      <diagonal/>
    </border>
    <border>
      <left/>
      <right style="thin">
        <color theme="4"/>
      </right>
      <top/>
      <bottom/>
      <diagonal/>
    </border>
    <border>
      <left style="thin">
        <color rgb="FF003E52"/>
      </left>
      <right/>
      <top/>
      <bottom/>
      <diagonal/>
    </border>
    <border>
      <left style="thin">
        <color theme="4"/>
      </left>
      <right style="thin">
        <color theme="4"/>
      </right>
      <top style="thin">
        <color theme="4"/>
      </top>
      <bottom/>
      <diagonal/>
    </border>
    <border>
      <left style="thin">
        <color theme="4"/>
      </left>
      <right style="thin">
        <color theme="4"/>
      </right>
      <top/>
      <bottom style="thin">
        <color theme="4"/>
      </bottom>
      <diagonal/>
    </border>
    <border>
      <left style="thin">
        <color theme="4"/>
      </left>
      <right style="thin">
        <color theme="4"/>
      </right>
      <top style="thin">
        <color theme="4"/>
      </top>
      <bottom style="thin">
        <color theme="0"/>
      </bottom>
      <diagonal/>
    </border>
    <border>
      <left/>
      <right style="thin">
        <color theme="4"/>
      </right>
      <top style="thin">
        <color theme="4"/>
      </top>
      <bottom style="thin">
        <color theme="0"/>
      </bottom>
      <diagonal/>
    </border>
    <border>
      <left/>
      <right/>
      <top style="thin">
        <color theme="4"/>
      </top>
      <bottom style="thin">
        <color theme="0"/>
      </bottom>
      <diagonal/>
    </border>
    <border>
      <left style="thin">
        <color theme="4"/>
      </left>
      <right/>
      <top/>
      <bottom style="thin">
        <color theme="0" tint="-4.9989318521683403E-2"/>
      </bottom>
      <diagonal/>
    </border>
    <border>
      <left/>
      <right/>
      <top/>
      <bottom style="thin">
        <color theme="0" tint="-4.9989318521683403E-2"/>
      </bottom>
      <diagonal/>
    </border>
    <border>
      <left style="thin">
        <color theme="4"/>
      </left>
      <right style="thin">
        <color theme="4"/>
      </right>
      <top style="thin">
        <color theme="0"/>
      </top>
      <bottom style="thin">
        <color theme="0"/>
      </bottom>
      <diagonal/>
    </border>
    <border>
      <left/>
      <right style="thin">
        <color theme="4"/>
      </right>
      <top style="thin">
        <color theme="0"/>
      </top>
      <bottom style="thin">
        <color theme="0"/>
      </bottom>
      <diagonal/>
    </border>
    <border>
      <left/>
      <right/>
      <top style="thin">
        <color theme="0"/>
      </top>
      <bottom style="thin">
        <color theme="0"/>
      </bottom>
      <diagonal/>
    </border>
    <border>
      <left style="thin">
        <color theme="4"/>
      </left>
      <right/>
      <top style="thin">
        <color theme="0" tint="-4.9989318521683403E-2"/>
      </top>
      <bottom/>
      <diagonal/>
    </border>
    <border>
      <left/>
      <right/>
      <top style="thin">
        <color theme="0" tint="-4.9989318521683403E-2"/>
      </top>
      <bottom/>
      <diagonal/>
    </border>
    <border>
      <left/>
      <right style="thin">
        <color theme="4"/>
      </right>
      <top style="thin">
        <color theme="0"/>
      </top>
      <bottom style="thin">
        <color theme="4"/>
      </bottom>
      <diagonal/>
    </border>
    <border>
      <left/>
      <right/>
      <top style="thin">
        <color theme="0"/>
      </top>
      <bottom style="thin">
        <color theme="4"/>
      </bottom>
      <diagonal/>
    </border>
    <border>
      <left style="thin">
        <color theme="4"/>
      </left>
      <right/>
      <top style="thin">
        <color theme="4"/>
      </top>
      <bottom style="thin">
        <color theme="0" tint="-4.9989318521683403E-2"/>
      </bottom>
      <diagonal/>
    </border>
    <border>
      <left/>
      <right/>
      <top style="thin">
        <color theme="4"/>
      </top>
      <bottom style="thin">
        <color theme="0" tint="-4.9989318521683403E-2"/>
      </bottom>
      <diagonal/>
    </border>
    <border>
      <left style="thin">
        <color theme="4"/>
      </left>
      <right/>
      <top style="thin">
        <color theme="0" tint="-4.9989318521683403E-2"/>
      </top>
      <bottom style="thin">
        <color theme="0" tint="-4.9989318521683403E-2"/>
      </bottom>
      <diagonal/>
    </border>
    <border>
      <left/>
      <right/>
      <top style="thin">
        <color theme="0" tint="-4.9989318521683403E-2"/>
      </top>
      <bottom style="thin">
        <color theme="0" tint="-4.9989318521683403E-2"/>
      </bottom>
      <diagonal/>
    </border>
    <border>
      <left style="thin">
        <color theme="4"/>
      </left>
      <right/>
      <top style="thin">
        <color theme="4"/>
      </top>
      <bottom style="thin">
        <color theme="0"/>
      </bottom>
      <diagonal/>
    </border>
    <border>
      <left style="thin">
        <color theme="4"/>
      </left>
      <right/>
      <top style="thin">
        <color theme="0"/>
      </top>
      <bottom style="thin">
        <color theme="0"/>
      </bottom>
      <diagonal/>
    </border>
    <border>
      <left style="thin">
        <color theme="4"/>
      </left>
      <right/>
      <top style="thin">
        <color theme="0"/>
      </top>
      <bottom style="thin">
        <color theme="4"/>
      </bottom>
      <diagonal/>
    </border>
    <border>
      <left/>
      <right/>
      <top style="thin">
        <color theme="0"/>
      </top>
      <bottom/>
      <diagonal/>
    </border>
    <border>
      <left/>
      <right style="thin">
        <color theme="4"/>
      </right>
      <top style="thin">
        <color theme="0"/>
      </top>
      <bottom/>
      <diagonal/>
    </border>
    <border>
      <left style="thin">
        <color theme="4"/>
      </left>
      <right/>
      <top style="thin">
        <color theme="0" tint="-4.9989318521683403E-2"/>
      </top>
      <bottom style="thin">
        <color theme="4"/>
      </bottom>
      <diagonal/>
    </border>
    <border>
      <left/>
      <right/>
      <top style="thin">
        <color theme="0" tint="-4.9989318521683403E-2"/>
      </top>
      <bottom style="thin">
        <color theme="4"/>
      </bottom>
      <diagonal/>
    </border>
    <border>
      <left/>
      <right/>
      <top style="thin">
        <color rgb="FFB2B2B2"/>
      </top>
      <bottom/>
      <diagonal/>
    </border>
    <border>
      <left style="thin">
        <color theme="0" tint="-4.9989318521683403E-2"/>
      </left>
      <right/>
      <top/>
      <bottom/>
      <diagonal/>
    </border>
    <border>
      <left style="thin">
        <color theme="0"/>
      </left>
      <right/>
      <top/>
      <bottom/>
      <diagonal/>
    </border>
    <border>
      <left/>
      <right style="thin">
        <color theme="4"/>
      </right>
      <top style="thin">
        <color theme="4"/>
      </top>
      <bottom style="thin">
        <color theme="0" tint="-4.9989318521683403E-2"/>
      </bottom>
      <diagonal/>
    </border>
    <border>
      <left/>
      <right style="thin">
        <color theme="4"/>
      </right>
      <top style="thin">
        <color theme="0" tint="-4.9989318521683403E-2"/>
      </top>
      <bottom style="thin">
        <color theme="0" tint="-4.9989318521683403E-2"/>
      </bottom>
      <diagonal/>
    </border>
    <border>
      <left style="thin">
        <color theme="4"/>
      </left>
      <right style="thin">
        <color theme="4"/>
      </right>
      <top style="double">
        <color theme="4"/>
      </top>
      <bottom style="thin">
        <color theme="4"/>
      </bottom>
      <diagonal/>
    </border>
    <border>
      <left/>
      <right style="thin">
        <color theme="4"/>
      </right>
      <top style="thin">
        <color theme="0" tint="-4.9989318521683403E-2"/>
      </top>
      <bottom/>
      <diagonal/>
    </border>
    <border>
      <left style="thin">
        <color theme="4"/>
      </left>
      <right/>
      <top style="thin">
        <color theme="0"/>
      </top>
      <bottom/>
      <diagonal/>
    </border>
    <border>
      <left style="thin">
        <color theme="4"/>
      </left>
      <right/>
      <top style="double">
        <color theme="4"/>
      </top>
      <bottom style="thin">
        <color theme="4"/>
      </bottom>
      <diagonal/>
    </border>
    <border>
      <left/>
      <right/>
      <top style="double">
        <color theme="4"/>
      </top>
      <bottom style="thin">
        <color theme="4"/>
      </bottom>
      <diagonal/>
    </border>
    <border>
      <left/>
      <right style="thin">
        <color theme="4"/>
      </right>
      <top style="double">
        <color theme="4"/>
      </top>
      <bottom style="thin">
        <color theme="4"/>
      </bottom>
      <diagonal/>
    </border>
    <border>
      <left style="medium">
        <color theme="4"/>
      </left>
      <right style="thin">
        <color theme="4"/>
      </right>
      <top style="thin">
        <color theme="4"/>
      </top>
      <bottom/>
      <diagonal/>
    </border>
    <border>
      <left style="thin">
        <color theme="4"/>
      </left>
      <right style="medium">
        <color theme="4"/>
      </right>
      <top style="thin">
        <color theme="4"/>
      </top>
      <bottom/>
      <diagonal/>
    </border>
    <border>
      <left style="medium">
        <color theme="4"/>
      </left>
      <right style="thin">
        <color theme="4"/>
      </right>
      <top style="thin">
        <color theme="4"/>
      </top>
      <bottom style="thin">
        <color theme="0"/>
      </bottom>
      <diagonal/>
    </border>
    <border>
      <left style="thin">
        <color theme="4"/>
      </left>
      <right style="medium">
        <color theme="4"/>
      </right>
      <top style="thin">
        <color theme="4"/>
      </top>
      <bottom style="thin">
        <color theme="0"/>
      </bottom>
      <diagonal/>
    </border>
    <border>
      <left style="medium">
        <color theme="4"/>
      </left>
      <right style="thin">
        <color theme="4"/>
      </right>
      <top style="thin">
        <color theme="0"/>
      </top>
      <bottom style="thin">
        <color theme="0"/>
      </bottom>
      <diagonal/>
    </border>
    <border>
      <left style="thin">
        <color theme="4"/>
      </left>
      <right style="medium">
        <color theme="4"/>
      </right>
      <top style="thin">
        <color theme="0"/>
      </top>
      <bottom style="thin">
        <color theme="0"/>
      </bottom>
      <diagonal/>
    </border>
    <border>
      <left style="medium">
        <color theme="4"/>
      </left>
      <right style="thin">
        <color theme="4"/>
      </right>
      <top style="thin">
        <color theme="0"/>
      </top>
      <bottom/>
      <diagonal/>
    </border>
    <border>
      <left style="thin">
        <color theme="4"/>
      </left>
      <right style="thin">
        <color theme="4"/>
      </right>
      <top style="thin">
        <color theme="0"/>
      </top>
      <bottom/>
      <diagonal/>
    </border>
    <border>
      <left style="thin">
        <color theme="4"/>
      </left>
      <right style="medium">
        <color theme="4"/>
      </right>
      <top style="thin">
        <color theme="0"/>
      </top>
      <bottom/>
      <diagonal/>
    </border>
    <border>
      <left style="medium">
        <color theme="4"/>
      </left>
      <right style="thin">
        <color theme="4"/>
      </right>
      <top style="double">
        <color theme="4"/>
      </top>
      <bottom style="thin">
        <color theme="4"/>
      </bottom>
      <diagonal/>
    </border>
    <border>
      <left style="thin">
        <color theme="4"/>
      </left>
      <right style="medium">
        <color theme="4"/>
      </right>
      <top style="double">
        <color theme="4"/>
      </top>
      <bottom style="thin">
        <color theme="4"/>
      </bottom>
      <diagonal/>
    </border>
    <border>
      <left style="thin">
        <color rgb="FF003E52"/>
      </left>
      <right/>
      <top style="thin">
        <color rgb="FF003E52"/>
      </top>
      <bottom style="thin">
        <color rgb="FF003E52"/>
      </bottom>
      <diagonal/>
    </border>
    <border>
      <left/>
      <right/>
      <top style="thin">
        <color rgb="FF003E52"/>
      </top>
      <bottom style="thin">
        <color rgb="FF003E52"/>
      </bottom>
      <diagonal/>
    </border>
    <border>
      <left/>
      <right style="thin">
        <color rgb="FF003E52"/>
      </right>
      <top style="thin">
        <color rgb="FF003E52"/>
      </top>
      <bottom style="thin">
        <color rgb="FF003E52"/>
      </bottom>
      <diagonal/>
    </border>
    <border>
      <left/>
      <right style="medium">
        <color theme="4"/>
      </right>
      <top style="thin">
        <color theme="4"/>
      </top>
      <bottom/>
      <diagonal/>
    </border>
    <border>
      <left/>
      <right style="medium">
        <color theme="4"/>
      </right>
      <top/>
      <bottom/>
      <diagonal/>
    </border>
    <border>
      <left/>
      <right style="medium">
        <color theme="4"/>
      </right>
      <top/>
      <bottom style="thin">
        <color theme="4"/>
      </bottom>
      <diagonal/>
    </border>
    <border>
      <left/>
      <right/>
      <top style="thin">
        <color theme="4"/>
      </top>
      <bottom style="thin">
        <color theme="0" tint="-0.14996795556505021"/>
      </bottom>
      <diagonal/>
    </border>
    <border>
      <left/>
      <right/>
      <top style="thin">
        <color theme="0" tint="-0.14996795556505021"/>
      </top>
      <bottom/>
      <diagonal/>
    </border>
    <border>
      <left style="medium">
        <color theme="4"/>
      </left>
      <right/>
      <top style="thin">
        <color theme="4"/>
      </top>
      <bottom/>
      <diagonal/>
    </border>
    <border>
      <left style="medium">
        <color theme="4"/>
      </left>
      <right/>
      <top/>
      <bottom/>
      <diagonal/>
    </border>
    <border>
      <left style="medium">
        <color theme="4"/>
      </left>
      <right/>
      <top style="double">
        <color theme="4"/>
      </top>
      <bottom style="thin">
        <color theme="4"/>
      </bottom>
      <diagonal/>
    </border>
    <border>
      <left/>
      <right style="medium">
        <color theme="4"/>
      </right>
      <top style="double">
        <color theme="4"/>
      </top>
      <bottom style="thin">
        <color theme="4"/>
      </bottom>
      <diagonal/>
    </border>
    <border>
      <left style="medium">
        <color theme="4"/>
      </left>
      <right/>
      <top/>
      <bottom style="thin">
        <color theme="4"/>
      </bottom>
      <diagonal/>
    </border>
    <border>
      <left style="thin">
        <color theme="4"/>
      </left>
      <right style="thin">
        <color theme="4"/>
      </right>
      <top style="thin">
        <color theme="4"/>
      </top>
      <bottom style="thin">
        <color theme="0" tint="-4.9989318521683403E-2"/>
      </bottom>
      <diagonal/>
    </border>
    <border>
      <left style="thin">
        <color theme="4"/>
      </left>
      <right style="thin">
        <color theme="4"/>
      </right>
      <top style="thin">
        <color theme="0" tint="-4.9989318521683403E-2"/>
      </top>
      <bottom style="thin">
        <color theme="0" tint="-4.9989318521683403E-2"/>
      </bottom>
      <diagonal/>
    </border>
    <border>
      <left style="medium">
        <color theme="4"/>
      </left>
      <right style="thin">
        <color theme="4"/>
      </right>
      <top style="thin">
        <color theme="4"/>
      </top>
      <bottom style="thin">
        <color theme="0" tint="-4.9989318521683403E-2"/>
      </bottom>
      <diagonal/>
    </border>
    <border>
      <left style="medium">
        <color theme="4"/>
      </left>
      <right style="thin">
        <color theme="4"/>
      </right>
      <top style="thin">
        <color theme="0" tint="-4.9989318521683403E-2"/>
      </top>
      <bottom style="thin">
        <color theme="0" tint="-4.9989318521683403E-2"/>
      </bottom>
      <diagonal/>
    </border>
    <border>
      <left/>
      <right/>
      <top style="thin">
        <color rgb="FF003E52"/>
      </top>
      <bottom/>
      <diagonal/>
    </border>
    <border>
      <left style="thin">
        <color theme="4"/>
      </left>
      <right style="thin">
        <color theme="4"/>
      </right>
      <top style="thin">
        <color theme="0" tint="-4.9989318521683403E-2"/>
      </top>
      <bottom style="double">
        <color theme="4"/>
      </bottom>
      <diagonal/>
    </border>
    <border>
      <left style="thin">
        <color theme="4"/>
      </left>
      <right style="medium">
        <color theme="4"/>
      </right>
      <top style="thin">
        <color theme="0" tint="-4.9989318521683403E-2"/>
      </top>
      <bottom style="thin">
        <color theme="0" tint="-4.9989318521683403E-2"/>
      </bottom>
      <diagonal/>
    </border>
    <border>
      <left style="thin">
        <color theme="4"/>
      </left>
      <right/>
      <top style="thin">
        <color theme="0" tint="-4.9989318521683403E-2"/>
      </top>
      <bottom style="double">
        <color theme="4"/>
      </bottom>
      <diagonal/>
    </border>
    <border>
      <left/>
      <right/>
      <top style="thin">
        <color theme="0" tint="-4.9989318521683403E-2"/>
      </top>
      <bottom style="double">
        <color theme="4"/>
      </bottom>
      <diagonal/>
    </border>
    <border>
      <left style="medium">
        <color theme="4"/>
      </left>
      <right style="thin">
        <color theme="4"/>
      </right>
      <top style="thin">
        <color theme="0" tint="-4.9989318521683403E-2"/>
      </top>
      <bottom style="double">
        <color theme="4"/>
      </bottom>
      <diagonal/>
    </border>
    <border>
      <left style="thin">
        <color theme="4"/>
      </left>
      <right style="medium">
        <color theme="4"/>
      </right>
      <top style="thin">
        <color theme="0" tint="-4.9989318521683403E-2"/>
      </top>
      <bottom style="double">
        <color theme="4"/>
      </bottom>
      <diagonal/>
    </border>
    <border>
      <left/>
      <right style="thin">
        <color theme="4"/>
      </right>
      <top style="thin">
        <color theme="0" tint="-4.9989318521683403E-2"/>
      </top>
      <bottom style="double">
        <color theme="4"/>
      </bottom>
      <diagonal/>
    </border>
    <border>
      <left style="thin">
        <color theme="4"/>
      </left>
      <right style="medium">
        <color theme="4"/>
      </right>
      <top style="thin">
        <color theme="4"/>
      </top>
      <bottom style="thin">
        <color theme="0" tint="-4.9989318521683403E-2"/>
      </bottom>
      <diagonal/>
    </border>
    <border>
      <left/>
      <right/>
      <top/>
      <bottom style="double">
        <color theme="4"/>
      </bottom>
      <diagonal/>
    </border>
    <border>
      <left/>
      <right/>
      <top/>
      <bottom style="medium">
        <color theme="4"/>
      </bottom>
      <diagonal/>
    </border>
    <border>
      <left/>
      <right/>
      <top style="medium">
        <color theme="4"/>
      </top>
      <bottom/>
      <diagonal/>
    </border>
    <border>
      <left style="thin">
        <color theme="4"/>
      </left>
      <right/>
      <top style="thin">
        <color theme="4"/>
      </top>
      <bottom style="medium">
        <color theme="4"/>
      </bottom>
      <diagonal/>
    </border>
    <border>
      <left/>
      <right/>
      <top style="thin">
        <color theme="4"/>
      </top>
      <bottom style="medium">
        <color theme="4"/>
      </bottom>
      <diagonal/>
    </border>
    <border>
      <left/>
      <right style="thin">
        <color theme="4"/>
      </right>
      <top style="thin">
        <color theme="4"/>
      </top>
      <bottom style="medium">
        <color theme="4"/>
      </bottom>
      <diagonal/>
    </border>
    <border>
      <left style="thin">
        <color theme="4"/>
      </left>
      <right/>
      <top style="medium">
        <color theme="4"/>
      </top>
      <bottom style="thin">
        <color theme="4"/>
      </bottom>
      <diagonal/>
    </border>
    <border>
      <left/>
      <right/>
      <top style="medium">
        <color theme="4"/>
      </top>
      <bottom style="thin">
        <color theme="4"/>
      </bottom>
      <diagonal/>
    </border>
    <border>
      <left/>
      <right style="thin">
        <color theme="4"/>
      </right>
      <top style="medium">
        <color theme="4"/>
      </top>
      <bottom style="thin">
        <color theme="4"/>
      </bottom>
      <diagonal/>
    </border>
    <border>
      <left/>
      <right style="thin">
        <color theme="4"/>
      </right>
      <top/>
      <bottom style="double">
        <color theme="4"/>
      </bottom>
      <diagonal/>
    </border>
    <border>
      <left style="thin">
        <color theme="0" tint="-0.24994659260841701"/>
      </left>
      <right/>
      <top style="thin">
        <color theme="0" tint="-0.24994659260841701"/>
      </top>
      <bottom/>
      <diagonal/>
    </border>
    <border>
      <left/>
      <right/>
      <top style="thin">
        <color theme="0" tint="-0.24994659260841701"/>
      </top>
      <bottom/>
      <diagonal/>
    </border>
    <border>
      <left/>
      <right style="thin">
        <color theme="0" tint="-0.24994659260841701"/>
      </right>
      <top style="thin">
        <color theme="0" tint="-0.24994659260841701"/>
      </top>
      <bottom/>
      <diagonal/>
    </border>
    <border>
      <left style="thin">
        <color theme="0" tint="-0.24994659260841701"/>
      </left>
      <right/>
      <top/>
      <bottom/>
      <diagonal/>
    </border>
    <border>
      <left/>
      <right style="thin">
        <color theme="0" tint="-0.24994659260841701"/>
      </right>
      <top/>
      <bottom/>
      <diagonal/>
    </border>
    <border>
      <left style="thin">
        <color theme="0" tint="-0.24994659260841701"/>
      </left>
      <right/>
      <top/>
      <bottom style="thin">
        <color theme="0" tint="-0.24994659260841701"/>
      </bottom>
      <diagonal/>
    </border>
    <border>
      <left/>
      <right/>
      <top/>
      <bottom style="thin">
        <color theme="0" tint="-0.24994659260841701"/>
      </bottom>
      <diagonal/>
    </border>
    <border>
      <left/>
      <right style="thin">
        <color theme="0" tint="-0.24994659260841701"/>
      </right>
      <top/>
      <bottom style="thin">
        <color theme="0" tint="-0.24994659260841701"/>
      </bottom>
      <diagonal/>
    </border>
  </borders>
  <cellStyleXfs count="44">
    <xf numFmtId="0" fontId="0" fillId="0" borderId="0" applyNumberFormat="0" applyFill="0" applyBorder="0" applyAlignment="0" applyProtection="0"/>
    <xf numFmtId="0" fontId="44" fillId="29" borderId="0" applyNumberFormat="0" applyAlignment="0" applyProtection="0"/>
    <xf numFmtId="0" fontId="45" fillId="29" borderId="0" applyNumberFormat="0" applyAlignment="0" applyProtection="0"/>
    <xf numFmtId="0" fontId="31" fillId="29" borderId="0" applyNumberFormat="0" applyAlignment="0" applyProtection="0"/>
    <xf numFmtId="0" fontId="11" fillId="0" borderId="0" applyNumberFormat="0" applyFill="0" applyBorder="0" applyAlignment="0" applyProtection="0"/>
    <xf numFmtId="0" fontId="13" fillId="2" borderId="0" applyNumberFormat="0" applyBorder="0" applyAlignment="0" applyProtection="0"/>
    <xf numFmtId="0" fontId="12" fillId="3" borderId="0" applyNumberFormat="0" applyBorder="0" applyAlignment="0" applyProtection="0"/>
    <xf numFmtId="0" fontId="14" fillId="4" borderId="0" applyNumberFormat="0" applyBorder="0" applyAlignment="0" applyProtection="0"/>
    <xf numFmtId="0" fontId="2" fillId="5" borderId="1" applyNumberFormat="0" applyAlignment="0" applyProtection="0"/>
    <xf numFmtId="0" fontId="3" fillId="6" borderId="2" applyNumberFormat="0" applyAlignment="0" applyProtection="0"/>
    <xf numFmtId="0" fontId="4" fillId="6" borderId="1" applyNumberFormat="0" applyAlignment="0" applyProtection="0"/>
    <xf numFmtId="0" fontId="5" fillId="0" borderId="3" applyNumberFormat="0" applyFill="0" applyAlignment="0" applyProtection="0"/>
    <xf numFmtId="0" fontId="6" fillId="7" borderId="4" applyNumberFormat="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26" fillId="8" borderId="0" applyNumberFormat="0" applyBorder="0" applyAlignment="0" applyProtection="0"/>
    <xf numFmtId="0" fontId="30" fillId="9" borderId="0" applyNumberFormat="0" applyBorder="0" applyAlignment="0" applyProtection="0"/>
    <xf numFmtId="0" fontId="30" fillId="10" borderId="0" applyNumberFormat="0" applyBorder="0" applyAlignment="0" applyProtection="0"/>
    <xf numFmtId="0" fontId="30" fillId="11" borderId="0" applyNumberFormat="0" applyBorder="0" applyAlignment="0" applyProtection="0"/>
    <xf numFmtId="0" fontId="26" fillId="12" borderId="0" applyNumberFormat="0" applyBorder="0" applyAlignment="0" applyProtection="0"/>
    <xf numFmtId="0" fontId="30" fillId="13" borderId="0" applyNumberFormat="0" applyBorder="0" applyAlignment="0" applyProtection="0"/>
    <xf numFmtId="0" fontId="30" fillId="14" borderId="0" applyNumberFormat="0" applyBorder="0" applyAlignment="0" applyProtection="0"/>
    <xf numFmtId="0" fontId="30" fillId="15" borderId="0" applyNumberFormat="0" applyBorder="0" applyAlignment="0" applyProtection="0"/>
    <xf numFmtId="0" fontId="25" fillId="16" borderId="0" applyNumberFormat="0" applyBorder="0" applyAlignment="0" applyProtection="0"/>
    <xf numFmtId="0" fontId="30" fillId="17" borderId="0" applyNumberFormat="0" applyBorder="0" applyAlignment="0" applyProtection="0"/>
    <xf numFmtId="0" fontId="30" fillId="18" borderId="0" applyNumberFormat="0" applyBorder="0" applyAlignment="0" applyProtection="0"/>
    <xf numFmtId="0" fontId="30" fillId="19" borderId="0" applyNumberFormat="0" applyBorder="0" applyAlignment="0" applyProtection="0"/>
    <xf numFmtId="0" fontId="30" fillId="20" borderId="0" applyNumberFormat="0" applyBorder="0" applyAlignment="0" applyProtection="0"/>
    <xf numFmtId="0" fontId="30" fillId="21" borderId="0" applyNumberFormat="0" applyBorder="0" applyAlignment="0" applyProtection="0"/>
    <xf numFmtId="0" fontId="30" fillId="22" borderId="0" applyNumberFormat="0" applyBorder="0" applyAlignment="0" applyProtection="0"/>
    <xf numFmtId="0" fontId="30" fillId="23" borderId="0" applyNumberFormat="0" applyBorder="0" applyAlignment="0" applyProtection="0"/>
    <xf numFmtId="0" fontId="30" fillId="24" borderId="0" applyNumberFormat="0" applyBorder="0" applyAlignment="0" applyProtection="0"/>
    <xf numFmtId="0" fontId="30" fillId="25" borderId="0" applyNumberFormat="0" applyBorder="0" applyAlignment="0" applyProtection="0"/>
    <xf numFmtId="0" fontId="30" fillId="26" borderId="0" applyNumberFormat="0" applyBorder="0" applyAlignment="0" applyProtection="0"/>
    <xf numFmtId="0" fontId="30" fillId="27" borderId="0" applyNumberFormat="0" applyBorder="0" applyAlignment="0" applyProtection="0"/>
    <xf numFmtId="0" fontId="29" fillId="32" borderId="0" applyNumberFormat="0" applyBorder="0" applyAlignment="0" applyProtection="0"/>
    <xf numFmtId="0" fontId="30" fillId="28" borderId="0" applyNumberFormat="0" applyBorder="0" applyAlignment="0" applyProtection="0"/>
    <xf numFmtId="0" fontId="30" fillId="30" borderId="0" applyNumberFormat="0" applyBorder="0" applyAlignment="0" applyProtection="0"/>
    <xf numFmtId="0" fontId="30" fillId="31" borderId="0" applyNumberFormat="0" applyBorder="0" applyAlignment="0" applyProtection="0"/>
    <xf numFmtId="0" fontId="9" fillId="0" borderId="0" applyNumberFormat="0" applyFill="0" applyBorder="0" applyAlignment="0" applyProtection="0"/>
    <xf numFmtId="0" fontId="10" fillId="0" borderId="0" applyNumberFormat="0" applyFill="0" applyBorder="0" applyAlignment="0" applyProtection="0"/>
    <xf numFmtId="0" fontId="16" fillId="0" borderId="0" applyNumberFormat="0" applyFill="0" applyBorder="0" applyAlignment="0" applyProtection="0">
      <alignment horizontal="left" vertical="center" indent="1"/>
    </xf>
    <xf numFmtId="0" fontId="43" fillId="0" borderId="0" applyNumberFormat="0" applyFill="0" applyBorder="0" applyAlignment="0" applyProtection="0"/>
    <xf numFmtId="164" fontId="24" fillId="0" borderId="0">
      <alignment horizontal="center" vertical="center"/>
    </xf>
  </cellStyleXfs>
  <cellXfs count="650">
    <xf numFmtId="0" fontId="0" fillId="0" borderId="0" xfId="0"/>
    <xf numFmtId="0" fontId="18" fillId="0" borderId="0" xfId="0" applyFont="1"/>
    <xf numFmtId="0" fontId="18" fillId="0" borderId="0" xfId="0" applyFont="1" applyAlignment="1">
      <alignment horizontal="left" vertical="center"/>
    </xf>
    <xf numFmtId="0" fontId="18" fillId="29" borderId="0" xfId="0" applyFont="1" applyFill="1"/>
    <xf numFmtId="0" fontId="18" fillId="29" borderId="0" xfId="0" applyFont="1" applyFill="1" applyAlignment="1">
      <alignment horizontal="left" vertical="center"/>
    </xf>
    <xf numFmtId="0" fontId="24" fillId="29" borderId="0" xfId="0" applyFont="1" applyFill="1"/>
    <xf numFmtId="0" fontId="24" fillId="0" borderId="0" xfId="0" applyFont="1"/>
    <xf numFmtId="0" fontId="18" fillId="29" borderId="0" xfId="0" applyFont="1" applyFill="1" applyAlignment="1">
      <alignment vertical="top"/>
    </xf>
    <xf numFmtId="0" fontId="15" fillId="0" borderId="0" xfId="0" applyFont="1"/>
    <xf numFmtId="0" fontId="15" fillId="0" borderId="0" xfId="0" applyFont="1" applyAlignment="1">
      <alignment horizontal="center"/>
    </xf>
    <xf numFmtId="0" fontId="17" fillId="0" borderId="0" xfId="0" applyFont="1" applyAlignment="1">
      <alignment vertical="center"/>
    </xf>
    <xf numFmtId="0" fontId="17" fillId="0" borderId="0" xfId="0" applyFont="1" applyAlignment="1">
      <alignment horizontal="center" vertical="center"/>
    </xf>
    <xf numFmtId="0" fontId="17" fillId="29" borderId="0" xfId="0" applyFont="1" applyFill="1" applyAlignment="1">
      <alignment vertical="center"/>
    </xf>
    <xf numFmtId="0" fontId="15" fillId="0" borderId="0" xfId="0" applyFont="1" applyAlignment="1">
      <alignment vertical="center"/>
    </xf>
    <xf numFmtId="0" fontId="15" fillId="0" borderId="0" xfId="0" applyFont="1" applyAlignment="1">
      <alignment horizontal="center" vertical="center"/>
    </xf>
    <xf numFmtId="167" fontId="15" fillId="0" borderId="0" xfId="0" applyNumberFormat="1" applyFont="1" applyAlignment="1">
      <alignment horizontal="center" vertical="center"/>
    </xf>
    <xf numFmtId="0" fontId="15" fillId="29" borderId="0" xfId="0" applyFont="1" applyFill="1" applyAlignment="1">
      <alignment vertical="center"/>
    </xf>
    <xf numFmtId="0" fontId="15" fillId="38" borderId="16" xfId="0" applyFont="1" applyFill="1" applyBorder="1" applyAlignment="1">
      <alignment vertical="center"/>
    </xf>
    <xf numFmtId="0" fontId="15" fillId="29" borderId="16" xfId="0" applyFont="1" applyFill="1" applyBorder="1" applyAlignment="1">
      <alignment vertical="center"/>
    </xf>
    <xf numFmtId="0" fontId="15" fillId="29" borderId="11" xfId="0" applyFont="1" applyFill="1" applyBorder="1" applyAlignment="1">
      <alignment vertical="center"/>
    </xf>
    <xf numFmtId="0" fontId="15" fillId="29" borderId="0" xfId="0" applyFont="1" applyFill="1" applyAlignment="1">
      <alignment horizontal="center" vertical="center"/>
    </xf>
    <xf numFmtId="0" fontId="17" fillId="0" borderId="0" xfId="0" applyFont="1" applyAlignment="1">
      <alignment horizontal="left" vertical="center" indent="1"/>
    </xf>
    <xf numFmtId="0" fontId="15" fillId="0" borderId="0" xfId="0" applyFont="1" applyAlignment="1">
      <alignment horizontal="left" vertical="center" indent="1"/>
    </xf>
    <xf numFmtId="0" fontId="15" fillId="29" borderId="0" xfId="0" applyFont="1" applyFill="1" applyAlignment="1">
      <alignment horizontal="left" vertical="center" indent="1"/>
    </xf>
    <xf numFmtId="0" fontId="15" fillId="0" borderId="0" xfId="0" applyFont="1" applyAlignment="1">
      <alignment horizontal="left" indent="1"/>
    </xf>
    <xf numFmtId="0" fontId="17" fillId="29" borderId="0" xfId="0" applyFont="1" applyFill="1" applyAlignment="1">
      <alignment horizontal="left" vertical="center" indent="1"/>
    </xf>
    <xf numFmtId="0" fontId="15" fillId="38" borderId="15" xfId="0" applyFont="1" applyFill="1" applyBorder="1" applyAlignment="1">
      <alignment horizontal="left" vertical="center" indent="1"/>
    </xf>
    <xf numFmtId="0" fontId="15" fillId="29" borderId="15" xfId="0" applyFont="1" applyFill="1" applyBorder="1" applyAlignment="1">
      <alignment horizontal="left" vertical="center" indent="1"/>
    </xf>
    <xf numFmtId="0" fontId="15" fillId="29" borderId="9" xfId="0" applyFont="1" applyFill="1" applyBorder="1" applyAlignment="1">
      <alignment horizontal="left" vertical="center" indent="1"/>
    </xf>
    <xf numFmtId="0" fontId="15" fillId="38" borderId="0" xfId="0" applyFont="1" applyFill="1" applyAlignment="1">
      <alignment horizontal="left" vertical="center" indent="1"/>
    </xf>
    <xf numFmtId="0" fontId="15" fillId="29" borderId="10" xfId="0" applyFont="1" applyFill="1" applyBorder="1" applyAlignment="1">
      <alignment horizontal="left" vertical="center" indent="1"/>
    </xf>
    <xf numFmtId="0" fontId="15" fillId="38" borderId="16" xfId="0" applyFont="1" applyFill="1" applyBorder="1" applyAlignment="1">
      <alignment horizontal="left" vertical="center" indent="1"/>
    </xf>
    <xf numFmtId="0" fontId="15" fillId="29" borderId="16" xfId="0" applyFont="1" applyFill="1" applyBorder="1" applyAlignment="1">
      <alignment horizontal="left" vertical="center" indent="1"/>
    </xf>
    <xf numFmtId="0" fontId="15" fillId="29" borderId="11" xfId="0" applyFont="1" applyFill="1" applyBorder="1" applyAlignment="1">
      <alignment horizontal="left" vertical="center" indent="1"/>
    </xf>
    <xf numFmtId="0" fontId="24" fillId="0" borderId="0" xfId="0" applyFont="1" applyAlignment="1">
      <alignment horizontal="left" vertical="center" indent="1"/>
    </xf>
    <xf numFmtId="0" fontId="24" fillId="0" borderId="0" xfId="0" applyFont="1" applyAlignment="1">
      <alignment horizontal="center" vertical="center"/>
    </xf>
    <xf numFmtId="0" fontId="24" fillId="0" borderId="0" xfId="0" applyFont="1" applyAlignment="1">
      <alignment horizontal="left" vertical="center"/>
    </xf>
    <xf numFmtId="0" fontId="36" fillId="12" borderId="6" xfId="19" applyFont="1" applyBorder="1" applyAlignment="1" applyProtection="1"/>
    <xf numFmtId="0" fontId="36" fillId="12" borderId="7" xfId="19" applyFont="1" applyBorder="1" applyAlignment="1" applyProtection="1"/>
    <xf numFmtId="0" fontId="36" fillId="12" borderId="73" xfId="19" applyFont="1" applyBorder="1" applyAlignment="1" applyProtection="1">
      <alignment wrapText="1"/>
    </xf>
    <xf numFmtId="0" fontId="36" fillId="12" borderId="7" xfId="19" applyFont="1" applyBorder="1" applyAlignment="1" applyProtection="1">
      <alignment wrapText="1"/>
    </xf>
    <xf numFmtId="0" fontId="36" fillId="12" borderId="68" xfId="19" applyFont="1" applyBorder="1" applyAlignment="1" applyProtection="1">
      <alignment wrapText="1"/>
    </xf>
    <xf numFmtId="0" fontId="36" fillId="12" borderId="8" xfId="19" applyFont="1" applyBorder="1" applyAlignment="1" applyProtection="1">
      <alignment wrapText="1"/>
    </xf>
    <xf numFmtId="0" fontId="24" fillId="29" borderId="0" xfId="0" applyFont="1" applyFill="1" applyAlignment="1">
      <alignment vertical="center"/>
    </xf>
    <xf numFmtId="0" fontId="18" fillId="0" borderId="0" xfId="0" applyFont="1" applyAlignment="1">
      <alignment vertical="center"/>
    </xf>
    <xf numFmtId="0" fontId="36" fillId="12" borderId="68" xfId="19" applyFont="1" applyBorder="1" applyAlignment="1" applyProtection="1"/>
    <xf numFmtId="0" fontId="18" fillId="29" borderId="0" xfId="0" applyFont="1" applyFill="1" applyAlignment="1">
      <alignment vertical="center"/>
    </xf>
    <xf numFmtId="0" fontId="24" fillId="0" borderId="0" xfId="0" applyFont="1" applyAlignment="1">
      <alignment vertical="center"/>
    </xf>
    <xf numFmtId="0" fontId="25" fillId="0" borderId="0" xfId="0" applyFont="1" applyAlignment="1">
      <alignment horizontal="center" vertical="center"/>
    </xf>
    <xf numFmtId="0" fontId="0" fillId="29" borderId="0" xfId="0" applyFill="1"/>
    <xf numFmtId="0" fontId="25" fillId="0" borderId="92" xfId="0" applyFont="1" applyBorder="1" applyAlignment="1" applyProtection="1">
      <alignment horizontal="left" indent="1"/>
      <protection hidden="1"/>
    </xf>
    <xf numFmtId="1" fontId="25" fillId="0" borderId="92" xfId="0" applyNumberFormat="1" applyFont="1" applyBorder="1" applyAlignment="1" applyProtection="1">
      <alignment horizontal="center"/>
      <protection hidden="1"/>
    </xf>
    <xf numFmtId="0" fontId="25" fillId="0" borderId="92" xfId="0" applyFont="1" applyBorder="1" applyAlignment="1" applyProtection="1">
      <alignment horizontal="center"/>
      <protection hidden="1"/>
    </xf>
    <xf numFmtId="0" fontId="25" fillId="0" borderId="92" xfId="0" applyFont="1" applyBorder="1" applyAlignment="1" applyProtection="1">
      <alignment horizontal="center" wrapText="1"/>
      <protection hidden="1"/>
    </xf>
    <xf numFmtId="0" fontId="19" fillId="34" borderId="0" xfId="0" applyFont="1" applyFill="1" applyAlignment="1" applyProtection="1">
      <alignment horizontal="left" vertical="center" indent="1"/>
      <protection hidden="1"/>
    </xf>
    <xf numFmtId="3" fontId="19" fillId="34" borderId="0" xfId="0" applyNumberFormat="1" applyFont="1" applyFill="1" applyAlignment="1" applyProtection="1">
      <alignment horizontal="right" vertical="center" indent="1"/>
      <protection hidden="1"/>
    </xf>
    <xf numFmtId="4" fontId="19" fillId="34" borderId="0" xfId="0" applyNumberFormat="1" applyFont="1" applyFill="1" applyAlignment="1" applyProtection="1">
      <alignment horizontal="right" vertical="center" indent="2"/>
      <protection hidden="1"/>
    </xf>
    <xf numFmtId="0" fontId="24" fillId="29" borderId="0" xfId="0" applyFont="1" applyFill="1" applyAlignment="1" applyProtection="1">
      <alignment horizontal="left" vertical="center" indent="1"/>
      <protection hidden="1"/>
    </xf>
    <xf numFmtId="3" fontId="24" fillId="29" borderId="0" xfId="0" applyNumberFormat="1" applyFont="1" applyFill="1" applyAlignment="1">
      <alignment horizontal="right" vertical="center" indent="1"/>
    </xf>
    <xf numFmtId="4" fontId="24" fillId="29" borderId="0" xfId="0" applyNumberFormat="1" applyFont="1" applyFill="1" applyAlignment="1">
      <alignment horizontal="right" vertical="center" indent="2"/>
    </xf>
    <xf numFmtId="4" fontId="19" fillId="34" borderId="0" xfId="0" applyNumberFormat="1" applyFont="1" applyFill="1" applyAlignment="1">
      <alignment horizontal="right" vertical="center" indent="2"/>
    </xf>
    <xf numFmtId="38" fontId="25" fillId="0" borderId="93" xfId="0" applyNumberFormat="1" applyFont="1" applyBorder="1" applyAlignment="1" applyProtection="1">
      <alignment horizontal="right" vertical="center"/>
      <protection hidden="1"/>
    </xf>
    <xf numFmtId="3" fontId="25" fillId="0" borderId="93" xfId="0" applyNumberFormat="1" applyFont="1" applyBorder="1" applyAlignment="1">
      <alignment horizontal="right" vertical="center" indent="1"/>
    </xf>
    <xf numFmtId="0" fontId="39" fillId="29" borderId="0" xfId="0" applyFont="1" applyFill="1" applyAlignment="1" applyProtection="1">
      <alignment horizontal="left" vertical="center"/>
      <protection hidden="1"/>
    </xf>
    <xf numFmtId="0" fontId="24" fillId="0" borderId="94" xfId="0" applyFont="1" applyBorder="1" applyAlignment="1" applyProtection="1">
      <alignment horizontal="left" indent="1"/>
      <protection hidden="1"/>
    </xf>
    <xf numFmtId="0" fontId="24" fillId="0" borderId="95" xfId="0" applyFont="1" applyBorder="1" applyAlignment="1" applyProtection="1">
      <alignment horizontal="center"/>
      <protection hidden="1"/>
    </xf>
    <xf numFmtId="0" fontId="24" fillId="0" borderId="95" xfId="0" applyFont="1" applyBorder="1" applyAlignment="1" applyProtection="1">
      <alignment horizontal="center" wrapText="1"/>
      <protection hidden="1"/>
    </xf>
    <xf numFmtId="0" fontId="24" fillId="0" borderId="96" xfId="0" applyFont="1" applyBorder="1" applyAlignment="1" applyProtection="1">
      <alignment horizontal="center" wrapText="1"/>
      <protection hidden="1"/>
    </xf>
    <xf numFmtId="3" fontId="0" fillId="0" borderId="0" xfId="0" applyNumberFormat="1"/>
    <xf numFmtId="0" fontId="24" fillId="0" borderId="15" xfId="0" applyFont="1" applyBorder="1" applyAlignment="1" applyProtection="1">
      <alignment horizontal="left" vertical="center" indent="1"/>
      <protection hidden="1"/>
    </xf>
    <xf numFmtId="164" fontId="24" fillId="0" borderId="0" xfId="43" applyProtection="1">
      <alignment horizontal="center" vertical="center"/>
      <protection hidden="1"/>
    </xf>
    <xf numFmtId="3" fontId="0" fillId="0" borderId="0" xfId="0" applyNumberFormat="1" applyAlignment="1">
      <alignment horizontal="right" vertical="center" indent="1"/>
    </xf>
    <xf numFmtId="4" fontId="0" fillId="0" borderId="16" xfId="0" applyNumberFormat="1" applyBorder="1" applyAlignment="1">
      <alignment horizontal="right" vertical="center" indent="1"/>
    </xf>
    <xf numFmtId="169" fontId="24" fillId="0" borderId="15" xfId="0" applyNumberFormat="1" applyFont="1" applyBorder="1" applyAlignment="1" applyProtection="1">
      <alignment horizontal="left" vertical="center" indent="1"/>
      <protection hidden="1"/>
    </xf>
    <xf numFmtId="38" fontId="25" fillId="0" borderId="97" xfId="0" applyNumberFormat="1" applyFont="1" applyBorder="1" applyAlignment="1" applyProtection="1">
      <alignment horizontal="left" vertical="center"/>
      <protection hidden="1"/>
    </xf>
    <xf numFmtId="0" fontId="25" fillId="0" borderId="98" xfId="0" applyFont="1" applyBorder="1" applyProtection="1">
      <protection hidden="1"/>
    </xf>
    <xf numFmtId="3" fontId="25" fillId="0" borderId="98" xfId="0" applyNumberFormat="1" applyFont="1" applyBorder="1" applyAlignment="1">
      <alignment horizontal="right" vertical="center" indent="1"/>
    </xf>
    <xf numFmtId="4" fontId="25" fillId="0" borderId="98" xfId="0" applyNumberFormat="1" applyFont="1" applyBorder="1" applyAlignment="1">
      <alignment horizontal="right" vertical="center" indent="1"/>
    </xf>
    <xf numFmtId="3" fontId="25" fillId="0" borderId="99" xfId="0" applyNumberFormat="1" applyFont="1" applyBorder="1" applyAlignment="1">
      <alignment horizontal="right" vertical="center" indent="1"/>
    </xf>
    <xf numFmtId="0" fontId="25" fillId="0" borderId="94" xfId="0" applyFont="1" applyBorder="1" applyAlignment="1">
      <alignment horizontal="left" indent="1"/>
    </xf>
    <xf numFmtId="0" fontId="25" fillId="0" borderId="95" xfId="0" applyFont="1" applyBorder="1" applyAlignment="1">
      <alignment horizontal="center"/>
    </xf>
    <xf numFmtId="0" fontId="25" fillId="0" borderId="95" xfId="0" applyFont="1" applyBorder="1" applyAlignment="1">
      <alignment horizontal="center" wrapText="1"/>
    </xf>
    <xf numFmtId="0" fontId="25" fillId="0" borderId="96" xfId="0" applyFont="1" applyBorder="1" applyAlignment="1">
      <alignment horizontal="center" wrapText="1"/>
    </xf>
    <xf numFmtId="0" fontId="24" fillId="0" borderId="15" xfId="0" applyFont="1" applyBorder="1" applyAlignment="1">
      <alignment horizontal="left" vertical="center" indent="1"/>
    </xf>
    <xf numFmtId="164" fontId="24" fillId="0" borderId="0" xfId="43">
      <alignment horizontal="center" vertical="center"/>
    </xf>
    <xf numFmtId="3" fontId="0" fillId="0" borderId="16" xfId="0" applyNumberFormat="1" applyBorder="1" applyAlignment="1">
      <alignment horizontal="right" vertical="center" indent="1"/>
    </xf>
    <xf numFmtId="168" fontId="24" fillId="0" borderId="15" xfId="0" applyNumberFormat="1" applyFont="1" applyBorder="1" applyAlignment="1">
      <alignment horizontal="left" vertical="center" indent="1"/>
    </xf>
    <xf numFmtId="0" fontId="24" fillId="0" borderId="97" xfId="0" applyFont="1" applyBorder="1" applyAlignment="1">
      <alignment horizontal="left" vertical="center"/>
    </xf>
    <xf numFmtId="164" fontId="24" fillId="0" borderId="98" xfId="0" applyNumberFormat="1" applyFont="1" applyBorder="1"/>
    <xf numFmtId="0" fontId="25" fillId="0" borderId="0" xfId="0" applyFont="1" applyAlignment="1">
      <alignment horizontal="left" vertical="center" indent="1"/>
    </xf>
    <xf numFmtId="167" fontId="24" fillId="0" borderId="0" xfId="0" quotePrefix="1" applyNumberFormat="1" applyFont="1" applyAlignment="1">
      <alignment horizontal="center" vertical="center"/>
    </xf>
    <xf numFmtId="0" fontId="24" fillId="0" borderId="0" xfId="0" quotePrefix="1" applyFont="1" applyAlignment="1">
      <alignment horizontal="center" vertical="center"/>
    </xf>
    <xf numFmtId="3" fontId="24" fillId="0" borderId="0" xfId="0" applyNumberFormat="1" applyFont="1" applyAlignment="1">
      <alignment horizontal="right" vertical="center" indent="1"/>
    </xf>
    <xf numFmtId="165" fontId="24" fillId="0" borderId="0" xfId="0" applyNumberFormat="1" applyFont="1" applyAlignment="1">
      <alignment horizontal="center" vertical="center"/>
    </xf>
    <xf numFmtId="167" fontId="24" fillId="0" borderId="0" xfId="0" applyNumberFormat="1" applyFont="1" applyAlignment="1">
      <alignment horizontal="center" vertical="center"/>
    </xf>
    <xf numFmtId="3" fontId="32" fillId="0" borderId="0" xfId="0" applyNumberFormat="1" applyFont="1" applyAlignment="1">
      <alignment horizontal="right" vertical="center" indent="1"/>
    </xf>
    <xf numFmtId="164" fontId="24" fillId="0" borderId="0" xfId="0" applyNumberFormat="1" applyFont="1" applyAlignment="1">
      <alignment horizontal="center" vertical="center"/>
    </xf>
    <xf numFmtId="0" fontId="39" fillId="29" borderId="0" xfId="0" applyFont="1" applyFill="1" applyAlignment="1" applyProtection="1"/>
    <xf numFmtId="0" fontId="39" fillId="0" borderId="0" xfId="0" applyFont="1" applyAlignment="1" applyProtection="1"/>
    <xf numFmtId="0" fontId="39" fillId="29" borderId="0" xfId="0" applyFont="1" applyFill="1" applyAlignment="1" applyProtection="1">
      <alignment horizontal="left" vertical="center" indent="1"/>
    </xf>
    <xf numFmtId="0" fontId="39" fillId="0" borderId="0" xfId="0" applyFont="1" applyAlignment="1" applyProtection="1">
      <alignment horizontal="left" vertical="center" indent="1"/>
    </xf>
    <xf numFmtId="0" fontId="24" fillId="29" borderId="0" xfId="0" applyFont="1" applyFill="1" applyAlignment="1" applyProtection="1">
      <alignment horizontal="left" vertical="top" wrapText="1"/>
    </xf>
    <xf numFmtId="0" fontId="39" fillId="29" borderId="0" xfId="0" applyFont="1" applyFill="1" applyBorder="1" applyAlignment="1" applyProtection="1"/>
    <xf numFmtId="0" fontId="49" fillId="29" borderId="0" xfId="0" applyFont="1" applyFill="1" applyAlignment="1" applyProtection="1">
      <alignment vertical="top" wrapText="1"/>
    </xf>
    <xf numFmtId="0" fontId="39" fillId="29" borderId="0" xfId="0" applyFont="1" applyFill="1" applyAlignment="1" applyProtection="1">
      <alignment horizontal="justify" vertical="top"/>
    </xf>
    <xf numFmtId="0" fontId="39" fillId="0" borderId="0" xfId="0" applyFont="1" applyAlignment="1" applyProtection="1">
      <alignment horizontal="justify" vertical="top"/>
    </xf>
    <xf numFmtId="0" fontId="24" fillId="29" borderId="0" xfId="0" applyFont="1" applyFill="1" applyAlignment="1" applyProtection="1">
      <alignment horizontal="left" vertical="center"/>
      <protection hidden="1"/>
    </xf>
    <xf numFmtId="0" fontId="49" fillId="29" borderId="0" xfId="0" applyFont="1" applyFill="1" applyBorder="1" applyAlignment="1" applyProtection="1">
      <alignment vertical="center" wrapText="1"/>
    </xf>
    <xf numFmtId="0" fontId="53" fillId="29" borderId="0" xfId="0" applyFont="1" applyFill="1" applyBorder="1" applyAlignment="1" applyProtection="1">
      <alignment vertical="center" wrapText="1"/>
    </xf>
    <xf numFmtId="0" fontId="24" fillId="29" borderId="0" xfId="0" applyFont="1" applyFill="1" applyBorder="1" applyAlignment="1" applyProtection="1">
      <alignment vertical="top" wrapText="1"/>
    </xf>
    <xf numFmtId="0" fontId="24" fillId="0" borderId="0" xfId="0" applyFont="1" applyAlignment="1" applyProtection="1">
      <alignment horizontal="left" vertical="center"/>
      <protection hidden="1"/>
    </xf>
    <xf numFmtId="0" fontId="19" fillId="12" borderId="73" xfId="19" applyFont="1" applyBorder="1" applyAlignment="1" applyProtection="1">
      <alignment wrapText="1"/>
    </xf>
    <xf numFmtId="0" fontId="19" fillId="12" borderId="7" xfId="19" applyFont="1" applyBorder="1" applyAlignment="1" applyProtection="1">
      <alignment wrapText="1"/>
    </xf>
    <xf numFmtId="0" fontId="19" fillId="12" borderId="68" xfId="19" applyFont="1" applyBorder="1" applyAlignment="1" applyProtection="1">
      <alignment wrapText="1"/>
    </xf>
    <xf numFmtId="0" fontId="19" fillId="12" borderId="8" xfId="19" applyFont="1" applyBorder="1" applyAlignment="1" applyProtection="1">
      <alignment wrapText="1"/>
    </xf>
    <xf numFmtId="0" fontId="15" fillId="38" borderId="0" xfId="0" applyFont="1" applyFill="1" applyBorder="1" applyAlignment="1">
      <alignment horizontal="left" vertical="center" indent="1"/>
    </xf>
    <xf numFmtId="0" fontId="15" fillId="29" borderId="0" xfId="0" applyFont="1" applyFill="1" applyBorder="1" applyAlignment="1">
      <alignment horizontal="left" vertical="center" indent="1"/>
    </xf>
    <xf numFmtId="0" fontId="15" fillId="38" borderId="9" xfId="0" applyFont="1" applyFill="1" applyBorder="1" applyAlignment="1">
      <alignment horizontal="left" vertical="center" indent="1"/>
    </xf>
    <xf numFmtId="0" fontId="15" fillId="38" borderId="10" xfId="0" applyFont="1" applyFill="1" applyBorder="1" applyAlignment="1">
      <alignment horizontal="left" vertical="center" indent="1"/>
    </xf>
    <xf numFmtId="0" fontId="15" fillId="38" borderId="11" xfId="0" applyFont="1" applyFill="1" applyBorder="1" applyAlignment="1">
      <alignment vertical="center"/>
    </xf>
    <xf numFmtId="0" fontId="24" fillId="38" borderId="15" xfId="0" applyFont="1" applyFill="1" applyBorder="1" applyAlignment="1">
      <alignment horizontal="left" vertical="center" indent="1"/>
    </xf>
    <xf numFmtId="3" fontId="24" fillId="38" borderId="0" xfId="0" applyNumberFormat="1" applyFont="1" applyFill="1" applyAlignment="1">
      <alignment horizontal="right" vertical="center" indent="1"/>
    </xf>
    <xf numFmtId="0" fontId="24" fillId="29" borderId="0" xfId="0" applyFont="1" applyFill="1" applyAlignment="1">
      <alignment horizontal="left" vertical="center" indent="1"/>
    </xf>
    <xf numFmtId="0" fontId="24" fillId="38" borderId="0" xfId="0" applyFont="1" applyFill="1" applyAlignment="1" applyProtection="1">
      <alignment horizontal="left" vertical="center" indent="1"/>
      <protection hidden="1"/>
    </xf>
    <xf numFmtId="4" fontId="24" fillId="38" borderId="0" xfId="0" applyNumberFormat="1" applyFont="1" applyFill="1" applyAlignment="1">
      <alignment horizontal="right" vertical="center" indent="2"/>
    </xf>
    <xf numFmtId="164" fontId="19" fillId="34" borderId="0" xfId="0" applyNumberFormat="1" applyFont="1" applyFill="1" applyAlignment="1" applyProtection="1">
      <alignment horizontal="center" vertical="center"/>
      <protection hidden="1"/>
    </xf>
    <xf numFmtId="164" fontId="24" fillId="29" borderId="0" xfId="0" applyNumberFormat="1" applyFont="1" applyFill="1" applyAlignment="1" applyProtection="1">
      <alignment horizontal="center" vertical="center"/>
      <protection hidden="1"/>
    </xf>
    <xf numFmtId="164" fontId="24" fillId="38" borderId="0" xfId="0" applyNumberFormat="1" applyFont="1" applyFill="1" applyAlignment="1" applyProtection="1">
      <alignment horizontal="center" vertical="center"/>
      <protection hidden="1"/>
    </xf>
    <xf numFmtId="0" fontId="24" fillId="38" borderId="15" xfId="0" applyFont="1" applyFill="1" applyBorder="1" applyAlignment="1" applyProtection="1">
      <alignment horizontal="left" vertical="center" indent="1"/>
      <protection hidden="1"/>
    </xf>
    <xf numFmtId="164" fontId="24" fillId="38" borderId="0" xfId="43" applyFill="1" applyProtection="1">
      <alignment horizontal="center" vertical="center"/>
      <protection hidden="1"/>
    </xf>
    <xf numFmtId="3" fontId="0" fillId="38" borderId="0" xfId="0" applyNumberFormat="1" applyFill="1" applyAlignment="1">
      <alignment horizontal="right" vertical="center" indent="1"/>
    </xf>
    <xf numFmtId="4" fontId="0" fillId="38" borderId="16" xfId="0" applyNumberFormat="1" applyFill="1" applyBorder="1" applyAlignment="1">
      <alignment horizontal="right" vertical="center" indent="1"/>
    </xf>
    <xf numFmtId="164" fontId="24" fillId="38" borderId="0" xfId="43" applyFill="1">
      <alignment horizontal="center" vertical="center"/>
    </xf>
    <xf numFmtId="3" fontId="0" fillId="38" borderId="16" xfId="0" applyNumberFormat="1" applyFill="1" applyBorder="1" applyAlignment="1">
      <alignment horizontal="right" vertical="center" indent="1"/>
    </xf>
    <xf numFmtId="0" fontId="33" fillId="29" borderId="16" xfId="0" applyFont="1" applyFill="1" applyBorder="1" applyAlignment="1" applyProtection="1">
      <alignment vertical="center" wrapText="1"/>
    </xf>
    <xf numFmtId="0" fontId="33" fillId="29" borderId="11" xfId="0" applyFont="1" applyFill="1" applyBorder="1" applyAlignment="1" applyProtection="1">
      <alignment vertical="center" wrapText="1"/>
    </xf>
    <xf numFmtId="0" fontId="24" fillId="37" borderId="16" xfId="0" applyFont="1" applyFill="1" applyBorder="1" applyAlignment="1" applyProtection="1">
      <alignment vertical="center" wrapText="1"/>
    </xf>
    <xf numFmtId="0" fontId="24" fillId="37" borderId="11" xfId="0" applyFont="1" applyFill="1" applyBorder="1" applyAlignment="1" applyProtection="1">
      <alignment vertical="center" wrapText="1"/>
    </xf>
    <xf numFmtId="0" fontId="24" fillId="29" borderId="7" xfId="0" applyFont="1" applyFill="1" applyBorder="1" applyAlignment="1" applyProtection="1">
      <alignment vertical="center" wrapText="1"/>
    </xf>
    <xf numFmtId="0" fontId="24" fillId="29" borderId="8" xfId="0" applyFont="1" applyFill="1" applyBorder="1" applyAlignment="1" applyProtection="1">
      <alignment vertical="center" wrapText="1"/>
    </xf>
    <xf numFmtId="0" fontId="24" fillId="29" borderId="16" xfId="0" applyFont="1" applyFill="1" applyBorder="1" applyAlignment="1" applyProtection="1">
      <alignment vertical="center" wrapText="1"/>
    </xf>
    <xf numFmtId="0" fontId="24" fillId="29" borderId="11" xfId="0" applyFont="1" applyFill="1" applyBorder="1" applyAlignment="1" applyProtection="1">
      <alignment vertical="center" wrapText="1"/>
    </xf>
    <xf numFmtId="0" fontId="24" fillId="29" borderId="0" xfId="0" applyFont="1" applyFill="1" applyProtection="1"/>
    <xf numFmtId="0" fontId="24" fillId="0" borderId="0" xfId="0" applyFont="1" applyProtection="1"/>
    <xf numFmtId="0" fontId="25" fillId="37" borderId="16" xfId="0" applyFont="1" applyFill="1" applyBorder="1" applyProtection="1"/>
    <xf numFmtId="0" fontId="25" fillId="37" borderId="11" xfId="0" applyFont="1" applyFill="1" applyBorder="1" applyProtection="1"/>
    <xf numFmtId="0" fontId="25" fillId="29" borderId="33" xfId="0" applyFont="1" applyFill="1" applyBorder="1" applyAlignment="1" applyProtection="1">
      <alignment vertical="center"/>
    </xf>
    <xf numFmtId="0" fontId="25" fillId="29" borderId="35" xfId="0" applyFont="1" applyFill="1" applyBorder="1" applyAlignment="1" applyProtection="1">
      <alignment vertical="center"/>
    </xf>
    <xf numFmtId="0" fontId="25" fillId="29" borderId="29" xfId="0" applyFont="1" applyFill="1" applyBorder="1" applyAlignment="1" applyProtection="1">
      <alignment vertical="center"/>
    </xf>
    <xf numFmtId="0" fontId="25" fillId="29" borderId="23" xfId="0" applyFont="1" applyFill="1" applyBorder="1" applyAlignment="1" applyProtection="1">
      <alignment horizontal="left" vertical="center" indent="1"/>
      <protection hidden="1"/>
    </xf>
    <xf numFmtId="0" fontId="25" fillId="29" borderId="24" xfId="0" applyFont="1" applyFill="1" applyBorder="1" applyAlignment="1" applyProtection="1">
      <alignment vertical="center"/>
      <protection hidden="1"/>
    </xf>
    <xf numFmtId="0" fontId="25" fillId="29" borderId="34" xfId="0" applyFont="1" applyFill="1" applyBorder="1" applyAlignment="1" applyProtection="1">
      <alignment horizontal="left" vertical="center" indent="1"/>
      <protection hidden="1"/>
    </xf>
    <xf numFmtId="0" fontId="25" fillId="29" borderId="35" xfId="0" applyFont="1" applyFill="1" applyBorder="1" applyAlignment="1" applyProtection="1">
      <alignment vertical="center"/>
      <protection hidden="1"/>
    </xf>
    <xf numFmtId="0" fontId="25" fillId="29" borderId="41" xfId="0" applyFont="1" applyFill="1" applyBorder="1" applyAlignment="1" applyProtection="1">
      <alignment horizontal="left" vertical="center" indent="1"/>
      <protection hidden="1"/>
    </xf>
    <xf numFmtId="0" fontId="25" fillId="29" borderId="42" xfId="0" applyFont="1" applyFill="1" applyBorder="1" applyAlignment="1" applyProtection="1">
      <alignment vertical="center"/>
      <protection hidden="1"/>
    </xf>
    <xf numFmtId="0" fontId="18" fillId="29" borderId="0" xfId="0" applyFont="1" applyFill="1" applyProtection="1"/>
    <xf numFmtId="0" fontId="18" fillId="0" borderId="0" xfId="0" applyFont="1" applyProtection="1"/>
    <xf numFmtId="0" fontId="24" fillId="40" borderId="35" xfId="0" applyFont="1" applyFill="1" applyBorder="1" applyAlignment="1" applyProtection="1">
      <alignment vertical="center"/>
    </xf>
    <xf numFmtId="0" fontId="25" fillId="29" borderId="86" xfId="0" applyFont="1" applyFill="1" applyBorder="1" applyAlignment="1" applyProtection="1">
      <alignment vertical="center"/>
    </xf>
    <xf numFmtId="0" fontId="39" fillId="29" borderId="0" xfId="0" applyFont="1" applyFill="1" applyProtection="1"/>
    <xf numFmtId="0" fontId="39" fillId="29" borderId="0" xfId="0" applyFont="1" applyFill="1" applyAlignment="1" applyProtection="1">
      <alignment horizontal="center"/>
    </xf>
    <xf numFmtId="0" fontId="24" fillId="29" borderId="0" xfId="0" applyFont="1" applyFill="1" applyAlignment="1" applyProtection="1">
      <alignment vertical="center"/>
    </xf>
    <xf numFmtId="0" fontId="18" fillId="29" borderId="0" xfId="0" applyFont="1" applyFill="1" applyAlignment="1" applyProtection="1">
      <alignment vertical="center"/>
    </xf>
    <xf numFmtId="0" fontId="18" fillId="0" borderId="0" xfId="0" applyFont="1" applyAlignment="1" applyProtection="1">
      <alignment vertical="center"/>
    </xf>
    <xf numFmtId="0" fontId="40" fillId="29" borderId="0" xfId="1" applyFont="1" applyAlignment="1" applyProtection="1">
      <alignment horizontal="center"/>
    </xf>
    <xf numFmtId="0" fontId="39" fillId="29" borderId="0" xfId="0" applyFont="1" applyFill="1" applyAlignment="1" applyProtection="1">
      <alignment vertical="center"/>
    </xf>
    <xf numFmtId="0" fontId="41" fillId="29" borderId="0" xfId="0" applyFont="1" applyFill="1" applyAlignment="1" applyProtection="1">
      <alignment horizontal="center" vertical="center"/>
    </xf>
    <xf numFmtId="0" fontId="41" fillId="29" borderId="0" xfId="0" applyFont="1" applyFill="1" applyAlignment="1" applyProtection="1">
      <alignment vertical="center"/>
    </xf>
    <xf numFmtId="0" fontId="25" fillId="29" borderId="0" xfId="0" applyFont="1" applyFill="1" applyProtection="1"/>
    <xf numFmtId="0" fontId="25" fillId="0" borderId="0" xfId="0" applyFont="1" applyProtection="1"/>
    <xf numFmtId="0" fontId="18" fillId="29" borderId="0" xfId="0" applyFont="1" applyFill="1" applyAlignment="1" applyProtection="1">
      <alignment horizontal="left" vertical="center"/>
    </xf>
    <xf numFmtId="0" fontId="18" fillId="0" borderId="0" xfId="0" applyFont="1" applyAlignment="1" applyProtection="1">
      <alignment horizontal="left" vertical="center"/>
    </xf>
    <xf numFmtId="0" fontId="24" fillId="29" borderId="24" xfId="0" applyFont="1" applyFill="1" applyBorder="1" applyAlignment="1" applyProtection="1">
      <alignment horizontal="right" vertical="center"/>
    </xf>
    <xf numFmtId="0" fontId="24" fillId="29" borderId="0" xfId="0" applyFont="1" applyFill="1" applyAlignment="1" applyProtection="1">
      <alignment horizontal="right" vertical="center"/>
    </xf>
    <xf numFmtId="0" fontId="24" fillId="29" borderId="29" xfId="0" applyFont="1" applyFill="1" applyBorder="1" applyAlignment="1" applyProtection="1">
      <alignment horizontal="right" vertical="center"/>
    </xf>
    <xf numFmtId="0" fontId="33" fillId="37" borderId="7" xfId="0" applyFont="1" applyFill="1" applyBorder="1" applyAlignment="1">
      <alignment vertical="center" wrapText="1"/>
    </xf>
    <xf numFmtId="0" fontId="33" fillId="37" borderId="7" xfId="0" applyFont="1" applyFill="1" applyBorder="1" applyAlignment="1">
      <alignment horizontal="center" vertical="center" wrapText="1"/>
    </xf>
    <xf numFmtId="0" fontId="24" fillId="39" borderId="0" xfId="0" applyFont="1" applyFill="1" applyAlignment="1">
      <alignment horizontal="left" vertical="center" indent="1"/>
    </xf>
    <xf numFmtId="165" fontId="24" fillId="39" borderId="0" xfId="0" applyNumberFormat="1" applyFont="1" applyFill="1" applyAlignment="1">
      <alignment horizontal="center" vertical="center"/>
    </xf>
    <xf numFmtId="165" fontId="24" fillId="29" borderId="0" xfId="0" applyNumberFormat="1" applyFont="1" applyFill="1" applyAlignment="1">
      <alignment horizontal="center" vertical="center"/>
    </xf>
    <xf numFmtId="0" fontId="24" fillId="29" borderId="0" xfId="0" applyFont="1" applyFill="1" applyAlignment="1">
      <alignment horizontal="center" vertical="center"/>
    </xf>
    <xf numFmtId="0" fontId="24" fillId="0" borderId="0" xfId="0" applyFont="1" applyAlignment="1">
      <alignment horizontal="left" indent="1"/>
    </xf>
    <xf numFmtId="0" fontId="24" fillId="0" borderId="0" xfId="0" applyFont="1" applyAlignment="1">
      <alignment horizontal="center"/>
    </xf>
    <xf numFmtId="0" fontId="26" fillId="0" borderId="0" xfId="15" applyFill="1" applyAlignment="1">
      <alignment horizontal="left" vertical="center" indent="1"/>
    </xf>
    <xf numFmtId="0" fontId="25" fillId="0" borderId="0" xfId="0" applyFont="1" applyAlignment="1">
      <alignment vertical="center"/>
    </xf>
    <xf numFmtId="165" fontId="24" fillId="0" borderId="0" xfId="0" applyNumberFormat="1" applyFont="1" applyAlignment="1">
      <alignment vertical="center"/>
    </xf>
    <xf numFmtId="0" fontId="24" fillId="0" borderId="0" xfId="0" applyFont="1" applyAlignment="1"/>
    <xf numFmtId="0" fontId="26" fillId="34" borderId="12" xfId="0" applyFont="1" applyFill="1" applyBorder="1" applyAlignment="1">
      <alignment horizontal="left" vertical="center" indent="1"/>
    </xf>
    <xf numFmtId="0" fontId="26" fillId="34" borderId="13" xfId="0" applyFont="1" applyFill="1" applyBorder="1" applyAlignment="1">
      <alignment horizontal="left" vertical="center" indent="1"/>
    </xf>
    <xf numFmtId="0" fontId="26" fillId="34" borderId="14" xfId="0" applyFont="1" applyFill="1" applyBorder="1" applyAlignment="1">
      <alignment horizontal="left" vertical="center" indent="1"/>
    </xf>
    <xf numFmtId="0" fontId="44" fillId="29" borderId="7" xfId="0" applyFont="1" applyFill="1" applyBorder="1" applyAlignment="1">
      <alignment horizontal="center"/>
    </xf>
    <xf numFmtId="0" fontId="44" fillId="29" borderId="0" xfId="0" applyFont="1" applyFill="1" applyAlignment="1">
      <alignment horizontal="center"/>
    </xf>
    <xf numFmtId="0" fontId="50" fillId="40" borderId="0" xfId="0" applyFont="1" applyFill="1" applyAlignment="1">
      <alignment horizontal="center" vertical="center"/>
    </xf>
    <xf numFmtId="0" fontId="55" fillId="29" borderId="0" xfId="0" quotePrefix="1" applyFont="1" applyFill="1" applyAlignment="1">
      <alignment horizontal="right" vertical="center"/>
    </xf>
    <xf numFmtId="0" fontId="55" fillId="29" borderId="0" xfId="0" applyFont="1" applyFill="1" applyAlignment="1">
      <alignment horizontal="right" vertical="center"/>
    </xf>
    <xf numFmtId="0" fontId="24" fillId="37" borderId="13" xfId="0" applyFont="1" applyFill="1" applyBorder="1" applyAlignment="1">
      <alignment horizontal="left" vertical="center" wrapText="1" indent="1"/>
    </xf>
    <xf numFmtId="0" fontId="24" fillId="37" borderId="7" xfId="0" applyFont="1" applyFill="1" applyBorder="1" applyAlignment="1">
      <alignment horizontal="left" vertical="center" wrapText="1" indent="1"/>
    </xf>
    <xf numFmtId="0" fontId="24" fillId="37" borderId="10" xfId="0" applyFont="1" applyFill="1" applyBorder="1" applyAlignment="1">
      <alignment horizontal="left" vertical="center" wrapText="1" indent="1"/>
    </xf>
    <xf numFmtId="0" fontId="33" fillId="37" borderId="7" xfId="0" applyFont="1" applyFill="1" applyBorder="1" applyAlignment="1">
      <alignment horizontal="center" vertical="center" wrapText="1"/>
    </xf>
    <xf numFmtId="0" fontId="33" fillId="37" borderId="10" xfId="0" applyFont="1" applyFill="1" applyBorder="1" applyAlignment="1">
      <alignment horizontal="center" vertical="center" wrapText="1"/>
    </xf>
    <xf numFmtId="0" fontId="24" fillId="37" borderId="0" xfId="0" applyFont="1" applyFill="1" applyBorder="1" applyAlignment="1">
      <alignment horizontal="left" vertical="center" wrapText="1" indent="1"/>
    </xf>
    <xf numFmtId="0" fontId="33" fillId="37" borderId="0" xfId="0" applyFont="1" applyFill="1" applyBorder="1" applyAlignment="1">
      <alignment horizontal="center" vertical="center" wrapText="1"/>
    </xf>
    <xf numFmtId="0" fontId="24" fillId="40" borderId="14" xfId="0" applyFont="1" applyFill="1" applyBorder="1" applyAlignment="1" applyProtection="1">
      <alignment horizontal="left" vertical="center" wrapText="1" indent="2" readingOrder="1"/>
    </xf>
    <xf numFmtId="0" fontId="24" fillId="29" borderId="14" xfId="0" applyFont="1" applyFill="1" applyBorder="1" applyAlignment="1" applyProtection="1">
      <alignment horizontal="left" vertical="center" wrapText="1" indent="2" readingOrder="1"/>
    </xf>
    <xf numFmtId="0" fontId="48" fillId="29" borderId="15" xfId="41" applyFont="1" applyFill="1" applyBorder="1" applyAlignment="1" applyProtection="1">
      <alignment horizontal="left" vertical="top" wrapText="1" indent="2"/>
    </xf>
    <xf numFmtId="0" fontId="48" fillId="29" borderId="0" xfId="41" applyFont="1" applyFill="1" applyBorder="1" applyAlignment="1" applyProtection="1">
      <alignment horizontal="left" vertical="top" wrapText="1" indent="2"/>
    </xf>
    <xf numFmtId="0" fontId="48" fillId="29" borderId="16" xfId="41" applyFont="1" applyFill="1" applyBorder="1" applyAlignment="1" applyProtection="1">
      <alignment horizontal="left" vertical="top" wrapText="1" indent="2"/>
    </xf>
    <xf numFmtId="0" fontId="48" fillId="29" borderId="9" xfId="41" applyFont="1" applyFill="1" applyBorder="1" applyAlignment="1" applyProtection="1">
      <alignment horizontal="left" vertical="top" wrapText="1" indent="2"/>
    </xf>
    <xf numFmtId="0" fontId="48" fillId="29" borderId="10" xfId="41" applyFont="1" applyFill="1" applyBorder="1" applyAlignment="1" applyProtection="1">
      <alignment horizontal="left" vertical="top" wrapText="1" indent="2"/>
    </xf>
    <xf numFmtId="0" fontId="48" fillId="29" borderId="11" xfId="41" applyFont="1" applyFill="1" applyBorder="1" applyAlignment="1" applyProtection="1">
      <alignment horizontal="left" vertical="top" wrapText="1" indent="2"/>
    </xf>
    <xf numFmtId="0" fontId="48" fillId="40" borderId="15" xfId="41" applyFont="1" applyFill="1" applyBorder="1" applyAlignment="1" applyProtection="1">
      <alignment horizontal="left" vertical="top" wrapText="1" indent="2"/>
    </xf>
    <xf numFmtId="0" fontId="48" fillId="40" borderId="0" xfId="41" applyFont="1" applyFill="1" applyBorder="1" applyAlignment="1" applyProtection="1">
      <alignment horizontal="left" vertical="top" wrapText="1" indent="2"/>
    </xf>
    <xf numFmtId="0" fontId="48" fillId="40" borderId="16" xfId="41" applyFont="1" applyFill="1" applyBorder="1" applyAlignment="1" applyProtection="1">
      <alignment horizontal="left" vertical="top" wrapText="1" indent="2"/>
    </xf>
    <xf numFmtId="0" fontId="25" fillId="29" borderId="6" xfId="0" applyFont="1" applyFill="1" applyBorder="1" applyAlignment="1" applyProtection="1">
      <alignment horizontal="left" vertical="center" wrapText="1" indent="2"/>
    </xf>
    <xf numFmtId="0" fontId="25" fillId="29" borderId="7" xfId="0" applyFont="1" applyFill="1" applyBorder="1" applyAlignment="1" applyProtection="1">
      <alignment horizontal="left" vertical="center" wrapText="1" indent="2"/>
    </xf>
    <xf numFmtId="0" fontId="25" fillId="29" borderId="8" xfId="0" applyFont="1" applyFill="1" applyBorder="1" applyAlignment="1" applyProtection="1">
      <alignment horizontal="left" vertical="center" wrapText="1" indent="2"/>
    </xf>
    <xf numFmtId="0" fontId="25" fillId="40" borderId="6" xfId="0" applyFont="1" applyFill="1" applyBorder="1" applyAlignment="1" applyProtection="1">
      <alignment horizontal="left" vertical="center" wrapText="1" indent="2"/>
    </xf>
    <xf numFmtId="0" fontId="25" fillId="40" borderId="7" xfId="0" applyFont="1" applyFill="1" applyBorder="1" applyAlignment="1" applyProtection="1">
      <alignment horizontal="left" vertical="center" wrapText="1" indent="2"/>
    </xf>
    <xf numFmtId="0" fontId="25" fillId="40" borderId="8" xfId="0" applyFont="1" applyFill="1" applyBorder="1" applyAlignment="1" applyProtection="1">
      <alignment horizontal="left" vertical="center" wrapText="1" indent="2"/>
    </xf>
    <xf numFmtId="0" fontId="25" fillId="29" borderId="12" xfId="0" applyFont="1" applyFill="1" applyBorder="1" applyAlignment="1" applyProtection="1">
      <alignment horizontal="left" vertical="center" wrapText="1" indent="2"/>
    </xf>
    <xf numFmtId="0" fontId="25" fillId="29" borderId="13" xfId="0" applyFont="1" applyFill="1" applyBorder="1" applyAlignment="1" applyProtection="1">
      <alignment horizontal="left" vertical="center" wrapText="1" indent="2"/>
    </xf>
    <xf numFmtId="0" fontId="24" fillId="40" borderId="12" xfId="0" applyFont="1" applyFill="1" applyBorder="1" applyAlignment="1" applyProtection="1">
      <alignment horizontal="left" vertical="center" wrapText="1" indent="1"/>
    </xf>
    <xf numFmtId="0" fontId="24" fillId="40" borderId="13" xfId="0" applyFont="1" applyFill="1" applyBorder="1" applyAlignment="1" applyProtection="1">
      <alignment horizontal="left" vertical="center" wrapText="1" indent="1"/>
    </xf>
    <xf numFmtId="0" fontId="24" fillId="40" borderId="14" xfId="0" applyFont="1" applyFill="1" applyBorder="1" applyAlignment="1" applyProtection="1">
      <alignment horizontal="left" vertical="center" wrapText="1" indent="1"/>
    </xf>
    <xf numFmtId="0" fontId="24" fillId="29" borderId="6" xfId="0" applyFont="1" applyFill="1" applyBorder="1" applyAlignment="1" applyProtection="1">
      <alignment horizontal="left" vertical="center" wrapText="1" indent="1" readingOrder="1"/>
    </xf>
    <xf numFmtId="0" fontId="24" fillId="29" borderId="7" xfId="0" applyFont="1" applyFill="1" applyBorder="1" applyAlignment="1" applyProtection="1">
      <alignment horizontal="left" vertical="center" wrapText="1" indent="1" readingOrder="1"/>
    </xf>
    <xf numFmtId="0" fontId="24" fillId="29" borderId="15" xfId="0" applyFont="1" applyFill="1" applyBorder="1" applyAlignment="1" applyProtection="1">
      <alignment horizontal="left" vertical="center" wrapText="1" indent="1" readingOrder="1"/>
    </xf>
    <xf numFmtId="0" fontId="24" fillId="29" borderId="0" xfId="0" applyFont="1" applyFill="1" applyBorder="1" applyAlignment="1" applyProtection="1">
      <alignment horizontal="left" vertical="center" wrapText="1" indent="1" readingOrder="1"/>
    </xf>
    <xf numFmtId="0" fontId="24" fillId="29" borderId="9" xfId="0" applyFont="1" applyFill="1" applyBorder="1" applyAlignment="1" applyProtection="1">
      <alignment horizontal="left" vertical="center" wrapText="1" indent="1" readingOrder="1"/>
    </xf>
    <xf numFmtId="0" fontId="24" fillId="29" borderId="10" xfId="0" applyFont="1" applyFill="1" applyBorder="1" applyAlignment="1" applyProtection="1">
      <alignment horizontal="left" vertical="center" wrapText="1" indent="1" readingOrder="1"/>
    </xf>
    <xf numFmtId="0" fontId="24" fillId="40" borderId="6" xfId="0" applyFont="1" applyFill="1" applyBorder="1" applyAlignment="1" applyProtection="1">
      <alignment horizontal="left" vertical="center" wrapText="1" indent="1" readingOrder="1"/>
    </xf>
    <xf numFmtId="0" fontId="24" fillId="40" borderId="7" xfId="0" applyFont="1" applyFill="1" applyBorder="1" applyAlignment="1" applyProtection="1">
      <alignment horizontal="left" vertical="center" wrapText="1" indent="1" readingOrder="1"/>
    </xf>
    <xf numFmtId="0" fontId="24" fillId="40" borderId="15" xfId="0" applyFont="1" applyFill="1" applyBorder="1" applyAlignment="1" applyProtection="1">
      <alignment horizontal="left" vertical="center" wrapText="1" indent="1" readingOrder="1"/>
    </xf>
    <xf numFmtId="0" fontId="24" fillId="40" borderId="0" xfId="0" applyFont="1" applyFill="1" applyBorder="1" applyAlignment="1" applyProtection="1">
      <alignment horizontal="left" vertical="center" wrapText="1" indent="1" readingOrder="1"/>
    </xf>
    <xf numFmtId="0" fontId="24" fillId="40" borderId="9" xfId="0" applyFont="1" applyFill="1" applyBorder="1" applyAlignment="1" applyProtection="1">
      <alignment horizontal="left" vertical="center" wrapText="1" indent="1" readingOrder="1"/>
    </xf>
    <xf numFmtId="0" fontId="24" fillId="40" borderId="10" xfId="0" applyFont="1" applyFill="1" applyBorder="1" applyAlignment="1" applyProtection="1">
      <alignment horizontal="left" vertical="center" wrapText="1" indent="1" readingOrder="1"/>
    </xf>
    <xf numFmtId="0" fontId="49" fillId="43" borderId="101" xfId="0" applyFont="1" applyFill="1" applyBorder="1" applyAlignment="1" applyProtection="1">
      <alignment horizontal="left" vertical="center" wrapText="1" indent="1"/>
    </xf>
    <xf numFmtId="0" fontId="49" fillId="43" borderId="102" xfId="0" applyFont="1" applyFill="1" applyBorder="1" applyAlignment="1" applyProtection="1">
      <alignment horizontal="left" vertical="center" wrapText="1" indent="1"/>
    </xf>
    <xf numFmtId="0" fontId="49" fillId="43" borderId="103" xfId="0" applyFont="1" applyFill="1" applyBorder="1" applyAlignment="1" applyProtection="1">
      <alignment horizontal="left" vertical="center" wrapText="1" indent="1"/>
    </xf>
    <xf numFmtId="0" fontId="49" fillId="43" borderId="104" xfId="0" applyFont="1" applyFill="1" applyBorder="1" applyAlignment="1" applyProtection="1">
      <alignment horizontal="left" vertical="center" wrapText="1" indent="1"/>
    </xf>
    <xf numFmtId="0" fontId="49" fillId="43" borderId="0" xfId="0" applyFont="1" applyFill="1" applyBorder="1" applyAlignment="1" applyProtection="1">
      <alignment horizontal="left" vertical="center" wrapText="1" indent="1"/>
    </xf>
    <xf numFmtId="0" fontId="49" fillId="43" borderId="105" xfId="0" applyFont="1" applyFill="1" applyBorder="1" applyAlignment="1" applyProtection="1">
      <alignment horizontal="left" vertical="center" wrapText="1" indent="1"/>
    </xf>
    <xf numFmtId="0" fontId="49" fillId="43" borderId="106" xfId="0" applyFont="1" applyFill="1" applyBorder="1" applyAlignment="1" applyProtection="1">
      <alignment horizontal="left" vertical="center" wrapText="1" indent="1"/>
    </xf>
    <xf numFmtId="0" fontId="49" fillId="43" borderId="107" xfId="0" applyFont="1" applyFill="1" applyBorder="1" applyAlignment="1" applyProtection="1">
      <alignment horizontal="left" vertical="center" wrapText="1" indent="1"/>
    </xf>
    <xf numFmtId="0" fontId="49" fillId="43" borderId="108" xfId="0" applyFont="1" applyFill="1" applyBorder="1" applyAlignment="1" applyProtection="1">
      <alignment horizontal="left" vertical="center" wrapText="1" indent="1"/>
    </xf>
    <xf numFmtId="0" fontId="24" fillId="40" borderId="5" xfId="0" applyFont="1" applyFill="1" applyBorder="1" applyAlignment="1" applyProtection="1">
      <alignment horizontal="left" vertical="center" wrapText="1" indent="1" readingOrder="1"/>
    </xf>
    <xf numFmtId="0" fontId="24" fillId="40" borderId="12" xfId="0" applyFont="1" applyFill="1" applyBorder="1" applyAlignment="1" applyProtection="1">
      <alignment horizontal="left" vertical="center" wrapText="1" indent="1" readingOrder="1"/>
    </xf>
    <xf numFmtId="0" fontId="25" fillId="40" borderId="12" xfId="0" applyFont="1" applyFill="1" applyBorder="1" applyAlignment="1" applyProtection="1">
      <alignment horizontal="left" vertical="center" wrapText="1" indent="2"/>
    </xf>
    <xf numFmtId="0" fontId="25" fillId="40" borderId="13" xfId="0" applyFont="1" applyFill="1" applyBorder="1" applyAlignment="1" applyProtection="1">
      <alignment horizontal="left" vertical="center" wrapText="1" indent="2"/>
    </xf>
    <xf numFmtId="0" fontId="50" fillId="41" borderId="12" xfId="0" applyFont="1" applyFill="1" applyBorder="1" applyAlignment="1" applyProtection="1">
      <alignment horizontal="left" vertical="center" indent="2"/>
    </xf>
    <xf numFmtId="0" fontId="50" fillId="41" borderId="13" xfId="0" applyFont="1" applyFill="1" applyBorder="1" applyAlignment="1" applyProtection="1">
      <alignment horizontal="left" vertical="center" indent="2"/>
    </xf>
    <xf numFmtId="0" fontId="50" fillId="41" borderId="14" xfId="0" applyFont="1" applyFill="1" applyBorder="1" applyAlignment="1" applyProtection="1">
      <alignment horizontal="left" vertical="center" indent="2"/>
    </xf>
    <xf numFmtId="0" fontId="24" fillId="29" borderId="8" xfId="0" applyFont="1" applyFill="1" applyBorder="1" applyAlignment="1" applyProtection="1">
      <alignment horizontal="left" vertical="center" wrapText="1" indent="2" readingOrder="1"/>
    </xf>
    <xf numFmtId="0" fontId="24" fillId="29" borderId="16" xfId="0" applyFont="1" applyFill="1" applyBorder="1" applyAlignment="1" applyProtection="1">
      <alignment horizontal="left" vertical="center" wrapText="1" indent="2" readingOrder="1"/>
    </xf>
    <xf numFmtId="0" fontId="24" fillId="29" borderId="11" xfId="0" applyFont="1" applyFill="1" applyBorder="1" applyAlignment="1" applyProtection="1">
      <alignment horizontal="left" vertical="center" wrapText="1" indent="2" readingOrder="1"/>
    </xf>
    <xf numFmtId="0" fontId="24" fillId="40" borderId="6" xfId="0" applyFont="1" applyFill="1" applyBorder="1" applyAlignment="1" applyProtection="1">
      <alignment horizontal="left" vertical="center" wrapText="1" indent="2" readingOrder="1"/>
    </xf>
    <xf numFmtId="0" fontId="24" fillId="40" borderId="7" xfId="0" applyFont="1" applyFill="1" applyBorder="1" applyAlignment="1" applyProtection="1">
      <alignment horizontal="left" vertical="center" wrapText="1" indent="2" readingOrder="1"/>
    </xf>
    <xf numFmtId="0" fontId="24" fillId="40" borderId="15" xfId="0" applyFont="1" applyFill="1" applyBorder="1" applyAlignment="1" applyProtection="1">
      <alignment horizontal="left" vertical="center" wrapText="1" indent="2" readingOrder="1"/>
    </xf>
    <xf numFmtId="0" fontId="24" fillId="40" borderId="0" xfId="0" applyFont="1" applyFill="1" applyBorder="1" applyAlignment="1" applyProtection="1">
      <alignment horizontal="left" vertical="center" wrapText="1" indent="2" readingOrder="1"/>
    </xf>
    <xf numFmtId="0" fontId="24" fillId="40" borderId="9" xfId="0" applyFont="1" applyFill="1" applyBorder="1" applyAlignment="1" applyProtection="1">
      <alignment horizontal="left" vertical="center" wrapText="1" indent="2" readingOrder="1"/>
    </xf>
    <xf numFmtId="0" fontId="24" fillId="40" borderId="10" xfId="0" applyFont="1" applyFill="1" applyBorder="1" applyAlignment="1" applyProtection="1">
      <alignment horizontal="left" vertical="center" wrapText="1" indent="2" readingOrder="1"/>
    </xf>
    <xf numFmtId="0" fontId="24" fillId="40" borderId="8" xfId="0" applyFont="1" applyFill="1" applyBorder="1" applyAlignment="1" applyProtection="1">
      <alignment horizontal="left" vertical="center" wrapText="1" readingOrder="1"/>
    </xf>
    <xf numFmtId="0" fontId="24" fillId="40" borderId="16" xfId="0" applyFont="1" applyFill="1" applyBorder="1" applyAlignment="1" applyProtection="1">
      <alignment horizontal="left" vertical="center" wrapText="1" readingOrder="1"/>
    </xf>
    <xf numFmtId="0" fontId="24" fillId="40" borderId="11" xfId="0" applyFont="1" applyFill="1" applyBorder="1" applyAlignment="1" applyProtection="1">
      <alignment horizontal="left" vertical="center" wrapText="1" readingOrder="1"/>
    </xf>
    <xf numFmtId="0" fontId="24" fillId="40" borderId="8" xfId="0" applyFont="1" applyFill="1" applyBorder="1" applyAlignment="1" applyProtection="1">
      <alignment horizontal="left" vertical="center" wrapText="1" indent="2" readingOrder="1"/>
    </xf>
    <xf numFmtId="0" fontId="24" fillId="40" borderId="16" xfId="0" applyFont="1" applyFill="1" applyBorder="1" applyAlignment="1" applyProtection="1">
      <alignment horizontal="left" vertical="center" wrapText="1" indent="2" readingOrder="1"/>
    </xf>
    <xf numFmtId="0" fontId="24" fillId="40" borderId="11" xfId="0" applyFont="1" applyFill="1" applyBorder="1" applyAlignment="1" applyProtection="1">
      <alignment horizontal="left" vertical="center" wrapText="1" indent="2" readingOrder="1"/>
    </xf>
    <xf numFmtId="0" fontId="26" fillId="42" borderId="12" xfId="0" applyFont="1" applyFill="1" applyBorder="1" applyAlignment="1" applyProtection="1">
      <alignment horizontal="left" vertical="center" indent="1"/>
    </xf>
    <xf numFmtId="0" fontId="26" fillId="42" borderId="13" xfId="0" applyFont="1" applyFill="1" applyBorder="1" applyAlignment="1" applyProtection="1">
      <alignment horizontal="left" vertical="center" indent="1"/>
    </xf>
    <xf numFmtId="0" fontId="26" fillId="42" borderId="14" xfId="0" applyFont="1" applyFill="1" applyBorder="1" applyAlignment="1" applyProtection="1">
      <alignment horizontal="left" vertical="center" indent="1"/>
    </xf>
    <xf numFmtId="0" fontId="50" fillId="41" borderId="12" xfId="0" applyFont="1" applyFill="1" applyBorder="1" applyAlignment="1" applyProtection="1">
      <alignment horizontal="center" vertical="center"/>
    </xf>
    <xf numFmtId="0" fontId="50" fillId="41" borderId="13" xfId="0" applyFont="1" applyFill="1" applyBorder="1" applyAlignment="1" applyProtection="1">
      <alignment horizontal="center" vertical="center"/>
    </xf>
    <xf numFmtId="0" fontId="50" fillId="41" borderId="12" xfId="0" applyFont="1" applyFill="1" applyBorder="1" applyAlignment="1" applyProtection="1">
      <alignment horizontal="left" vertical="center" indent="1"/>
    </xf>
    <xf numFmtId="0" fontId="50" fillId="41" borderId="13" xfId="0" applyFont="1" applyFill="1" applyBorder="1" applyAlignment="1" applyProtection="1">
      <alignment horizontal="left" vertical="center" indent="1"/>
    </xf>
    <xf numFmtId="0" fontId="50" fillId="41" borderId="14" xfId="0" applyFont="1" applyFill="1" applyBorder="1" applyAlignment="1" applyProtection="1">
      <alignment horizontal="left" vertical="center" indent="1"/>
    </xf>
    <xf numFmtId="0" fontId="24" fillId="29" borderId="8" xfId="0" applyFont="1" applyFill="1" applyBorder="1" applyAlignment="1" applyProtection="1">
      <alignment horizontal="center" vertical="center" wrapText="1"/>
    </xf>
    <xf numFmtId="0" fontId="24" fillId="29" borderId="16" xfId="0" applyFont="1" applyFill="1" applyBorder="1" applyAlignment="1" applyProtection="1">
      <alignment horizontal="center" vertical="center" wrapText="1"/>
    </xf>
    <xf numFmtId="0" fontId="24" fillId="29" borderId="11" xfId="0" applyFont="1" applyFill="1" applyBorder="1" applyAlignment="1" applyProtection="1">
      <alignment horizontal="center" vertical="center" wrapText="1"/>
    </xf>
    <xf numFmtId="0" fontId="24" fillId="40" borderId="8" xfId="0" applyFont="1" applyFill="1" applyBorder="1" applyAlignment="1" applyProtection="1">
      <alignment horizontal="center" vertical="center" wrapText="1"/>
    </xf>
    <xf numFmtId="0" fontId="24" fillId="40" borderId="16" xfId="0" applyFont="1" applyFill="1" applyBorder="1" applyAlignment="1" applyProtection="1">
      <alignment horizontal="center" vertical="center" wrapText="1"/>
    </xf>
    <xf numFmtId="0" fontId="24" fillId="40" borderId="11" xfId="0" applyFont="1" applyFill="1" applyBorder="1" applyAlignment="1" applyProtection="1">
      <alignment horizontal="center" vertical="center" wrapText="1"/>
    </xf>
    <xf numFmtId="0" fontId="24" fillId="37" borderId="8" xfId="0" applyFont="1" applyFill="1" applyBorder="1" applyAlignment="1" applyProtection="1">
      <alignment horizontal="center" vertical="center" wrapText="1"/>
    </xf>
    <xf numFmtId="0" fontId="24" fillId="37" borderId="16" xfId="0" applyFont="1" applyFill="1" applyBorder="1" applyAlignment="1" applyProtection="1">
      <alignment horizontal="center" vertical="center" wrapText="1"/>
    </xf>
    <xf numFmtId="0" fontId="24" fillId="37" borderId="11" xfId="0" applyFont="1" applyFill="1" applyBorder="1" applyAlignment="1" applyProtection="1">
      <alignment horizontal="center" vertical="center" wrapText="1"/>
    </xf>
    <xf numFmtId="0" fontId="25" fillId="29" borderId="15" xfId="0" applyFont="1" applyFill="1" applyBorder="1" applyAlignment="1" applyProtection="1">
      <alignment horizontal="left" vertical="center" wrapText="1" indent="2"/>
    </xf>
    <xf numFmtId="0" fontId="25" fillId="29" borderId="0" xfId="0" applyFont="1" applyFill="1" applyBorder="1" applyAlignment="1" applyProtection="1">
      <alignment horizontal="left" vertical="center" wrapText="1" indent="2"/>
    </xf>
    <xf numFmtId="0" fontId="25" fillId="29" borderId="16" xfId="0" applyFont="1" applyFill="1" applyBorder="1" applyAlignment="1" applyProtection="1">
      <alignment horizontal="left" vertical="center" wrapText="1" indent="2"/>
    </xf>
    <xf numFmtId="0" fontId="25" fillId="40" borderId="15" xfId="0" applyFont="1" applyFill="1" applyBorder="1" applyAlignment="1" applyProtection="1">
      <alignment horizontal="left" vertical="center" wrapText="1" indent="2"/>
    </xf>
    <xf numFmtId="0" fontId="25" fillId="40" borderId="0" xfId="0" applyFont="1" applyFill="1" applyBorder="1" applyAlignment="1" applyProtection="1">
      <alignment horizontal="left" vertical="center" wrapText="1" indent="2"/>
    </xf>
    <xf numFmtId="0" fontId="25" fillId="40" borderId="16" xfId="0" applyFont="1" applyFill="1" applyBorder="1" applyAlignment="1" applyProtection="1">
      <alignment horizontal="left" vertical="center" wrapText="1" indent="2"/>
    </xf>
    <xf numFmtId="0" fontId="48" fillId="40" borderId="9" xfId="41" applyFont="1" applyFill="1" applyBorder="1" applyAlignment="1" applyProtection="1">
      <alignment horizontal="left" vertical="top" wrapText="1" indent="2"/>
    </xf>
    <xf numFmtId="0" fontId="48" fillId="40" borderId="10" xfId="41" applyFont="1" applyFill="1" applyBorder="1" applyAlignment="1" applyProtection="1">
      <alignment horizontal="left" vertical="top" wrapText="1" indent="2"/>
    </xf>
    <xf numFmtId="0" fontId="48" fillId="40" borderId="11" xfId="41" applyFont="1" applyFill="1" applyBorder="1" applyAlignment="1" applyProtection="1">
      <alignment horizontal="left" vertical="top" wrapText="1" indent="2"/>
    </xf>
    <xf numFmtId="0" fontId="50" fillId="41" borderId="14" xfId="0" applyFont="1" applyFill="1" applyBorder="1" applyAlignment="1" applyProtection="1">
      <alignment horizontal="center" vertical="center"/>
    </xf>
    <xf numFmtId="0" fontId="24" fillId="29" borderId="5" xfId="0" applyFont="1" applyFill="1" applyBorder="1" applyAlignment="1" applyProtection="1">
      <alignment horizontal="left" vertical="center" wrapText="1" indent="1" readingOrder="1"/>
    </xf>
    <xf numFmtId="0" fontId="24" fillId="29" borderId="12" xfId="0" applyFont="1" applyFill="1" applyBorder="1" applyAlignment="1" applyProtection="1">
      <alignment horizontal="left" vertical="center" wrapText="1" indent="1" readingOrder="1"/>
    </xf>
    <xf numFmtId="0" fontId="24" fillId="40" borderId="6" xfId="0" applyFont="1" applyFill="1" applyBorder="1" applyAlignment="1" applyProtection="1">
      <alignment horizontal="left" vertical="center" wrapText="1" indent="1"/>
    </xf>
    <xf numFmtId="0" fontId="24" fillId="40" borderId="7" xfId="0" applyFont="1" applyFill="1" applyBorder="1" applyAlignment="1" applyProtection="1">
      <alignment horizontal="left" vertical="center" wrapText="1" indent="1"/>
    </xf>
    <xf numFmtId="0" fontId="24" fillId="40" borderId="15" xfId="0" applyFont="1" applyFill="1" applyBorder="1" applyAlignment="1" applyProtection="1">
      <alignment horizontal="left" vertical="center" wrapText="1" indent="1"/>
    </xf>
    <xf numFmtId="0" fontId="24" fillId="40" borderId="0" xfId="0" applyFont="1" applyFill="1" applyBorder="1" applyAlignment="1" applyProtection="1">
      <alignment horizontal="left" vertical="center" wrapText="1" indent="1"/>
    </xf>
    <xf numFmtId="0" fontId="24" fillId="40" borderId="9" xfId="0" applyFont="1" applyFill="1" applyBorder="1" applyAlignment="1" applyProtection="1">
      <alignment horizontal="left" vertical="center" wrapText="1" indent="1"/>
    </xf>
    <xf numFmtId="0" fontId="24" fillId="40" borderId="10" xfId="0" applyFont="1" applyFill="1" applyBorder="1" applyAlignment="1" applyProtection="1">
      <alignment horizontal="left" vertical="center" wrapText="1" indent="1"/>
    </xf>
    <xf numFmtId="0" fontId="24" fillId="29" borderId="6" xfId="0" applyFont="1" applyFill="1" applyBorder="1" applyAlignment="1" applyProtection="1">
      <alignment horizontal="left" vertical="center" wrapText="1" indent="1"/>
    </xf>
    <xf numFmtId="0" fontId="24" fillId="29" borderId="7" xfId="0" applyFont="1" applyFill="1" applyBorder="1" applyAlignment="1" applyProtection="1">
      <alignment horizontal="left" vertical="center" wrapText="1" indent="1"/>
    </xf>
    <xf numFmtId="0" fontId="24" fillId="29" borderId="9" xfId="0" applyFont="1" applyFill="1" applyBorder="1" applyAlignment="1" applyProtection="1">
      <alignment horizontal="left" vertical="center" wrapText="1" indent="1"/>
    </xf>
    <xf numFmtId="0" fontId="24" fillId="29" borderId="10" xfId="0" applyFont="1" applyFill="1" applyBorder="1" applyAlignment="1" applyProtection="1">
      <alignment horizontal="left" vertical="center" wrapText="1" indent="1"/>
    </xf>
    <xf numFmtId="0" fontId="44" fillId="0" borderId="0" xfId="0" applyFont="1" applyBorder="1" applyAlignment="1" applyProtection="1">
      <alignment horizontal="center"/>
    </xf>
    <xf numFmtId="0" fontId="44" fillId="0" borderId="10" xfId="0" applyFont="1" applyBorder="1" applyAlignment="1" applyProtection="1">
      <alignment horizontal="center"/>
    </xf>
    <xf numFmtId="0" fontId="26" fillId="42" borderId="12" xfId="0" applyFont="1" applyFill="1" applyBorder="1" applyAlignment="1" applyProtection="1">
      <alignment horizontal="center" vertical="center"/>
    </xf>
    <xf numFmtId="0" fontId="26" fillId="42" borderId="13" xfId="0" applyFont="1" applyFill="1" applyBorder="1" applyAlignment="1" applyProtection="1">
      <alignment horizontal="center" vertical="center"/>
    </xf>
    <xf numFmtId="0" fontId="26" fillId="42" borderId="14" xfId="0" applyFont="1" applyFill="1" applyBorder="1" applyAlignment="1" applyProtection="1">
      <alignment horizontal="center" vertical="center"/>
    </xf>
    <xf numFmtId="0" fontId="26" fillId="34" borderId="12" xfId="0" applyFont="1" applyFill="1" applyBorder="1" applyAlignment="1" applyProtection="1">
      <alignment horizontal="center" vertical="center"/>
    </xf>
    <xf numFmtId="0" fontId="26" fillId="34" borderId="13" xfId="0" applyFont="1" applyFill="1" applyBorder="1" applyAlignment="1" applyProtection="1">
      <alignment horizontal="center" vertical="center"/>
    </xf>
    <xf numFmtId="0" fontId="26" fillId="34" borderId="14" xfId="0" applyFont="1" applyFill="1" applyBorder="1" applyAlignment="1" applyProtection="1">
      <alignment horizontal="center" vertical="center"/>
    </xf>
    <xf numFmtId="0" fontId="24" fillId="29" borderId="15" xfId="0" applyFont="1" applyFill="1" applyBorder="1" applyAlignment="1" applyProtection="1">
      <alignment horizontal="left" vertical="center" wrapText="1" indent="1"/>
    </xf>
    <xf numFmtId="0" fontId="24" fillId="29" borderId="0" xfId="0" applyFont="1" applyFill="1" applyBorder="1" applyAlignment="1" applyProtection="1">
      <alignment horizontal="left" vertical="center" wrapText="1" indent="1"/>
    </xf>
    <xf numFmtId="0" fontId="24" fillId="29" borderId="6" xfId="0" applyFont="1" applyFill="1" applyBorder="1" applyAlignment="1" applyProtection="1">
      <alignment horizontal="left" vertical="center" wrapText="1" indent="2" readingOrder="1"/>
    </xf>
    <xf numFmtId="0" fontId="24" fillId="29" borderId="7" xfId="0" applyFont="1" applyFill="1" applyBorder="1" applyAlignment="1" applyProtection="1">
      <alignment horizontal="left" vertical="center" wrapText="1" indent="2" readingOrder="1"/>
    </xf>
    <xf numFmtId="0" fontId="24" fillId="29" borderId="15" xfId="0" applyFont="1" applyFill="1" applyBorder="1" applyAlignment="1" applyProtection="1">
      <alignment horizontal="left" vertical="center" wrapText="1" indent="2" readingOrder="1"/>
    </xf>
    <xf numFmtId="0" fontId="24" fillId="29" borderId="0" xfId="0" applyFont="1" applyFill="1" applyBorder="1" applyAlignment="1" applyProtection="1">
      <alignment horizontal="left" vertical="center" wrapText="1" indent="2" readingOrder="1"/>
    </xf>
    <xf numFmtId="0" fontId="24" fillId="29" borderId="9" xfId="0" applyFont="1" applyFill="1" applyBorder="1" applyAlignment="1" applyProtection="1">
      <alignment horizontal="left" vertical="center" wrapText="1" indent="2" readingOrder="1"/>
    </xf>
    <xf numFmtId="0" fontId="24" fillId="29" borderId="10" xfId="0" applyFont="1" applyFill="1" applyBorder="1" applyAlignment="1" applyProtection="1">
      <alignment horizontal="left" vertical="center" wrapText="1" indent="2" readingOrder="1"/>
    </xf>
    <xf numFmtId="0" fontId="24" fillId="29" borderId="8" xfId="0" applyFont="1" applyFill="1" applyBorder="1" applyAlignment="1" applyProtection="1">
      <alignment horizontal="left" vertical="center" wrapText="1" readingOrder="1"/>
    </xf>
    <xf numFmtId="0" fontId="24" fillId="29" borderId="16" xfId="0" applyFont="1" applyFill="1" applyBorder="1" applyAlignment="1" applyProtection="1">
      <alignment horizontal="left" vertical="center" wrapText="1" readingOrder="1"/>
    </xf>
    <xf numFmtId="0" fontId="24" fillId="29" borderId="11" xfId="0" applyFont="1" applyFill="1" applyBorder="1" applyAlignment="1" applyProtection="1">
      <alignment horizontal="left" vertical="center" wrapText="1" readingOrder="1"/>
    </xf>
    <xf numFmtId="0" fontId="24" fillId="37" borderId="6" xfId="0" applyFont="1" applyFill="1" applyBorder="1" applyAlignment="1" applyProtection="1">
      <alignment horizontal="left" vertical="center" wrapText="1" indent="2"/>
    </xf>
    <xf numFmtId="0" fontId="24" fillId="37" borderId="7" xfId="0" applyFont="1" applyFill="1" applyBorder="1" applyAlignment="1" applyProtection="1">
      <alignment horizontal="left" vertical="center" wrapText="1" indent="2"/>
    </xf>
    <xf numFmtId="0" fontId="24" fillId="37" borderId="15" xfId="0" applyFont="1" applyFill="1" applyBorder="1" applyAlignment="1" applyProtection="1">
      <alignment horizontal="left" vertical="center" wrapText="1" indent="2"/>
    </xf>
    <xf numFmtId="0" fontId="24" fillId="37" borderId="0" xfId="0" applyFont="1" applyFill="1" applyBorder="1" applyAlignment="1" applyProtection="1">
      <alignment horizontal="left" vertical="center" wrapText="1" indent="2"/>
    </xf>
    <xf numFmtId="0" fontId="24" fillId="37" borderId="15" xfId="0" applyFont="1" applyFill="1" applyBorder="1" applyAlignment="1" applyProtection="1">
      <alignment horizontal="left" vertical="top" wrapText="1" indent="2"/>
    </xf>
    <xf numFmtId="0" fontId="24" fillId="37" borderId="0" xfId="0" applyFont="1" applyFill="1" applyBorder="1" applyAlignment="1" applyProtection="1">
      <alignment horizontal="left" vertical="top" wrapText="1" indent="2"/>
    </xf>
    <xf numFmtId="0" fontId="24" fillId="37" borderId="9" xfId="0" applyFont="1" applyFill="1" applyBorder="1" applyAlignment="1" applyProtection="1">
      <alignment horizontal="left" vertical="top" wrapText="1" indent="2"/>
    </xf>
    <xf numFmtId="0" fontId="24" fillId="37" borderId="10" xfId="0" applyFont="1" applyFill="1" applyBorder="1" applyAlignment="1" applyProtection="1">
      <alignment horizontal="left" vertical="top" wrapText="1" indent="2"/>
    </xf>
    <xf numFmtId="0" fontId="24" fillId="37" borderId="15" xfId="0" applyFont="1" applyFill="1" applyBorder="1" applyAlignment="1" applyProtection="1">
      <alignment horizontal="left" vertical="center" wrapText="1" indent="3"/>
    </xf>
    <xf numFmtId="0" fontId="24" fillId="37" borderId="0" xfId="0" applyFont="1" applyFill="1" applyBorder="1" applyAlignment="1" applyProtection="1">
      <alignment horizontal="left" vertical="center" wrapText="1" indent="3"/>
    </xf>
    <xf numFmtId="0" fontId="24" fillId="37" borderId="15" xfId="0" applyFont="1" applyFill="1" applyBorder="1" applyAlignment="1" applyProtection="1">
      <alignment horizontal="left" vertical="top" wrapText="1" indent="3"/>
    </xf>
    <xf numFmtId="0" fontId="24" fillId="37" borderId="0" xfId="0" applyFont="1" applyFill="1" applyBorder="1" applyAlignment="1" applyProtection="1">
      <alignment horizontal="left" vertical="top" wrapText="1" indent="3"/>
    </xf>
    <xf numFmtId="0" fontId="25" fillId="33" borderId="51" xfId="0" applyFont="1" applyFill="1" applyBorder="1" applyAlignment="1" applyProtection="1">
      <alignment horizontal="left" vertical="center" indent="1"/>
    </xf>
    <xf numFmtId="0" fontId="25" fillId="33" borderId="52" xfId="0" applyFont="1" applyFill="1" applyBorder="1" applyAlignment="1" applyProtection="1">
      <alignment horizontal="left" vertical="center" indent="1"/>
    </xf>
    <xf numFmtId="0" fontId="25" fillId="33" borderId="53" xfId="0" applyFont="1" applyFill="1" applyBorder="1" applyAlignment="1" applyProtection="1">
      <alignment horizontal="left" vertical="center" indent="1"/>
    </xf>
    <xf numFmtId="166" fontId="25" fillId="33" borderId="51" xfId="0" applyNumberFormat="1" applyFont="1" applyFill="1" applyBorder="1" applyAlignment="1" applyProtection="1">
      <alignment horizontal="right" vertical="center" indent="1"/>
    </xf>
    <xf numFmtId="166" fontId="25" fillId="33" borderId="52" xfId="0" applyNumberFormat="1" applyFont="1" applyFill="1" applyBorder="1" applyAlignment="1" applyProtection="1">
      <alignment horizontal="right" vertical="center" indent="1"/>
    </xf>
    <xf numFmtId="166" fontId="25" fillId="33" borderId="53" xfId="0" applyNumberFormat="1" applyFont="1" applyFill="1" applyBorder="1" applyAlignment="1" applyProtection="1">
      <alignment horizontal="right" vertical="center" indent="1"/>
    </xf>
    <xf numFmtId="0" fontId="19" fillId="34" borderId="12" xfId="0" applyFont="1" applyFill="1" applyBorder="1" applyAlignment="1" applyProtection="1">
      <alignment horizontal="center" vertical="center"/>
    </xf>
    <xf numFmtId="0" fontId="19" fillId="34" borderId="13" xfId="0" applyFont="1" applyFill="1" applyBorder="1" applyAlignment="1" applyProtection="1">
      <alignment horizontal="center" vertical="center"/>
    </xf>
    <xf numFmtId="0" fontId="19" fillId="34" borderId="14" xfId="0" applyFont="1" applyFill="1" applyBorder="1" applyAlignment="1" applyProtection="1">
      <alignment horizontal="center" vertical="center"/>
    </xf>
    <xf numFmtId="0" fontId="25" fillId="29" borderId="32" xfId="0" applyFont="1" applyFill="1" applyBorder="1" applyAlignment="1" applyProtection="1">
      <alignment horizontal="left" vertical="center" indent="1"/>
    </xf>
    <xf numFmtId="0" fontId="25" fillId="29" borderId="33" xfId="0" applyFont="1" applyFill="1" applyBorder="1" applyAlignment="1" applyProtection="1">
      <alignment horizontal="left" vertical="center" indent="1"/>
    </xf>
    <xf numFmtId="0" fontId="25" fillId="29" borderId="46" xfId="0" applyFont="1" applyFill="1" applyBorder="1" applyAlignment="1" applyProtection="1">
      <alignment horizontal="left" vertical="center" indent="1"/>
    </xf>
    <xf numFmtId="166" fontId="25" fillId="33" borderId="36" xfId="0" applyNumberFormat="1" applyFont="1" applyFill="1" applyBorder="1" applyAlignment="1" applyProtection="1">
      <alignment horizontal="right" vertical="center" indent="1"/>
    </xf>
    <xf numFmtId="166" fontId="25" fillId="33" borderId="22" xfId="0" applyNumberFormat="1" applyFont="1" applyFill="1" applyBorder="1" applyAlignment="1" applyProtection="1">
      <alignment horizontal="right" vertical="center" indent="1"/>
    </xf>
    <xf numFmtId="166" fontId="25" fillId="33" borderId="21" xfId="0" applyNumberFormat="1" applyFont="1" applyFill="1" applyBorder="1" applyAlignment="1" applyProtection="1">
      <alignment horizontal="right" vertical="center" indent="1"/>
    </xf>
    <xf numFmtId="0" fontId="25" fillId="29" borderId="34" xfId="0" applyFont="1" applyFill="1" applyBorder="1" applyAlignment="1" applyProtection="1">
      <alignment horizontal="left" vertical="center" indent="1"/>
    </xf>
    <xf numFmtId="0" fontId="25" fillId="29" borderId="35" xfId="0" applyFont="1" applyFill="1" applyBorder="1" applyAlignment="1" applyProtection="1">
      <alignment horizontal="left" vertical="center" indent="1"/>
    </xf>
    <xf numFmtId="0" fontId="25" fillId="29" borderId="47" xfId="0" applyFont="1" applyFill="1" applyBorder="1" applyAlignment="1" applyProtection="1">
      <alignment horizontal="left" vertical="center" indent="1"/>
    </xf>
    <xf numFmtId="166" fontId="25" fillId="33" borderId="37" xfId="0" applyNumberFormat="1" applyFont="1" applyFill="1" applyBorder="1" applyAlignment="1" applyProtection="1">
      <alignment horizontal="right" vertical="center" indent="1"/>
    </xf>
    <xf numFmtId="166" fontId="25" fillId="33" borderId="27" xfId="0" applyNumberFormat="1" applyFont="1" applyFill="1" applyBorder="1" applyAlignment="1" applyProtection="1">
      <alignment horizontal="right" vertical="center" indent="1"/>
    </xf>
    <xf numFmtId="166" fontId="25" fillId="33" borderId="26" xfId="0" applyNumberFormat="1" applyFont="1" applyFill="1" applyBorder="1" applyAlignment="1" applyProtection="1">
      <alignment horizontal="right" vertical="center" indent="1"/>
    </xf>
    <xf numFmtId="0" fontId="25" fillId="29" borderId="28" xfId="0" applyFont="1" applyFill="1" applyBorder="1" applyAlignment="1" applyProtection="1">
      <alignment horizontal="left" vertical="center" indent="1"/>
    </xf>
    <xf numFmtId="0" fontId="25" fillId="29" borderId="29" xfId="0" applyFont="1" applyFill="1" applyBorder="1" applyAlignment="1" applyProtection="1">
      <alignment horizontal="left" vertical="center" indent="1"/>
    </xf>
    <xf numFmtId="0" fontId="25" fillId="29" borderId="49" xfId="0" applyFont="1" applyFill="1" applyBorder="1" applyAlignment="1" applyProtection="1">
      <alignment horizontal="left" vertical="center" indent="1"/>
    </xf>
    <xf numFmtId="166" fontId="25" fillId="33" borderId="50" xfId="0" applyNumberFormat="1" applyFont="1" applyFill="1" applyBorder="1" applyAlignment="1" applyProtection="1">
      <alignment horizontal="right" vertical="center" indent="1"/>
    </xf>
    <xf numFmtId="166" fontId="25" fillId="33" borderId="39" xfId="0" applyNumberFormat="1" applyFont="1" applyFill="1" applyBorder="1" applyAlignment="1" applyProtection="1">
      <alignment horizontal="right" vertical="center" indent="1"/>
    </xf>
    <xf numFmtId="166" fontId="25" fillId="33" borderId="40" xfId="0" applyNumberFormat="1" applyFont="1" applyFill="1" applyBorder="1" applyAlignment="1" applyProtection="1">
      <alignment horizontal="right" vertical="center" indent="1"/>
    </xf>
    <xf numFmtId="38" fontId="25" fillId="39" borderId="89" xfId="0" applyNumberFormat="1" applyFont="1" applyFill="1" applyBorder="1" applyAlignment="1" applyProtection="1">
      <alignment horizontal="right" vertical="center" indent="1"/>
    </xf>
    <xf numFmtId="38" fontId="25" fillId="39" borderId="83" xfId="0" applyNumberFormat="1" applyFont="1" applyFill="1" applyBorder="1" applyAlignment="1" applyProtection="1">
      <alignment horizontal="right" vertical="center" indent="1"/>
    </xf>
    <xf numFmtId="38" fontId="25" fillId="39" borderId="85" xfId="0" applyNumberFormat="1" applyFont="1" applyFill="1" applyBorder="1" applyAlignment="1" applyProtection="1">
      <alignment horizontal="right" vertical="center" indent="1"/>
    </xf>
    <xf numFmtId="38" fontId="25" fillId="39" borderId="87" xfId="0" applyNumberFormat="1" applyFont="1" applyFill="1" applyBorder="1" applyAlignment="1" applyProtection="1">
      <alignment horizontal="right" vertical="center" indent="1"/>
    </xf>
    <xf numFmtId="38" fontId="25" fillId="39" borderId="88" xfId="0" applyNumberFormat="1" applyFont="1" applyFill="1" applyBorder="1" applyAlignment="1" applyProtection="1">
      <alignment horizontal="right" vertical="center" indent="1"/>
    </xf>
    <xf numFmtId="38" fontId="25" fillId="39" borderId="78" xfId="0" applyNumberFormat="1" applyFont="1" applyFill="1" applyBorder="1" applyAlignment="1" applyProtection="1">
      <alignment horizontal="right" vertical="center" indent="1"/>
    </xf>
    <xf numFmtId="38" fontId="25" fillId="39" borderId="90" xfId="0" applyNumberFormat="1" applyFont="1" applyFill="1" applyBorder="1" applyAlignment="1" applyProtection="1">
      <alignment horizontal="right" vertical="center" indent="1"/>
    </xf>
    <xf numFmtId="38" fontId="25" fillId="39" borderId="79" xfId="0" applyNumberFormat="1" applyFont="1" applyFill="1" applyBorder="1" applyAlignment="1" applyProtection="1">
      <alignment horizontal="right" vertical="center" indent="1"/>
    </xf>
    <xf numFmtId="38" fontId="25" fillId="39" borderId="84" xfId="0" applyNumberFormat="1" applyFont="1" applyFill="1" applyBorder="1" applyAlignment="1" applyProtection="1">
      <alignment horizontal="right" vertical="center" indent="1"/>
    </xf>
    <xf numFmtId="38" fontId="25" fillId="39" borderId="47" xfId="0" applyNumberFormat="1" applyFont="1" applyFill="1" applyBorder="1" applyAlignment="1" applyProtection="1">
      <alignment horizontal="right" vertical="center" indent="1"/>
    </xf>
    <xf numFmtId="38" fontId="25" fillId="39" borderId="34" xfId="0" applyNumberFormat="1" applyFont="1" applyFill="1" applyBorder="1" applyAlignment="1" applyProtection="1">
      <alignment horizontal="right" vertical="center" indent="1"/>
    </xf>
    <xf numFmtId="38" fontId="25" fillId="39" borderId="81" xfId="0" applyNumberFormat="1" applyFont="1" applyFill="1" applyBorder="1" applyAlignment="1" applyProtection="1">
      <alignment horizontal="right" vertical="center" indent="1"/>
    </xf>
    <xf numFmtId="0" fontId="34" fillId="29" borderId="0" xfId="1" applyFont="1" applyAlignment="1" applyProtection="1">
      <alignment horizontal="center"/>
    </xf>
    <xf numFmtId="0" fontId="26" fillId="36" borderId="65" xfId="0" applyFont="1" applyFill="1" applyBorder="1" applyAlignment="1" applyProtection="1">
      <alignment horizontal="left" vertical="center" indent="1"/>
    </xf>
    <xf numFmtId="0" fontId="26" fillId="36" borderId="66" xfId="0" applyFont="1" applyFill="1" applyBorder="1" applyAlignment="1" applyProtection="1">
      <alignment horizontal="left" vertical="center" indent="1"/>
    </xf>
    <xf numFmtId="0" fontId="26" fillId="36" borderId="67" xfId="0" applyFont="1" applyFill="1" applyBorder="1" applyAlignment="1" applyProtection="1">
      <alignment horizontal="left" vertical="center" indent="1"/>
    </xf>
    <xf numFmtId="0" fontId="24" fillId="29" borderId="0" xfId="0" applyFont="1" applyFill="1" applyAlignment="1" applyProtection="1">
      <alignment horizontal="left" vertical="center" wrapText="1" indent="2"/>
    </xf>
    <xf numFmtId="0" fontId="26" fillId="8" borderId="8" xfId="15" applyBorder="1" applyAlignment="1" applyProtection="1">
      <alignment horizontal="center" vertical="center"/>
    </xf>
    <xf numFmtId="0" fontId="26" fillId="8" borderId="18" xfId="15" applyBorder="1" applyAlignment="1" applyProtection="1">
      <alignment horizontal="center" vertical="center"/>
    </xf>
    <xf numFmtId="0" fontId="26" fillId="8" borderId="6" xfId="15" applyBorder="1" applyAlignment="1" applyProtection="1">
      <alignment horizontal="center" vertical="center"/>
    </xf>
    <xf numFmtId="0" fontId="19" fillId="35" borderId="11" xfId="0" applyFont="1" applyFill="1" applyBorder="1" applyAlignment="1" applyProtection="1">
      <alignment horizontal="center" vertical="center"/>
    </xf>
    <xf numFmtId="0" fontId="19" fillId="35" borderId="19" xfId="0" applyFont="1" applyFill="1" applyBorder="1" applyAlignment="1" applyProtection="1">
      <alignment horizontal="center" vertical="center"/>
    </xf>
    <xf numFmtId="0" fontId="19" fillId="12" borderId="77" xfId="19" applyFont="1" applyBorder="1" applyAlignment="1" applyProtection="1">
      <alignment horizontal="center" vertical="center" wrapText="1"/>
    </xf>
    <xf numFmtId="0" fontId="19" fillId="12" borderId="10" xfId="19" applyFont="1" applyBorder="1" applyAlignment="1" applyProtection="1">
      <alignment horizontal="center" vertical="center" wrapText="1"/>
    </xf>
    <xf numFmtId="0" fontId="19" fillId="12" borderId="70" xfId="19" applyFont="1" applyBorder="1" applyAlignment="1" applyProtection="1">
      <alignment horizontal="center" vertical="center" wrapText="1"/>
    </xf>
    <xf numFmtId="0" fontId="19" fillId="12" borderId="19" xfId="19" applyFont="1" applyBorder="1" applyAlignment="1" applyProtection="1">
      <alignment horizontal="left" vertical="center" indent="1"/>
    </xf>
    <xf numFmtId="0" fontId="19" fillId="12" borderId="9" xfId="19" applyFont="1" applyBorder="1" applyAlignment="1" applyProtection="1">
      <alignment horizontal="left" vertical="center" indent="1"/>
    </xf>
    <xf numFmtId="0" fontId="19" fillId="35" borderId="9" xfId="0" applyFont="1" applyFill="1" applyBorder="1" applyAlignment="1" applyProtection="1">
      <alignment horizontal="center" vertical="center"/>
    </xf>
    <xf numFmtId="0" fontId="19" fillId="12" borderId="11" xfId="19" applyFont="1" applyBorder="1" applyAlignment="1" applyProtection="1">
      <alignment horizontal="center" vertical="center" wrapText="1"/>
    </xf>
    <xf numFmtId="0" fontId="24" fillId="40" borderId="34" xfId="0" applyFont="1" applyFill="1" applyBorder="1" applyAlignment="1" applyProtection="1">
      <alignment horizontal="left" vertical="center" wrapText="1" indent="1"/>
    </xf>
    <xf numFmtId="0" fontId="24" fillId="40" borderId="35" xfId="0" applyFont="1" applyFill="1" applyBorder="1" applyAlignment="1" applyProtection="1">
      <alignment horizontal="left" vertical="center" wrapText="1" indent="1"/>
    </xf>
    <xf numFmtId="0" fontId="24" fillId="40" borderId="35" xfId="0" applyFont="1" applyFill="1" applyBorder="1" applyAlignment="1" applyProtection="1">
      <alignment horizontal="center" vertical="center" wrapText="1"/>
    </xf>
    <xf numFmtId="38" fontId="25" fillId="33" borderId="37" xfId="0" applyNumberFormat="1" applyFont="1" applyFill="1" applyBorder="1" applyAlignment="1" applyProtection="1">
      <alignment horizontal="right" vertical="center" indent="1"/>
    </xf>
    <xf numFmtId="38" fontId="37" fillId="33" borderId="27" xfId="0" applyNumberFormat="1" applyFont="1" applyFill="1" applyBorder="1" applyAlignment="1" applyProtection="1">
      <alignment horizontal="right" vertical="center" indent="1"/>
    </xf>
    <xf numFmtId="38" fontId="37" fillId="33" borderId="26" xfId="0" applyNumberFormat="1" applyFont="1" applyFill="1" applyBorder="1" applyAlignment="1" applyProtection="1">
      <alignment horizontal="right" vertical="center" indent="1"/>
    </xf>
    <xf numFmtId="38" fontId="25" fillId="33" borderId="36" xfId="0" applyNumberFormat="1" applyFont="1" applyFill="1" applyBorder="1" applyAlignment="1" applyProtection="1">
      <alignment horizontal="right" vertical="center" indent="1"/>
    </xf>
    <xf numFmtId="38" fontId="37" fillId="33" borderId="22" xfId="0" applyNumberFormat="1" applyFont="1" applyFill="1" applyBorder="1" applyAlignment="1" applyProtection="1">
      <alignment horizontal="right" vertical="center" indent="1"/>
    </xf>
    <xf numFmtId="38" fontId="37" fillId="33" borderId="21" xfId="0" applyNumberFormat="1" applyFont="1" applyFill="1" applyBorder="1" applyAlignment="1" applyProtection="1">
      <alignment horizontal="right" vertical="center" indent="1"/>
    </xf>
    <xf numFmtId="38" fontId="25" fillId="39" borderId="54" xfId="0" applyNumberFormat="1" applyFont="1" applyFill="1" applyBorder="1" applyAlignment="1" applyProtection="1">
      <alignment horizontal="right" vertical="center" indent="1"/>
    </xf>
    <xf numFmtId="38" fontId="25" fillId="39" borderId="18" xfId="0" applyNumberFormat="1" applyFont="1" applyFill="1" applyBorder="1" applyAlignment="1" applyProtection="1">
      <alignment horizontal="right" vertical="center" indent="1"/>
    </xf>
    <xf numFmtId="38" fontId="25" fillId="39" borderId="55" xfId="0" applyNumberFormat="1" applyFont="1" applyFill="1" applyBorder="1" applyAlignment="1" applyProtection="1">
      <alignment horizontal="right" vertical="center" indent="1"/>
    </xf>
    <xf numFmtId="38" fontId="25" fillId="39" borderId="8" xfId="0" applyNumberFormat="1" applyFont="1" applyFill="1" applyBorder="1" applyAlignment="1" applyProtection="1">
      <alignment horizontal="right" vertical="center" indent="1"/>
    </xf>
    <xf numFmtId="38" fontId="25" fillId="39" borderId="6" xfId="0" applyNumberFormat="1" applyFont="1" applyFill="1" applyBorder="1" applyAlignment="1" applyProtection="1">
      <alignment horizontal="right" vertical="center" indent="1"/>
    </xf>
    <xf numFmtId="0" fontId="24" fillId="40" borderId="34" xfId="0" applyFont="1" applyFill="1" applyBorder="1" applyAlignment="1" applyProtection="1">
      <alignment horizontal="left" vertical="center" indent="1"/>
    </xf>
    <xf numFmtId="0" fontId="24" fillId="40" borderId="35" xfId="0" applyFont="1" applyFill="1" applyBorder="1" applyAlignment="1" applyProtection="1">
      <alignment horizontal="left" vertical="center" indent="1"/>
    </xf>
    <xf numFmtId="0" fontId="24" fillId="29" borderId="34" xfId="0" applyFont="1" applyFill="1" applyBorder="1" applyAlignment="1" applyProtection="1">
      <alignment horizontal="left" vertical="center" wrapText="1" indent="1"/>
    </xf>
    <xf numFmtId="0" fontId="24" fillId="29" borderId="35" xfId="0" applyFont="1" applyFill="1" applyBorder="1" applyAlignment="1" applyProtection="1">
      <alignment horizontal="left" vertical="center" wrapText="1" indent="1"/>
    </xf>
    <xf numFmtId="0" fontId="24" fillId="29" borderId="35" xfId="0" applyFont="1" applyFill="1" applyBorder="1" applyAlignment="1" applyProtection="1">
      <alignment horizontal="center" vertical="center" wrapText="1"/>
    </xf>
    <xf numFmtId="38" fontId="25" fillId="33" borderId="50" xfId="0" applyNumberFormat="1" applyFont="1" applyFill="1" applyBorder="1" applyAlignment="1" applyProtection="1">
      <alignment horizontal="right" vertical="center" indent="1"/>
    </xf>
    <xf numFmtId="38" fontId="37" fillId="33" borderId="39" xfId="0" applyNumberFormat="1" applyFont="1" applyFill="1" applyBorder="1" applyAlignment="1" applyProtection="1">
      <alignment horizontal="right" vertical="center" indent="1"/>
    </xf>
    <xf numFmtId="38" fontId="37" fillId="33" borderId="40" xfId="0" applyNumberFormat="1" applyFont="1" applyFill="1" applyBorder="1" applyAlignment="1" applyProtection="1">
      <alignment horizontal="right" vertical="center" indent="1"/>
    </xf>
    <xf numFmtId="0" fontId="25" fillId="33" borderId="51" xfId="0" applyFont="1" applyFill="1" applyBorder="1" applyAlignment="1" applyProtection="1">
      <alignment horizontal="right" vertical="center" indent="1"/>
    </xf>
    <xf numFmtId="0" fontId="25" fillId="33" borderId="52" xfId="0" applyFont="1" applyFill="1" applyBorder="1" applyAlignment="1" applyProtection="1">
      <alignment horizontal="right" vertical="center" indent="1"/>
    </xf>
    <xf numFmtId="38" fontId="25" fillId="33" borderId="63" xfId="0" applyNumberFormat="1" applyFont="1" applyFill="1" applyBorder="1" applyAlignment="1" applyProtection="1">
      <alignment horizontal="right" vertical="center" indent="1"/>
    </xf>
    <xf numFmtId="38" fontId="25" fillId="33" borderId="48" xfId="0" applyNumberFormat="1" applyFont="1" applyFill="1" applyBorder="1" applyAlignment="1" applyProtection="1">
      <alignment horizontal="right" vertical="center" indent="1"/>
    </xf>
    <xf numFmtId="38" fontId="25" fillId="33" borderId="64" xfId="0" applyNumberFormat="1" applyFont="1" applyFill="1" applyBorder="1" applyAlignment="1" applyProtection="1">
      <alignment horizontal="right" vertical="center" indent="1"/>
    </xf>
    <xf numFmtId="38" fontId="25" fillId="33" borderId="53" xfId="0" applyNumberFormat="1" applyFont="1" applyFill="1" applyBorder="1" applyAlignment="1" applyProtection="1">
      <alignment horizontal="right" vertical="center" indent="1"/>
    </xf>
    <xf numFmtId="0" fontId="24" fillId="40" borderId="85" xfId="0" applyFont="1" applyFill="1" applyBorder="1" applyAlignment="1" applyProtection="1">
      <alignment horizontal="left" vertical="center" wrapText="1" indent="1"/>
    </xf>
    <xf numFmtId="0" fontId="24" fillId="40" borderId="86" xfId="0" applyFont="1" applyFill="1" applyBorder="1" applyAlignment="1" applyProtection="1">
      <alignment horizontal="left" vertical="center" wrapText="1" indent="1"/>
    </xf>
    <xf numFmtId="0" fontId="24" fillId="40" borderId="86" xfId="0" applyFont="1" applyFill="1" applyBorder="1" applyAlignment="1" applyProtection="1">
      <alignment horizontal="center" vertical="center" wrapText="1"/>
    </xf>
    <xf numFmtId="38" fontId="25" fillId="33" borderId="80" xfId="0" applyNumberFormat="1" applyFont="1" applyFill="1" applyBorder="1" applyAlignment="1" applyProtection="1">
      <alignment horizontal="right" vertical="center" indent="1"/>
    </xf>
    <xf numFmtId="38" fontId="25" fillId="33" borderId="78" xfId="0" applyNumberFormat="1" applyFont="1" applyFill="1" applyBorder="1" applyAlignment="1" applyProtection="1">
      <alignment horizontal="right" vertical="center" indent="1"/>
    </xf>
    <xf numFmtId="0" fontId="25" fillId="29" borderId="79" xfId="0" applyFont="1" applyFill="1" applyBorder="1" applyAlignment="1" applyProtection="1">
      <alignment horizontal="left" vertical="center" indent="1"/>
    </xf>
    <xf numFmtId="38" fontId="25" fillId="33" borderId="81" xfId="0" applyNumberFormat="1" applyFont="1" applyFill="1" applyBorder="1" applyAlignment="1" applyProtection="1">
      <alignment horizontal="right" vertical="center" indent="1"/>
    </xf>
    <xf numFmtId="38" fontId="25" fillId="33" borderId="79" xfId="0" applyNumberFormat="1" applyFont="1" applyFill="1" applyBorder="1" applyAlignment="1" applyProtection="1">
      <alignment horizontal="right" vertical="center" indent="1"/>
    </xf>
    <xf numFmtId="38" fontId="25" fillId="33" borderId="51" xfId="0" applyNumberFormat="1" applyFont="1" applyFill="1" applyBorder="1" applyAlignment="1" applyProtection="1">
      <alignment horizontal="right" vertical="center" indent="1"/>
    </xf>
    <xf numFmtId="38" fontId="37" fillId="33" borderId="52" xfId="0" applyNumberFormat="1" applyFont="1" applyFill="1" applyBorder="1" applyAlignment="1" applyProtection="1">
      <alignment horizontal="right" vertical="center" indent="1"/>
    </xf>
    <xf numFmtId="38" fontId="37" fillId="33" borderId="53" xfId="0" applyNumberFormat="1" applyFont="1" applyFill="1" applyBorder="1" applyAlignment="1" applyProtection="1">
      <alignment horizontal="right" vertical="center" indent="1"/>
    </xf>
    <xf numFmtId="0" fontId="24" fillId="29" borderId="0" xfId="0" applyFont="1" applyFill="1" applyAlignment="1" applyProtection="1">
      <alignment horizontal="center" vertical="top" wrapText="1"/>
    </xf>
    <xf numFmtId="38" fontId="25" fillId="39" borderId="80" xfId="0" applyNumberFormat="1" applyFont="1" applyFill="1" applyBorder="1" applyAlignment="1" applyProtection="1">
      <alignment horizontal="right" vertical="center" indent="1"/>
    </xf>
    <xf numFmtId="38" fontId="25" fillId="39" borderId="46" xfId="0" applyNumberFormat="1" applyFont="1" applyFill="1" applyBorder="1" applyAlignment="1" applyProtection="1">
      <alignment horizontal="right" vertical="center" indent="1"/>
    </xf>
    <xf numFmtId="38" fontId="25" fillId="39" borderId="32" xfId="0" applyNumberFormat="1" applyFont="1" applyFill="1" applyBorder="1" applyAlignment="1" applyProtection="1">
      <alignment horizontal="right" vertical="center" indent="1"/>
    </xf>
    <xf numFmtId="0" fontId="25" fillId="29" borderId="78" xfId="0" applyFont="1" applyFill="1" applyBorder="1" applyAlignment="1" applyProtection="1">
      <alignment horizontal="left" vertical="center" indent="1"/>
    </xf>
    <xf numFmtId="0" fontId="25" fillId="29" borderId="83" xfId="0" applyFont="1" applyFill="1" applyBorder="1" applyAlignment="1" applyProtection="1">
      <alignment horizontal="left" vertical="center" indent="1"/>
    </xf>
    <xf numFmtId="0" fontId="25" fillId="29" borderId="85" xfId="0" applyFont="1" applyFill="1" applyBorder="1" applyAlignment="1" applyProtection="1">
      <alignment horizontal="left" vertical="center" indent="1"/>
    </xf>
    <xf numFmtId="38" fontId="25" fillId="33" borderId="75" xfId="0" applyNumberFormat="1" applyFont="1" applyFill="1" applyBorder="1" applyAlignment="1" applyProtection="1">
      <alignment horizontal="right" vertical="center" indent="1"/>
    </xf>
    <xf numFmtId="0" fontId="24" fillId="29" borderId="43" xfId="0" applyFont="1" applyFill="1" applyBorder="1" applyAlignment="1" applyProtection="1">
      <alignment horizontal="left" vertical="center" wrapText="1" indent="1"/>
    </xf>
    <xf numFmtId="38" fontId="25" fillId="38" borderId="80" xfId="0" applyNumberFormat="1" applyFont="1" applyFill="1" applyBorder="1" applyAlignment="1" applyProtection="1">
      <alignment horizontal="right" vertical="center" indent="1"/>
    </xf>
    <xf numFmtId="38" fontId="25" fillId="38" borderId="78" xfId="0" applyNumberFormat="1" applyFont="1" applyFill="1" applyBorder="1" applyAlignment="1" applyProtection="1">
      <alignment horizontal="right" vertical="center" indent="1"/>
    </xf>
    <xf numFmtId="38" fontId="25" fillId="38" borderId="90" xfId="0" applyNumberFormat="1" applyFont="1" applyFill="1" applyBorder="1" applyAlignment="1" applyProtection="1">
      <alignment horizontal="right" vertical="center" indent="1"/>
    </xf>
    <xf numFmtId="38" fontId="25" fillId="38" borderId="87" xfId="0" applyNumberFormat="1" applyFont="1" applyFill="1" applyBorder="1" applyAlignment="1" applyProtection="1">
      <alignment horizontal="right" vertical="center" indent="1"/>
    </xf>
    <xf numFmtId="38" fontId="25" fillId="38" borderId="83" xfId="0" applyNumberFormat="1" applyFont="1" applyFill="1" applyBorder="1" applyAlignment="1" applyProtection="1">
      <alignment horizontal="right" vertical="center" indent="1"/>
    </xf>
    <xf numFmtId="38" fontId="25" fillId="38" borderId="88" xfId="0" applyNumberFormat="1" applyFont="1" applyFill="1" applyBorder="1" applyAlignment="1" applyProtection="1">
      <alignment horizontal="right" vertical="center" indent="1"/>
    </xf>
    <xf numFmtId="38" fontId="25" fillId="38" borderId="89" xfId="0" applyNumberFormat="1" applyFont="1" applyFill="1" applyBorder="1" applyAlignment="1" applyProtection="1">
      <alignment horizontal="right" vertical="center" indent="1"/>
    </xf>
    <xf numFmtId="38" fontId="25" fillId="38" borderId="46" xfId="0" applyNumberFormat="1" applyFont="1" applyFill="1" applyBorder="1" applyAlignment="1" applyProtection="1">
      <alignment horizontal="right" vertical="center" indent="1"/>
    </xf>
    <xf numFmtId="38" fontId="25" fillId="38" borderId="32" xfId="0" applyNumberFormat="1" applyFont="1" applyFill="1" applyBorder="1" applyAlignment="1" applyProtection="1">
      <alignment horizontal="right" vertical="center" indent="1"/>
    </xf>
    <xf numFmtId="38" fontId="25" fillId="38" borderId="47" xfId="0" applyNumberFormat="1" applyFont="1" applyFill="1" applyBorder="1" applyAlignment="1" applyProtection="1">
      <alignment horizontal="right" vertical="center" indent="1"/>
    </xf>
    <xf numFmtId="38" fontId="25" fillId="38" borderId="79" xfId="0" applyNumberFormat="1" applyFont="1" applyFill="1" applyBorder="1" applyAlignment="1" applyProtection="1">
      <alignment horizontal="right" vertical="center" indent="1"/>
    </xf>
    <xf numFmtId="38" fontId="25" fillId="38" borderId="34" xfId="0" applyNumberFormat="1" applyFont="1" applyFill="1" applyBorder="1" applyAlignment="1" applyProtection="1">
      <alignment horizontal="right" vertical="center" indent="1"/>
    </xf>
    <xf numFmtId="38" fontId="25" fillId="38" borderId="81" xfId="0" applyNumberFormat="1" applyFont="1" applyFill="1" applyBorder="1" applyAlignment="1" applyProtection="1">
      <alignment horizontal="right" vertical="center" indent="1"/>
    </xf>
    <xf numFmtId="38" fontId="25" fillId="38" borderId="84" xfId="0" applyNumberFormat="1" applyFont="1" applyFill="1" applyBorder="1" applyAlignment="1" applyProtection="1">
      <alignment horizontal="right" vertical="center" indent="1"/>
    </xf>
    <xf numFmtId="0" fontId="26" fillId="34" borderId="0" xfId="0" quotePrefix="1" applyFont="1" applyFill="1" applyAlignment="1" applyProtection="1">
      <alignment horizontal="left" vertical="center" indent="1"/>
      <protection locked="0"/>
    </xf>
    <xf numFmtId="0" fontId="25" fillId="40" borderId="44" xfId="0" quotePrefix="1" applyFont="1" applyFill="1" applyBorder="1" applyAlignment="1" applyProtection="1">
      <alignment horizontal="left" vertical="center" indent="1"/>
    </xf>
    <xf numFmtId="0" fontId="25" fillId="40" borderId="0" xfId="0" quotePrefix="1" applyFont="1" applyFill="1" applyAlignment="1" applyProtection="1">
      <alignment horizontal="left" vertical="center" indent="1"/>
    </xf>
    <xf numFmtId="0" fontId="24" fillId="29" borderId="45" xfId="0" applyFont="1" applyFill="1" applyBorder="1" applyAlignment="1" applyProtection="1">
      <alignment horizontal="left" vertical="center" indent="1"/>
    </xf>
    <xf numFmtId="0" fontId="24" fillId="29" borderId="0" xfId="0" applyFont="1" applyFill="1" applyAlignment="1" applyProtection="1">
      <alignment horizontal="left" vertical="center" indent="1"/>
    </xf>
    <xf numFmtId="38" fontId="25" fillId="38" borderId="85" xfId="0" applyNumberFormat="1" applyFont="1" applyFill="1" applyBorder="1" applyAlignment="1" applyProtection="1">
      <alignment horizontal="right" vertical="center" indent="1"/>
    </xf>
    <xf numFmtId="0" fontId="24" fillId="29" borderId="82" xfId="0" applyFont="1" applyFill="1" applyBorder="1" applyAlignment="1" applyProtection="1">
      <alignment horizontal="center" vertical="top" wrapText="1"/>
    </xf>
    <xf numFmtId="0" fontId="24" fillId="29" borderId="10" xfId="0" applyFont="1" applyFill="1" applyBorder="1" applyAlignment="1" applyProtection="1">
      <alignment horizontal="center" vertical="top" wrapText="1"/>
    </xf>
    <xf numFmtId="0" fontId="35" fillId="34" borderId="5" xfId="0" applyFont="1" applyFill="1" applyBorder="1" applyAlignment="1" applyProtection="1">
      <alignment horizontal="right" vertical="center" indent="1"/>
    </xf>
    <xf numFmtId="0" fontId="35" fillId="34" borderId="12" xfId="0" applyFont="1" applyFill="1" applyBorder="1" applyAlignment="1" applyProtection="1">
      <alignment horizontal="center" vertical="center"/>
    </xf>
    <xf numFmtId="0" fontId="35" fillId="34" borderId="13" xfId="0" applyFont="1" applyFill="1" applyBorder="1" applyAlignment="1" applyProtection="1">
      <alignment horizontal="center" vertical="center"/>
    </xf>
    <xf numFmtId="0" fontId="35" fillId="34" borderId="14" xfId="0" applyFont="1" applyFill="1" applyBorder="1" applyAlignment="1" applyProtection="1">
      <alignment horizontal="center" vertical="center"/>
    </xf>
    <xf numFmtId="0" fontId="36" fillId="12" borderId="19" xfId="19" applyFont="1" applyBorder="1" applyAlignment="1" applyProtection="1">
      <alignment horizontal="left" vertical="center" indent="1"/>
    </xf>
    <xf numFmtId="0" fontId="36" fillId="12" borderId="9" xfId="19" applyFont="1" applyBorder="1" applyAlignment="1" applyProtection="1">
      <alignment horizontal="left" vertical="center" indent="1"/>
    </xf>
    <xf numFmtId="6" fontId="25" fillId="33" borderId="48" xfId="0" applyNumberFormat="1" applyFont="1" applyFill="1" applyBorder="1" applyAlignment="1" applyProtection="1">
      <alignment horizontal="right" vertical="center" indent="1"/>
    </xf>
    <xf numFmtId="6" fontId="25" fillId="33" borderId="64" xfId="0" applyNumberFormat="1" applyFont="1" applyFill="1" applyBorder="1" applyAlignment="1" applyProtection="1">
      <alignment horizontal="right" vertical="center" indent="1"/>
    </xf>
    <xf numFmtId="6" fontId="25" fillId="33" borderId="52" xfId="0" applyNumberFormat="1" applyFont="1" applyFill="1" applyBorder="1" applyAlignment="1" applyProtection="1">
      <alignment horizontal="right" vertical="center" indent="1"/>
    </xf>
    <xf numFmtId="6" fontId="25" fillId="33" borderId="53" xfId="0" applyNumberFormat="1" applyFont="1" applyFill="1" applyBorder="1" applyAlignment="1" applyProtection="1">
      <alignment horizontal="right" vertical="center" indent="1"/>
    </xf>
    <xf numFmtId="38" fontId="25" fillId="39" borderId="61" xfId="0" applyNumberFormat="1" applyFont="1" applyFill="1" applyBorder="1" applyAlignment="1" applyProtection="1">
      <alignment horizontal="right" vertical="center" indent="1"/>
    </xf>
    <xf numFmtId="38" fontId="25" fillId="39" borderId="62" xfId="0" applyNumberFormat="1" applyFont="1" applyFill="1" applyBorder="1" applyAlignment="1" applyProtection="1">
      <alignment horizontal="right" vertical="center" indent="1"/>
    </xf>
    <xf numFmtId="6" fontId="25" fillId="33" borderId="39" xfId="0" applyNumberFormat="1" applyFont="1" applyFill="1" applyBorder="1" applyAlignment="1" applyProtection="1">
      <alignment horizontal="right" vertical="center" indent="1"/>
    </xf>
    <xf numFmtId="6" fontId="25" fillId="33" borderId="40" xfId="0" applyNumberFormat="1" applyFont="1" applyFill="1" applyBorder="1" applyAlignment="1" applyProtection="1">
      <alignment horizontal="right" vertical="center" indent="1"/>
    </xf>
    <xf numFmtId="6" fontId="25" fillId="33" borderId="63" xfId="0" applyNumberFormat="1" applyFont="1" applyFill="1" applyBorder="1" applyAlignment="1" applyProtection="1">
      <alignment horizontal="right" vertical="center" indent="1"/>
    </xf>
    <xf numFmtId="166" fontId="25" fillId="33" borderId="37" xfId="0" applyNumberFormat="1" applyFont="1" applyFill="1" applyBorder="1" applyAlignment="1" applyProtection="1">
      <alignment horizontal="right" vertical="center" indent="1"/>
      <protection hidden="1"/>
    </xf>
    <xf numFmtId="166" fontId="25" fillId="33" borderId="27" xfId="0" applyNumberFormat="1" applyFont="1" applyFill="1" applyBorder="1" applyAlignment="1" applyProtection="1">
      <alignment horizontal="right" vertical="center" indent="1"/>
      <protection hidden="1"/>
    </xf>
    <xf numFmtId="166" fontId="25" fillId="33" borderId="26" xfId="0" applyNumberFormat="1" applyFont="1" applyFill="1" applyBorder="1" applyAlignment="1" applyProtection="1">
      <alignment horizontal="right" vertical="center" indent="1"/>
      <protection hidden="1"/>
    </xf>
    <xf numFmtId="166" fontId="25" fillId="33" borderId="38" xfId="0" applyNumberFormat="1" applyFont="1" applyFill="1" applyBorder="1" applyAlignment="1" applyProtection="1">
      <alignment horizontal="right" vertical="center" indent="1"/>
      <protection hidden="1"/>
    </xf>
    <xf numFmtId="166" fontId="25" fillId="33" borderId="31" xfId="0" applyNumberFormat="1" applyFont="1" applyFill="1" applyBorder="1" applyAlignment="1" applyProtection="1">
      <alignment horizontal="right" vertical="center" indent="1"/>
      <protection hidden="1"/>
    </xf>
    <xf numFmtId="166" fontId="25" fillId="33" borderId="30" xfId="0" applyNumberFormat="1" applyFont="1" applyFill="1" applyBorder="1" applyAlignment="1" applyProtection="1">
      <alignment horizontal="right" vertical="center" indent="1"/>
      <protection hidden="1"/>
    </xf>
    <xf numFmtId="38" fontId="25" fillId="39" borderId="25" xfId="0" applyNumberFormat="1" applyFont="1" applyFill="1" applyBorder="1" applyAlignment="1" applyProtection="1">
      <alignment horizontal="right" vertical="center" indent="1"/>
    </xf>
    <xf numFmtId="38" fontId="25" fillId="39" borderId="59" xfId="0" applyNumberFormat="1" applyFont="1" applyFill="1" applyBorder="1" applyAlignment="1" applyProtection="1">
      <alignment horizontal="right" vertical="center" indent="1"/>
    </xf>
    <xf numFmtId="6" fontId="25" fillId="33" borderId="27" xfId="0" applyNumberFormat="1" applyFont="1" applyFill="1" applyBorder="1" applyAlignment="1" applyProtection="1">
      <alignment horizontal="right" vertical="center" indent="1"/>
    </xf>
    <xf numFmtId="6" fontId="25" fillId="33" borderId="26" xfId="0" applyNumberFormat="1" applyFont="1" applyFill="1" applyBorder="1" applyAlignment="1" applyProtection="1">
      <alignment horizontal="right" vertical="center" indent="1"/>
    </xf>
    <xf numFmtId="38" fontId="25" fillId="39" borderId="60" xfId="0" applyNumberFormat="1" applyFont="1" applyFill="1" applyBorder="1" applyAlignment="1" applyProtection="1">
      <alignment horizontal="right" vertical="center" indent="1"/>
    </xf>
    <xf numFmtId="38" fontId="25" fillId="39" borderId="58" xfId="0" applyNumberFormat="1" applyFont="1" applyFill="1" applyBorder="1" applyAlignment="1" applyProtection="1">
      <alignment horizontal="right" vertical="center" indent="1"/>
    </xf>
    <xf numFmtId="0" fontId="36" fillId="12" borderId="77" xfId="19" applyFont="1" applyBorder="1" applyAlignment="1" applyProtection="1">
      <alignment horizontal="center" vertical="center" wrapText="1"/>
    </xf>
    <xf numFmtId="0" fontId="36" fillId="12" borderId="10" xfId="19" applyFont="1" applyBorder="1" applyAlignment="1" applyProtection="1">
      <alignment horizontal="center" vertical="center" wrapText="1"/>
    </xf>
    <xf numFmtId="0" fontId="36" fillId="12" borderId="11" xfId="19" applyFont="1" applyBorder="1" applyAlignment="1" applyProtection="1">
      <alignment horizontal="center" vertical="center" wrapText="1"/>
    </xf>
    <xf numFmtId="0" fontId="27" fillId="29" borderId="0" xfId="1" applyFont="1" applyAlignment="1" applyProtection="1">
      <alignment horizontal="center"/>
    </xf>
    <xf numFmtId="38" fontId="25" fillId="39" borderId="56" xfId="0" applyNumberFormat="1" applyFont="1" applyFill="1" applyBorder="1" applyAlignment="1" applyProtection="1">
      <alignment horizontal="right" vertical="center" indent="1"/>
    </xf>
    <xf numFmtId="38" fontId="25" fillId="39" borderId="20" xfId="0" applyNumberFormat="1" applyFont="1" applyFill="1" applyBorder="1" applyAlignment="1" applyProtection="1">
      <alignment horizontal="right" vertical="center" indent="1"/>
    </xf>
    <xf numFmtId="38" fontId="25" fillId="39" borderId="57" xfId="0" applyNumberFormat="1" applyFont="1" applyFill="1" applyBorder="1" applyAlignment="1" applyProtection="1">
      <alignment horizontal="right" vertical="center" indent="1"/>
    </xf>
    <xf numFmtId="6" fontId="25" fillId="33" borderId="22" xfId="0" applyNumberFormat="1" applyFont="1" applyFill="1" applyBorder="1" applyAlignment="1" applyProtection="1">
      <alignment horizontal="right" vertical="center" indent="1"/>
    </xf>
    <xf numFmtId="6" fontId="25" fillId="33" borderId="21" xfId="0" applyNumberFormat="1" applyFont="1" applyFill="1" applyBorder="1" applyAlignment="1" applyProtection="1">
      <alignment horizontal="right" vertical="center" indent="1"/>
    </xf>
    <xf numFmtId="0" fontId="36" fillId="12" borderId="9" xfId="19" applyFont="1" applyBorder="1" applyAlignment="1" applyProtection="1">
      <alignment horizontal="center" vertical="center"/>
    </xf>
    <xf numFmtId="0" fontId="36" fillId="12" borderId="10" xfId="19" applyFont="1" applyBorder="1" applyAlignment="1" applyProtection="1">
      <alignment horizontal="center" vertical="center"/>
    </xf>
    <xf numFmtId="0" fontId="36" fillId="12" borderId="70" xfId="19" applyFont="1" applyBorder="1" applyAlignment="1" applyProtection="1">
      <alignment horizontal="center" vertical="center"/>
    </xf>
    <xf numFmtId="0" fontId="36" fillId="29" borderId="0" xfId="0" quotePrefix="1" applyFont="1" applyFill="1" applyAlignment="1" applyProtection="1">
      <alignment horizontal="center" vertical="center"/>
    </xf>
    <xf numFmtId="0" fontId="19" fillId="34" borderId="6" xfId="0" applyFont="1" applyFill="1" applyBorder="1" applyAlignment="1" applyProtection="1">
      <alignment horizontal="left" vertical="center" wrapText="1" indent="1"/>
    </xf>
    <xf numFmtId="0" fontId="19" fillId="34" borderId="7" xfId="0" applyFont="1" applyFill="1" applyBorder="1" applyAlignment="1" applyProtection="1">
      <alignment horizontal="left" vertical="center" indent="1"/>
    </xf>
    <xf numFmtId="0" fontId="19" fillId="34" borderId="8" xfId="0" applyFont="1" applyFill="1" applyBorder="1" applyAlignment="1" applyProtection="1">
      <alignment horizontal="left" vertical="center" indent="1"/>
    </xf>
    <xf numFmtId="0" fontId="24" fillId="37" borderId="15" xfId="0" applyFont="1" applyFill="1" applyBorder="1" applyAlignment="1" applyProtection="1">
      <alignment horizontal="left" vertical="center" wrapText="1" indent="1"/>
    </xf>
    <xf numFmtId="0" fontId="24" fillId="37" borderId="0" xfId="0" applyFont="1" applyFill="1" applyAlignment="1" applyProtection="1">
      <alignment horizontal="left" vertical="center" wrapText="1" indent="1"/>
    </xf>
    <xf numFmtId="0" fontId="24" fillId="37" borderId="9" xfId="0" applyFont="1" applyFill="1" applyBorder="1" applyAlignment="1" applyProtection="1">
      <alignment horizontal="left" vertical="center" wrapText="1" indent="1"/>
    </xf>
    <xf numFmtId="0" fontId="24" fillId="37" borderId="10" xfId="0" applyFont="1" applyFill="1" applyBorder="1" applyAlignment="1" applyProtection="1">
      <alignment horizontal="left" vertical="center" wrapText="1" indent="1"/>
    </xf>
    <xf numFmtId="0" fontId="36" fillId="8" borderId="8" xfId="15" applyFont="1" applyBorder="1" applyAlignment="1" applyProtection="1">
      <alignment horizontal="center" vertical="center"/>
    </xf>
    <xf numFmtId="0" fontId="36" fillId="8" borderId="18" xfId="15" applyFont="1" applyBorder="1" applyAlignment="1" applyProtection="1">
      <alignment horizontal="center" vertical="center"/>
    </xf>
    <xf numFmtId="0" fontId="36" fillId="8" borderId="6" xfId="15" applyFont="1" applyBorder="1" applyAlignment="1" applyProtection="1">
      <alignment horizontal="center" vertical="center"/>
    </xf>
    <xf numFmtId="0" fontId="36" fillId="12" borderId="70" xfId="19" applyFont="1" applyBorder="1" applyAlignment="1" applyProtection="1">
      <alignment horizontal="center" vertical="center" wrapText="1"/>
    </xf>
    <xf numFmtId="0" fontId="19" fillId="36" borderId="17" xfId="0" applyFont="1" applyFill="1" applyBorder="1" applyAlignment="1" applyProtection="1">
      <alignment horizontal="left" vertical="center" indent="1"/>
    </xf>
    <xf numFmtId="0" fontId="19" fillId="36" borderId="0" xfId="0" applyFont="1" applyFill="1" applyAlignment="1" applyProtection="1">
      <alignment horizontal="left" vertical="center" indent="1"/>
    </xf>
    <xf numFmtId="0" fontId="19" fillId="34" borderId="0" xfId="0" applyFont="1" applyFill="1" applyAlignment="1" applyProtection="1">
      <alignment horizontal="left" vertical="center" indent="1"/>
    </xf>
    <xf numFmtId="0" fontId="24" fillId="29" borderId="0" xfId="0" quotePrefix="1" applyFont="1" applyFill="1" applyAlignment="1" applyProtection="1">
      <alignment horizontal="left" vertical="top" wrapText="1"/>
    </xf>
    <xf numFmtId="0" fontId="24" fillId="29" borderId="0" xfId="0" applyFont="1" applyFill="1" applyAlignment="1" applyProtection="1">
      <alignment horizontal="left" vertical="top" wrapText="1"/>
    </xf>
    <xf numFmtId="166" fontId="25" fillId="33" borderId="36" xfId="0" applyNumberFormat="1" applyFont="1" applyFill="1" applyBorder="1" applyAlignment="1" applyProtection="1">
      <alignment horizontal="right" vertical="center" indent="1"/>
      <protection hidden="1"/>
    </xf>
    <xf numFmtId="166" fontId="25" fillId="33" borderId="22" xfId="0" applyNumberFormat="1" applyFont="1" applyFill="1" applyBorder="1" applyAlignment="1" applyProtection="1">
      <alignment horizontal="right" vertical="center" indent="1"/>
      <protection hidden="1"/>
    </xf>
    <xf numFmtId="166" fontId="25" fillId="33" borderId="21" xfId="0" applyNumberFormat="1" applyFont="1" applyFill="1" applyBorder="1" applyAlignment="1" applyProtection="1">
      <alignment horizontal="right" vertical="center" indent="1"/>
      <protection hidden="1"/>
    </xf>
    <xf numFmtId="0" fontId="19" fillId="8" borderId="8" xfId="15" applyFont="1" applyBorder="1" applyAlignment="1" applyProtection="1">
      <alignment horizontal="center" vertical="center"/>
    </xf>
    <xf numFmtId="0" fontId="19" fillId="8" borderId="18" xfId="15" applyFont="1" applyBorder="1" applyAlignment="1" applyProtection="1">
      <alignment horizontal="center" vertical="center"/>
    </xf>
    <xf numFmtId="0" fontId="19" fillId="8" borderId="6" xfId="15" applyFont="1" applyBorder="1" applyAlignment="1" applyProtection="1">
      <alignment horizontal="center" vertical="center"/>
    </xf>
    <xf numFmtId="0" fontId="25" fillId="33" borderId="51" xfId="0" applyFont="1" applyFill="1" applyBorder="1" applyAlignment="1">
      <alignment horizontal="center" vertical="center"/>
    </xf>
    <xf numFmtId="0" fontId="25" fillId="33" borderId="52" xfId="0" applyFont="1" applyFill="1" applyBorder="1" applyAlignment="1">
      <alignment horizontal="center" vertical="center"/>
    </xf>
    <xf numFmtId="166" fontId="25" fillId="33" borderId="52" xfId="0" applyNumberFormat="1" applyFont="1" applyFill="1" applyBorder="1" applyAlignment="1">
      <alignment horizontal="right" vertical="center" indent="1"/>
    </xf>
    <xf numFmtId="166" fontId="25" fillId="33" borderId="53" xfId="0" applyNumberFormat="1" applyFont="1" applyFill="1" applyBorder="1" applyAlignment="1">
      <alignment horizontal="right" vertical="center" indent="1"/>
    </xf>
    <xf numFmtId="0" fontId="24" fillId="38" borderId="15" xfId="0" applyFont="1" applyFill="1" applyBorder="1" applyAlignment="1">
      <alignment horizontal="left" vertical="center" indent="1"/>
    </xf>
    <xf numFmtId="0" fontId="24" fillId="38" borderId="0" xfId="0" applyFont="1" applyFill="1" applyAlignment="1">
      <alignment horizontal="left" vertical="center" indent="1"/>
    </xf>
    <xf numFmtId="164" fontId="24" fillId="38" borderId="0" xfId="0" applyNumberFormat="1" applyFont="1" applyFill="1" applyAlignment="1">
      <alignment horizontal="center" vertical="center"/>
    </xf>
    <xf numFmtId="3" fontId="24" fillId="38" borderId="0" xfId="0" applyNumberFormat="1" applyFont="1" applyFill="1" applyAlignment="1" applyProtection="1">
      <alignment horizontal="right" vertical="center" indent="1"/>
      <protection hidden="1"/>
    </xf>
    <xf numFmtId="3" fontId="24" fillId="38" borderId="16" xfId="0" applyNumberFormat="1" applyFont="1" applyFill="1" applyBorder="1" applyAlignment="1" applyProtection="1">
      <alignment horizontal="right" vertical="center" indent="1"/>
      <protection hidden="1"/>
    </xf>
    <xf numFmtId="0" fontId="24" fillId="29" borderId="15" xfId="0" applyFont="1" applyFill="1" applyBorder="1" applyAlignment="1">
      <alignment horizontal="left" vertical="center" indent="1"/>
    </xf>
    <xf numFmtId="0" fontId="24" fillId="29" borderId="0" xfId="0" applyFont="1" applyFill="1" applyAlignment="1">
      <alignment horizontal="left" vertical="center" indent="1"/>
    </xf>
    <xf numFmtId="164" fontId="24" fillId="29" borderId="0" xfId="0" applyNumberFormat="1" applyFont="1" applyFill="1" applyAlignment="1">
      <alignment horizontal="center" vertical="center"/>
    </xf>
    <xf numFmtId="3" fontId="24" fillId="29" borderId="0" xfId="0" applyNumberFormat="1" applyFont="1" applyFill="1" applyAlignment="1" applyProtection="1">
      <alignment horizontal="right" vertical="center" indent="1"/>
      <protection hidden="1"/>
    </xf>
    <xf numFmtId="3" fontId="24" fillId="29" borderId="91" xfId="0" applyNumberFormat="1" applyFont="1" applyFill="1" applyBorder="1" applyAlignment="1" applyProtection="1">
      <alignment horizontal="right" vertical="center" indent="1"/>
      <protection hidden="1"/>
    </xf>
    <xf numFmtId="3" fontId="24" fillId="29" borderId="100" xfId="0" applyNumberFormat="1" applyFont="1" applyFill="1" applyBorder="1" applyAlignment="1" applyProtection="1">
      <alignment horizontal="right" vertical="center" indent="1"/>
      <protection hidden="1"/>
    </xf>
    <xf numFmtId="3" fontId="24" fillId="29" borderId="16" xfId="0" applyNumberFormat="1" applyFont="1" applyFill="1" applyBorder="1" applyAlignment="1" applyProtection="1">
      <alignment horizontal="right" vertical="center" indent="1"/>
      <protection hidden="1"/>
    </xf>
    <xf numFmtId="0" fontId="23" fillId="34" borderId="0" xfId="1" applyFont="1" applyFill="1" applyAlignment="1">
      <alignment horizontal="center"/>
    </xf>
    <xf numFmtId="0" fontId="25" fillId="29" borderId="12" xfId="0" applyFont="1" applyFill="1" applyBorder="1" applyAlignment="1">
      <alignment horizontal="left" vertical="center" wrapText="1" indent="1"/>
    </xf>
    <xf numFmtId="0" fontId="25" fillId="29" borderId="13" xfId="0" applyFont="1" applyFill="1" applyBorder="1" applyAlignment="1">
      <alignment horizontal="left" vertical="center" indent="1"/>
    </xf>
    <xf numFmtId="0" fontId="25" fillId="29" borderId="12" xfId="0" applyFont="1" applyFill="1" applyBorder="1" applyAlignment="1">
      <alignment horizontal="left" vertical="center" indent="1"/>
    </xf>
    <xf numFmtId="0" fontId="25" fillId="29" borderId="13" xfId="0" applyFont="1" applyFill="1" applyBorder="1" applyAlignment="1">
      <alignment horizontal="center" vertical="center" wrapText="1"/>
    </xf>
    <xf numFmtId="0" fontId="25" fillId="29" borderId="13" xfId="0" applyFont="1" applyFill="1" applyBorder="1" applyAlignment="1">
      <alignment horizontal="center" vertical="center"/>
    </xf>
    <xf numFmtId="0" fontId="25" fillId="29" borderId="14" xfId="0" applyFont="1" applyFill="1" applyBorder="1" applyAlignment="1">
      <alignment horizontal="center" vertical="center" wrapText="1"/>
    </xf>
    <xf numFmtId="0" fontId="25" fillId="29" borderId="0" xfId="0" applyFont="1" applyFill="1" applyAlignment="1">
      <alignment horizontal="right" vertical="center" indent="1"/>
    </xf>
    <xf numFmtId="0" fontId="48" fillId="29" borderId="0" xfId="41" applyFont="1" applyFill="1" applyAlignment="1">
      <alignment horizontal="left" vertical="center"/>
    </xf>
    <xf numFmtId="0" fontId="24" fillId="29" borderId="0" xfId="0" applyFont="1" applyFill="1" applyAlignment="1">
      <alignment horizontal="left" vertical="center"/>
    </xf>
    <xf numFmtId="0" fontId="26" fillId="35" borderId="12" xfId="0" applyFont="1" applyFill="1" applyBorder="1" applyAlignment="1">
      <alignment horizontal="center" vertical="center"/>
    </xf>
    <xf numFmtId="0" fontId="26" fillId="35" borderId="13" xfId="0" applyFont="1" applyFill="1" applyBorder="1" applyAlignment="1">
      <alignment horizontal="center" vertical="center"/>
    </xf>
    <xf numFmtId="0" fontId="26" fillId="35" borderId="14" xfId="0" applyFont="1" applyFill="1" applyBorder="1" applyAlignment="1">
      <alignment horizontal="center" vertical="center"/>
    </xf>
    <xf numFmtId="0" fontId="49" fillId="29" borderId="0" xfId="0" applyFont="1" applyFill="1" applyAlignment="1">
      <alignment horizontal="left" vertical="center" wrapText="1" indent="1"/>
    </xf>
    <xf numFmtId="0" fontId="45" fillId="40" borderId="0" xfId="1" applyFont="1" applyFill="1" applyAlignment="1" applyProtection="1">
      <alignment horizontal="center" vertical="center"/>
    </xf>
    <xf numFmtId="0" fontId="26" fillId="8" borderId="0" xfId="15" applyAlignment="1" applyProtection="1">
      <alignment horizontal="center" vertical="center"/>
    </xf>
    <xf numFmtId="0" fontId="24" fillId="38" borderId="15" xfId="23" applyFont="1" applyFill="1" applyBorder="1" applyAlignment="1" applyProtection="1">
      <alignment horizontal="left" vertical="center" indent="1"/>
    </xf>
    <xf numFmtId="0" fontId="24" fillId="38" borderId="0" xfId="23" applyFont="1" applyFill="1" applyBorder="1" applyAlignment="1" applyProtection="1">
      <alignment horizontal="left" vertical="center" indent="1"/>
    </xf>
    <xf numFmtId="0" fontId="24" fillId="29" borderId="15" xfId="23" applyFont="1" applyFill="1" applyBorder="1" applyAlignment="1" applyProtection="1">
      <alignment horizontal="left" vertical="center" indent="1"/>
    </xf>
    <xf numFmtId="0" fontId="24" fillId="29" borderId="0" xfId="23" applyFont="1" applyFill="1" applyBorder="1" applyAlignment="1" applyProtection="1">
      <alignment horizontal="left" vertical="center" indent="1"/>
    </xf>
    <xf numFmtId="3" fontId="24" fillId="38" borderId="73" xfId="0" applyNumberFormat="1" applyFont="1" applyFill="1" applyBorder="1" applyAlignment="1" applyProtection="1">
      <alignment horizontal="right" vertical="center" indent="1"/>
      <protection hidden="1"/>
    </xf>
    <xf numFmtId="3" fontId="24" fillId="38" borderId="7" xfId="0" applyNumberFormat="1" applyFont="1" applyFill="1" applyBorder="1" applyAlignment="1" applyProtection="1">
      <alignment horizontal="right" vertical="center" indent="1"/>
      <protection hidden="1"/>
    </xf>
    <xf numFmtId="3" fontId="24" fillId="38" borderId="8" xfId="0" applyNumberFormat="1" applyFont="1" applyFill="1" applyBorder="1" applyAlignment="1" applyProtection="1">
      <alignment horizontal="right" vertical="center" indent="1"/>
      <protection hidden="1"/>
    </xf>
    <xf numFmtId="0" fontId="26" fillId="8" borderId="7" xfId="15" applyBorder="1" applyAlignment="1" applyProtection="1">
      <alignment horizontal="center" wrapText="1"/>
    </xf>
    <xf numFmtId="0" fontId="26" fillId="8" borderId="10" xfId="15" applyBorder="1" applyAlignment="1" applyProtection="1">
      <alignment horizontal="center" wrapText="1"/>
    </xf>
    <xf numFmtId="0" fontId="26" fillId="8" borderId="8" xfId="15" applyBorder="1" applyAlignment="1" applyProtection="1">
      <alignment horizontal="center" wrapText="1"/>
    </xf>
    <xf numFmtId="0" fontId="26" fillId="8" borderId="11" xfId="15" applyBorder="1" applyAlignment="1" applyProtection="1">
      <alignment horizontal="center" wrapText="1"/>
    </xf>
    <xf numFmtId="0" fontId="26" fillId="8" borderId="6" xfId="15" applyBorder="1" applyAlignment="1" applyProtection="1">
      <alignment horizontal="left" wrapText="1" indent="1"/>
    </xf>
    <xf numFmtId="0" fontId="26" fillId="8" borderId="7" xfId="15" applyBorder="1" applyAlignment="1" applyProtection="1">
      <alignment horizontal="left" wrapText="1" indent="1"/>
    </xf>
    <xf numFmtId="0" fontId="26" fillId="8" borderId="9" xfId="15" applyBorder="1" applyAlignment="1" applyProtection="1">
      <alignment horizontal="left" wrapText="1" indent="1"/>
    </xf>
    <xf numFmtId="0" fontId="26" fillId="8" borderId="10" xfId="15" applyBorder="1" applyAlignment="1" applyProtection="1">
      <alignment horizontal="left" wrapText="1" indent="1"/>
    </xf>
    <xf numFmtId="0" fontId="26" fillId="35" borderId="12" xfId="19" applyFill="1" applyBorder="1" applyAlignment="1" applyProtection="1">
      <alignment horizontal="center" vertical="center"/>
    </xf>
    <xf numFmtId="0" fontId="26" fillId="35" borderId="13" xfId="19" applyFill="1" applyBorder="1" applyAlignment="1" applyProtection="1">
      <alignment horizontal="center" vertical="center"/>
    </xf>
    <xf numFmtId="0" fontId="26" fillId="35" borderId="14" xfId="19" applyFill="1" applyBorder="1" applyAlignment="1" applyProtection="1">
      <alignment horizontal="center" vertical="center"/>
    </xf>
    <xf numFmtId="0" fontId="26" fillId="34" borderId="7" xfId="15" applyFill="1" applyBorder="1" applyAlignment="1" applyProtection="1">
      <alignment horizontal="center" wrapText="1"/>
    </xf>
    <xf numFmtId="0" fontId="26" fillId="34" borderId="10" xfId="15" applyFill="1" applyBorder="1" applyAlignment="1" applyProtection="1">
      <alignment horizontal="center" wrapText="1"/>
    </xf>
    <xf numFmtId="3" fontId="24" fillId="38" borderId="68" xfId="0" applyNumberFormat="1" applyFont="1" applyFill="1" applyBorder="1" applyAlignment="1" applyProtection="1">
      <alignment horizontal="right" vertical="center" indent="1"/>
      <protection hidden="1"/>
    </xf>
    <xf numFmtId="0" fontId="24" fillId="29" borderId="9" xfId="23" applyFont="1" applyFill="1" applyBorder="1" applyAlignment="1" applyProtection="1">
      <alignment horizontal="left" vertical="center" indent="1"/>
    </xf>
    <xf numFmtId="0" fontId="24" fillId="29" borderId="10" xfId="23" applyFont="1" applyFill="1" applyBorder="1" applyAlignment="1" applyProtection="1">
      <alignment horizontal="left" vertical="center" indent="1"/>
    </xf>
    <xf numFmtId="164" fontId="24" fillId="38" borderId="0" xfId="23" applyNumberFormat="1" applyFont="1" applyFill="1" applyBorder="1" applyAlignment="1" applyProtection="1">
      <alignment horizontal="center" vertical="center"/>
      <protection hidden="1"/>
    </xf>
    <xf numFmtId="164" fontId="24" fillId="29" borderId="0" xfId="23" applyNumberFormat="1" applyFont="1" applyFill="1" applyBorder="1" applyAlignment="1" applyProtection="1">
      <alignment horizontal="center" vertical="center"/>
      <protection hidden="1"/>
    </xf>
    <xf numFmtId="164" fontId="24" fillId="29" borderId="10" xfId="23" applyNumberFormat="1" applyFont="1" applyFill="1" applyBorder="1" applyAlignment="1" applyProtection="1">
      <alignment horizontal="center" vertical="center"/>
      <protection hidden="1"/>
    </xf>
    <xf numFmtId="3" fontId="24" fillId="29" borderId="77" xfId="0" applyNumberFormat="1" applyFont="1" applyFill="1" applyBorder="1" applyAlignment="1" applyProtection="1">
      <alignment horizontal="right" vertical="center" indent="1"/>
      <protection hidden="1"/>
    </xf>
    <xf numFmtId="3" fontId="24" fillId="29" borderId="10" xfId="0" applyNumberFormat="1" applyFont="1" applyFill="1" applyBorder="1" applyAlignment="1" applyProtection="1">
      <alignment horizontal="right" vertical="center" indent="1"/>
      <protection hidden="1"/>
    </xf>
    <xf numFmtId="3" fontId="24" fillId="29" borderId="70" xfId="0" applyNumberFormat="1" applyFont="1" applyFill="1" applyBorder="1" applyAlignment="1" applyProtection="1">
      <alignment horizontal="right" vertical="center" indent="1"/>
      <protection hidden="1"/>
    </xf>
    <xf numFmtId="3" fontId="24" fillId="29" borderId="74" xfId="0" applyNumberFormat="1" applyFont="1" applyFill="1" applyBorder="1" applyAlignment="1" applyProtection="1">
      <alignment horizontal="right" vertical="center" indent="1"/>
      <protection hidden="1"/>
    </xf>
    <xf numFmtId="3" fontId="24" fillId="29" borderId="69" xfId="0" applyNumberFormat="1" applyFont="1" applyFill="1" applyBorder="1" applyAlignment="1" applyProtection="1">
      <alignment horizontal="right" vertical="center" indent="1"/>
      <protection hidden="1"/>
    </xf>
    <xf numFmtId="3" fontId="24" fillId="38" borderId="74" xfId="0" applyNumberFormat="1" applyFont="1" applyFill="1" applyBorder="1" applyAlignment="1" applyProtection="1">
      <alignment horizontal="right" vertical="center" indent="1"/>
      <protection hidden="1"/>
    </xf>
    <xf numFmtId="3" fontId="24" fillId="38" borderId="69" xfId="0" applyNumberFormat="1" applyFont="1" applyFill="1" applyBorder="1" applyAlignment="1" applyProtection="1">
      <alignment horizontal="right" vertical="center" indent="1"/>
      <protection hidden="1"/>
    </xf>
    <xf numFmtId="3" fontId="24" fillId="29" borderId="11" xfId="0" applyNumberFormat="1" applyFont="1" applyFill="1" applyBorder="1" applyAlignment="1" applyProtection="1">
      <alignment horizontal="right" vertical="center" indent="1"/>
      <protection hidden="1"/>
    </xf>
    <xf numFmtId="0" fontId="24" fillId="29" borderId="72" xfId="36" applyFont="1" applyFill="1" applyBorder="1" applyAlignment="1" applyProtection="1">
      <alignment horizontal="left" vertical="center" indent="1"/>
    </xf>
    <xf numFmtId="0" fontId="36" fillId="28" borderId="0" xfId="36" applyFont="1" applyBorder="1" applyAlignment="1" applyProtection="1">
      <alignment horizontal="left" vertical="center" indent="1"/>
    </xf>
    <xf numFmtId="166" fontId="25" fillId="33" borderId="75" xfId="0" applyNumberFormat="1" applyFont="1" applyFill="1" applyBorder="1" applyAlignment="1" applyProtection="1">
      <alignment horizontal="right" vertical="center" indent="1"/>
    </xf>
    <xf numFmtId="166" fontId="25" fillId="33" borderId="76" xfId="0" applyNumberFormat="1" applyFont="1" applyFill="1" applyBorder="1" applyAlignment="1" applyProtection="1">
      <alignment horizontal="right" vertical="center" indent="1"/>
    </xf>
    <xf numFmtId="0" fontId="24" fillId="28" borderId="71" xfId="36" applyFont="1" applyBorder="1" applyAlignment="1" applyProtection="1">
      <alignment horizontal="left" vertical="center" indent="1"/>
    </xf>
    <xf numFmtId="0" fontId="24" fillId="28" borderId="72" xfId="36" applyFont="1" applyBorder="1" applyAlignment="1" applyProtection="1">
      <alignment horizontal="left" vertical="center" indent="1"/>
    </xf>
    <xf numFmtId="0" fontId="24" fillId="29" borderId="71" xfId="36" applyFont="1" applyFill="1" applyBorder="1" applyAlignment="1" applyProtection="1">
      <alignment horizontal="left" vertical="center" indent="1"/>
    </xf>
    <xf numFmtId="0" fontId="26" fillId="8" borderId="0" xfId="15" applyBorder="1" applyAlignment="1" applyProtection="1">
      <alignment horizontal="center" vertical="center"/>
    </xf>
    <xf numFmtId="0" fontId="40" fillId="29" borderId="0" xfId="1" applyFont="1" applyAlignment="1" applyProtection="1">
      <alignment horizontal="center" wrapText="1"/>
    </xf>
    <xf numFmtId="0" fontId="40" fillId="29" borderId="0" xfId="1" applyFont="1" applyAlignment="1" applyProtection="1">
      <alignment horizontal="center"/>
    </xf>
    <xf numFmtId="0" fontId="25" fillId="33" borderId="51" xfId="23" applyFill="1" applyBorder="1" applyAlignment="1" applyProtection="1">
      <alignment horizontal="left" vertical="center" indent="1"/>
    </xf>
    <xf numFmtId="0" fontId="25" fillId="33" borderId="52" xfId="23" applyFill="1" applyBorder="1" applyAlignment="1" applyProtection="1">
      <alignment horizontal="left" vertical="center" indent="1"/>
    </xf>
    <xf numFmtId="164" fontId="25" fillId="33" borderId="52" xfId="23" applyNumberFormat="1" applyFill="1" applyBorder="1" applyAlignment="1" applyProtection="1">
      <alignment horizontal="center" vertical="center"/>
    </xf>
    <xf numFmtId="0" fontId="18" fillId="0" borderId="0" xfId="0" applyFont="1" applyAlignment="1" applyProtection="1">
      <alignment horizontal="center" vertical="center"/>
    </xf>
    <xf numFmtId="0" fontId="24" fillId="29" borderId="15" xfId="0" applyFont="1" applyFill="1" applyBorder="1" applyAlignment="1" applyProtection="1">
      <alignment horizontal="left" vertical="center" indent="1"/>
    </xf>
    <xf numFmtId="0" fontId="24" fillId="38" borderId="15" xfId="0" applyFont="1" applyFill="1" applyBorder="1" applyAlignment="1" applyProtection="1">
      <alignment horizontal="left" vertical="center" indent="1"/>
    </xf>
    <xf numFmtId="0" fontId="24" fillId="38" borderId="0" xfId="0" applyFont="1" applyFill="1" applyAlignment="1" applyProtection="1">
      <alignment horizontal="left" vertical="center" indent="1"/>
    </xf>
    <xf numFmtId="0" fontId="24" fillId="29" borderId="9" xfId="0" applyFont="1" applyFill="1" applyBorder="1" applyAlignment="1" applyProtection="1">
      <alignment horizontal="left" vertical="center" indent="1"/>
    </xf>
    <xf numFmtId="0" fontId="24" fillId="29" borderId="10" xfId="0" applyFont="1" applyFill="1" applyBorder="1" applyAlignment="1" applyProtection="1">
      <alignment horizontal="left" vertical="center" indent="1"/>
    </xf>
    <xf numFmtId="166" fontId="24" fillId="38" borderId="0" xfId="0" applyNumberFormat="1" applyFont="1" applyFill="1" applyAlignment="1" applyProtection="1">
      <alignment horizontal="right" vertical="center" indent="1"/>
      <protection hidden="1"/>
    </xf>
    <xf numFmtId="166" fontId="24" fillId="29" borderId="10" xfId="0" applyNumberFormat="1" applyFont="1" applyFill="1" applyBorder="1" applyAlignment="1" applyProtection="1">
      <alignment horizontal="right" vertical="center" indent="1"/>
      <protection hidden="1"/>
    </xf>
    <xf numFmtId="166" fontId="24" fillId="29" borderId="0" xfId="0" applyNumberFormat="1" applyFont="1" applyFill="1" applyAlignment="1" applyProtection="1">
      <alignment horizontal="right" vertical="center" indent="1"/>
      <protection hidden="1"/>
    </xf>
    <xf numFmtId="164" fontId="24" fillId="29" borderId="0" xfId="0" applyNumberFormat="1" applyFont="1" applyFill="1" applyAlignment="1" applyProtection="1">
      <alignment horizontal="center" vertical="center"/>
    </xf>
    <xf numFmtId="164" fontId="24" fillId="38" borderId="0" xfId="0" applyNumberFormat="1" applyFont="1" applyFill="1" applyAlignment="1" applyProtection="1">
      <alignment horizontal="center" vertical="center"/>
    </xf>
    <xf numFmtId="164" fontId="24" fillId="29" borderId="10" xfId="0" applyNumberFormat="1" applyFont="1" applyFill="1" applyBorder="1" applyAlignment="1" applyProtection="1">
      <alignment horizontal="center" vertical="center"/>
    </xf>
    <xf numFmtId="0" fontId="23" fillId="34" borderId="0" xfId="1" applyFont="1" applyFill="1" applyAlignment="1" applyProtection="1">
      <alignment horizontal="center"/>
    </xf>
    <xf numFmtId="0" fontId="26" fillId="35" borderId="0" xfId="37" applyFont="1" applyFill="1" applyBorder="1" applyAlignment="1" applyProtection="1">
      <alignment horizontal="center" vertical="center"/>
    </xf>
    <xf numFmtId="0" fontId="18" fillId="29" borderId="24" xfId="0" applyFont="1" applyFill="1" applyBorder="1" applyAlignment="1" applyProtection="1">
      <alignment horizontal="left" vertical="top" indent="1"/>
    </xf>
    <xf numFmtId="0" fontId="18" fillId="29" borderId="24" xfId="0" applyFont="1" applyFill="1" applyBorder="1" applyAlignment="1" applyProtection="1">
      <alignment horizontal="left" vertical="center" indent="1"/>
    </xf>
    <xf numFmtId="0" fontId="36" fillId="29" borderId="29" xfId="0" applyFont="1" applyFill="1" applyBorder="1" applyAlignment="1" applyProtection="1">
      <alignment horizontal="center" vertical="center"/>
    </xf>
    <xf numFmtId="0" fontId="24" fillId="38" borderId="6" xfId="0" applyFont="1" applyFill="1" applyBorder="1" applyAlignment="1" applyProtection="1">
      <alignment horizontal="left" vertical="center" indent="1"/>
    </xf>
    <xf numFmtId="0" fontId="24" fillId="38" borderId="7" xfId="0" applyFont="1" applyFill="1" applyBorder="1" applyAlignment="1" applyProtection="1">
      <alignment horizontal="left" vertical="center" indent="1"/>
    </xf>
    <xf numFmtId="166" fontId="24" fillId="38" borderId="7" xfId="0" applyNumberFormat="1" applyFont="1" applyFill="1" applyBorder="1" applyAlignment="1" applyProtection="1">
      <alignment horizontal="right" vertical="center" indent="1"/>
      <protection hidden="1"/>
    </xf>
    <xf numFmtId="0" fontId="25" fillId="29" borderId="6" xfId="0" applyFont="1" applyFill="1" applyBorder="1" applyAlignment="1" applyProtection="1">
      <alignment horizontal="left" vertical="center" wrapText="1" indent="1"/>
    </xf>
    <xf numFmtId="0" fontId="25" fillId="29" borderId="7" xfId="0" applyFont="1" applyFill="1" applyBorder="1" applyAlignment="1" applyProtection="1">
      <alignment horizontal="left" vertical="center" indent="1"/>
    </xf>
    <xf numFmtId="0" fontId="25" fillId="29" borderId="9" xfId="0" applyFont="1" applyFill="1" applyBorder="1" applyAlignment="1" applyProtection="1">
      <alignment horizontal="left" vertical="center" indent="1"/>
    </xf>
    <xf numFmtId="0" fontId="25" fillId="29" borderId="10" xfId="0" applyFont="1" applyFill="1" applyBorder="1" applyAlignment="1" applyProtection="1">
      <alignment horizontal="left" vertical="center" indent="1"/>
    </xf>
    <xf numFmtId="0" fontId="25" fillId="29" borderId="7" xfId="0" applyFont="1" applyFill="1" applyBorder="1" applyAlignment="1" applyProtection="1">
      <alignment horizontal="center" vertical="center" wrapText="1"/>
    </xf>
    <xf numFmtId="0" fontId="25" fillId="29" borderId="7" xfId="0" applyFont="1" applyFill="1" applyBorder="1" applyAlignment="1" applyProtection="1">
      <alignment horizontal="center" vertical="center"/>
    </xf>
    <xf numFmtId="0" fontId="25" fillId="29" borderId="10" xfId="0" applyFont="1" applyFill="1" applyBorder="1" applyAlignment="1" applyProtection="1">
      <alignment horizontal="center" vertical="center"/>
    </xf>
    <xf numFmtId="0" fontId="25" fillId="29" borderId="10" xfId="0" applyFont="1" applyFill="1" applyBorder="1" applyAlignment="1" applyProtection="1">
      <alignment horizontal="center" vertical="center" wrapText="1"/>
    </xf>
    <xf numFmtId="0" fontId="25" fillId="29" borderId="8" xfId="0" applyFont="1" applyFill="1" applyBorder="1" applyAlignment="1" applyProtection="1">
      <alignment horizontal="center" vertical="center" wrapText="1"/>
    </xf>
    <xf numFmtId="0" fontId="25" fillId="29" borderId="11" xfId="0" applyFont="1" applyFill="1" applyBorder="1" applyAlignment="1" applyProtection="1">
      <alignment horizontal="center" vertical="center" wrapText="1"/>
    </xf>
    <xf numFmtId="164" fontId="24" fillId="38" borderId="7" xfId="0" applyNumberFormat="1" applyFont="1" applyFill="1" applyBorder="1" applyAlignment="1" applyProtection="1">
      <alignment horizontal="center" vertical="center"/>
    </xf>
    <xf numFmtId="0" fontId="0" fillId="29" borderId="24" xfId="0" applyFill="1" applyBorder="1" applyAlignment="1" applyProtection="1">
      <alignment horizontal="left" vertical="center" indent="1"/>
    </xf>
    <xf numFmtId="0" fontId="39" fillId="29" borderId="35" xfId="0" applyFont="1" applyFill="1" applyBorder="1" applyAlignment="1" applyProtection="1">
      <alignment horizontal="left" vertical="center" indent="1"/>
      <protection hidden="1"/>
    </xf>
    <xf numFmtId="0" fontId="39" fillId="29" borderId="33" xfId="0" applyFont="1" applyFill="1" applyBorder="1" applyAlignment="1" applyProtection="1">
      <alignment horizontal="left" vertical="center" indent="1"/>
      <protection hidden="1"/>
    </xf>
    <xf numFmtId="0" fontId="46" fillId="34" borderId="12" xfId="0" applyFont="1" applyFill="1" applyBorder="1" applyAlignment="1" applyProtection="1">
      <alignment horizontal="center" vertical="center"/>
      <protection hidden="1"/>
    </xf>
    <xf numFmtId="0" fontId="46" fillId="34" borderId="13" xfId="0" applyFont="1" applyFill="1" applyBorder="1" applyAlignment="1" applyProtection="1">
      <alignment horizontal="center" vertical="center"/>
      <protection hidden="1"/>
    </xf>
    <xf numFmtId="0" fontId="46" fillId="34" borderId="14" xfId="0" applyFont="1" applyFill="1" applyBorder="1" applyAlignment="1" applyProtection="1">
      <alignment horizontal="center" vertical="center"/>
      <protection hidden="1"/>
    </xf>
    <xf numFmtId="0" fontId="44" fillId="29" borderId="0" xfId="1" applyAlignment="1">
      <alignment horizontal="center"/>
    </xf>
    <xf numFmtId="0" fontId="45" fillId="40" borderId="0" xfId="0" applyFont="1" applyFill="1" applyBorder="1" applyAlignment="1" applyProtection="1">
      <alignment horizontal="center" vertical="center"/>
      <protection hidden="1"/>
    </xf>
    <xf numFmtId="0" fontId="33" fillId="29" borderId="0" xfId="37" applyFont="1" applyFill="1" applyBorder="1" applyAlignment="1">
      <alignment horizontal="right" vertical="center"/>
    </xf>
    <xf numFmtId="0" fontId="33" fillId="29" borderId="10" xfId="37" applyFont="1" applyFill="1" applyBorder="1" applyAlignment="1">
      <alignment horizontal="center" vertical="center"/>
    </xf>
    <xf numFmtId="0" fontId="39" fillId="29" borderId="35" xfId="0" applyFont="1" applyFill="1" applyBorder="1" applyAlignment="1" applyProtection="1">
      <alignment horizontal="left" vertical="center" indent="3"/>
      <protection hidden="1"/>
    </xf>
    <xf numFmtId="0" fontId="15" fillId="29" borderId="0" xfId="0" applyFont="1" applyFill="1" applyAlignment="1">
      <alignment horizontal="left" vertical="center" wrapText="1" indent="1"/>
    </xf>
    <xf numFmtId="0" fontId="28" fillId="35" borderId="12" xfId="15" applyFont="1" applyFill="1" applyBorder="1" applyAlignment="1">
      <alignment horizontal="center" vertical="center"/>
    </xf>
    <xf numFmtId="0" fontId="28" fillId="35" borderId="14" xfId="15" applyFont="1" applyFill="1" applyBorder="1" applyAlignment="1">
      <alignment horizontal="center" vertical="center"/>
    </xf>
    <xf numFmtId="0" fontId="28" fillId="35" borderId="13" xfId="15" applyFont="1" applyFill="1" applyBorder="1" applyAlignment="1">
      <alignment horizontal="center" vertical="center"/>
    </xf>
  </cellXfs>
  <cellStyles count="44">
    <cellStyle name="20% - Accent1" xfId="16" builtinId="30" customBuiltin="1"/>
    <cellStyle name="20% - Accent2" xfId="20" builtinId="34" customBuiltin="1"/>
    <cellStyle name="20% - Accent3" xfId="24" builtinId="38" customBuiltin="1"/>
    <cellStyle name="20% - Accent4" xfId="28" builtinId="42" customBuiltin="1"/>
    <cellStyle name="20% - Accent5" xfId="32" builtinId="46" customBuiltin="1"/>
    <cellStyle name="20% - Accent6" xfId="36" builtinId="50" customBuiltin="1"/>
    <cellStyle name="40% - Accent1" xfId="17" builtinId="31" customBuiltin="1"/>
    <cellStyle name="40% - Accent2" xfId="21" builtinId="35" customBuiltin="1"/>
    <cellStyle name="40% - Accent3" xfId="25" builtinId="39" customBuiltin="1"/>
    <cellStyle name="40% - Accent4" xfId="29" builtinId="43" customBuiltin="1"/>
    <cellStyle name="40% - Accent5" xfId="33" builtinId="47" customBuiltin="1"/>
    <cellStyle name="40% - Accent6" xfId="37" builtinId="51" customBuiltin="1"/>
    <cellStyle name="60% - Accent1" xfId="18" builtinId="32" customBuiltin="1"/>
    <cellStyle name="60% - Accent2" xfId="22" builtinId="36" customBuiltin="1"/>
    <cellStyle name="60% - Accent3" xfId="26" builtinId="40" customBuiltin="1"/>
    <cellStyle name="60% - Accent4" xfId="30" builtinId="44" customBuiltin="1"/>
    <cellStyle name="60% - Accent5" xfId="34" builtinId="48" customBuiltin="1"/>
    <cellStyle name="60% - Accent6" xfId="38" builtinId="52" customBuiltin="1"/>
    <cellStyle name="Accent1" xfId="15" builtinId="29" customBuiltin="1"/>
    <cellStyle name="Accent2" xfId="19" builtinId="33" customBuiltin="1"/>
    <cellStyle name="Accent3" xfId="23" builtinId="37" customBuiltin="1"/>
    <cellStyle name="Accent4" xfId="27" builtinId="41" customBuiltin="1"/>
    <cellStyle name="Accent5" xfId="31" builtinId="45" customBuiltin="1"/>
    <cellStyle name="Accent6" xfId="35" builtinId="49" customBuiltin="1"/>
    <cellStyle name="Bad" xfId="6" builtinId="27" customBuiltin="1"/>
    <cellStyle name="Calculation" xfId="10" builtinId="22" hidden="1"/>
    <cellStyle name="Check Cell" xfId="12" builtinId="23" hidden="1"/>
    <cellStyle name="Explanatory Text" xfId="14" builtinId="53" hidden="1"/>
    <cellStyle name="FICE" xfId="43" xr:uid="{410F7774-26B0-40CE-8EA2-8DE98A9C7566}"/>
    <cellStyle name="Followed Hyperlink" xfId="40" builtinId="9" hidden="1"/>
    <cellStyle name="Good" xfId="5" builtinId="26" customBuiltin="1"/>
    <cellStyle name="Heading 1" xfId="1" builtinId="16" customBuiltin="1"/>
    <cellStyle name="Heading 2" xfId="2" builtinId="17" customBuiltin="1"/>
    <cellStyle name="Heading 3" xfId="3" builtinId="18" hidden="1" customBuiltin="1"/>
    <cellStyle name="Heading 4" xfId="4" builtinId="19" hidden="1" customBuiltin="1"/>
    <cellStyle name="Hyperlink" xfId="39" builtinId="8" hidden="1"/>
    <cellStyle name="Hyperlink" xfId="41" builtinId="8"/>
    <cellStyle name="Input" xfId="8" builtinId="20" hidden="1"/>
    <cellStyle name="Linked Cell" xfId="11" builtinId="24" hidden="1"/>
    <cellStyle name="Neutral" xfId="7" builtinId="28" customBuiltin="1"/>
    <cellStyle name="Normal" xfId="0" builtinId="0" customBuiltin="1"/>
    <cellStyle name="Output" xfId="9" builtinId="21" hidden="1"/>
    <cellStyle name="Title" xfId="42" builtinId="15" hidden="1"/>
    <cellStyle name="Warning Text" xfId="13" builtinId="11" hidden="1"/>
  </cellStyles>
  <dxfs count="318">
    <dxf>
      <font>
        <b/>
        <i val="0"/>
        <color theme="0"/>
      </font>
      <fill>
        <patternFill>
          <bgColor rgb="FFAF211A"/>
        </patternFill>
      </fill>
    </dxf>
    <dxf>
      <font>
        <b/>
        <i val="0"/>
        <color theme="0"/>
      </font>
      <fill>
        <patternFill>
          <bgColor rgb="FFAF211A"/>
        </patternFill>
      </fill>
    </dxf>
    <dxf>
      <font>
        <b/>
        <i val="0"/>
        <color theme="0"/>
      </font>
      <fill>
        <patternFill>
          <bgColor rgb="FFAF211A"/>
        </patternFill>
      </fill>
    </dxf>
    <dxf>
      <font>
        <b/>
        <i val="0"/>
        <color theme="0"/>
      </font>
      <fill>
        <patternFill>
          <bgColor rgb="FFAF211A"/>
        </patternFill>
      </fill>
    </dxf>
    <dxf>
      <font>
        <b val="0"/>
        <i val="0"/>
        <strike val="0"/>
        <condense val="0"/>
        <extend val="0"/>
        <outline val="0"/>
        <shadow val="0"/>
        <u val="none"/>
        <vertAlign val="baseline"/>
        <sz val="12"/>
        <color theme="1"/>
        <name val="Georgia"/>
        <family val="1"/>
        <scheme val="none"/>
      </font>
      <numFmt numFmtId="3" formatCode="#,##0"/>
      <fill>
        <patternFill patternType="none">
          <fgColor indexed="64"/>
          <bgColor auto="1"/>
        </patternFill>
      </fill>
      <alignment horizontal="right" vertical="center" textRotation="0" wrapText="0" indent="1" justifyLastLine="0" shrinkToFit="0" readingOrder="0"/>
    </dxf>
    <dxf>
      <font>
        <b val="0"/>
        <i val="0"/>
        <strike val="0"/>
        <condense val="0"/>
        <extend val="0"/>
        <outline val="0"/>
        <shadow val="0"/>
        <u val="none"/>
        <vertAlign val="baseline"/>
        <sz val="12"/>
        <color theme="1"/>
        <name val="Georgia"/>
        <family val="1"/>
        <scheme val="none"/>
      </font>
      <numFmt numFmtId="3" formatCode="#,##0"/>
      <fill>
        <patternFill patternType="none">
          <fgColor indexed="64"/>
          <bgColor auto="1"/>
        </patternFill>
      </fill>
      <alignment horizontal="right" vertical="center" textRotation="0" wrapText="0" indent="1" justifyLastLine="0" shrinkToFit="0" readingOrder="0"/>
    </dxf>
    <dxf>
      <font>
        <b val="0"/>
        <i val="0"/>
        <strike val="0"/>
        <condense val="0"/>
        <extend val="0"/>
        <outline val="0"/>
        <shadow val="0"/>
        <u val="none"/>
        <vertAlign val="baseline"/>
        <sz val="12"/>
        <color theme="1"/>
        <name val="Georgia"/>
        <family val="1"/>
        <scheme val="none"/>
      </font>
      <numFmt numFmtId="3" formatCode="#,##0"/>
      <fill>
        <patternFill patternType="none">
          <fgColor indexed="64"/>
          <bgColor auto="1"/>
        </patternFill>
      </fill>
      <alignment horizontal="right" vertical="center" textRotation="0" wrapText="0" indent="1" justifyLastLine="0" shrinkToFit="0" readingOrder="0"/>
    </dxf>
    <dxf>
      <font>
        <b val="0"/>
        <i val="0"/>
        <strike val="0"/>
        <condense val="0"/>
        <extend val="0"/>
        <outline val="0"/>
        <shadow val="0"/>
        <u val="none"/>
        <vertAlign val="baseline"/>
        <sz val="12"/>
        <color theme="1"/>
        <name val="Georgia"/>
        <family val="1"/>
        <scheme val="none"/>
      </font>
      <numFmt numFmtId="3" formatCode="#,##0"/>
      <fill>
        <patternFill patternType="none">
          <fgColor indexed="64"/>
          <bgColor auto="1"/>
        </patternFill>
      </fill>
      <alignment horizontal="right" vertical="center" textRotation="0" wrapText="0" indent="1" justifyLastLine="0" shrinkToFit="0" readingOrder="0"/>
    </dxf>
    <dxf>
      <font>
        <b val="0"/>
        <i val="0"/>
        <strike val="0"/>
        <condense val="0"/>
        <extend val="0"/>
        <outline val="0"/>
        <shadow val="0"/>
        <u val="none"/>
        <vertAlign val="baseline"/>
        <sz val="12"/>
        <color theme="1"/>
        <name val="Georgia"/>
        <family val="1"/>
        <scheme val="none"/>
      </font>
      <numFmt numFmtId="3" formatCode="#,##0"/>
      <fill>
        <patternFill patternType="none">
          <fgColor indexed="64"/>
          <bgColor auto="1"/>
        </patternFill>
      </fill>
      <alignment horizontal="right" vertical="center" textRotation="0" wrapText="0" indent="1" justifyLastLine="0" shrinkToFit="0" readingOrder="0"/>
    </dxf>
    <dxf>
      <font>
        <b val="0"/>
        <i val="0"/>
        <strike val="0"/>
        <condense val="0"/>
        <extend val="0"/>
        <outline val="0"/>
        <shadow val="0"/>
        <u val="none"/>
        <vertAlign val="baseline"/>
        <sz val="12"/>
        <color theme="1"/>
        <name val="Georgia"/>
        <family val="1"/>
        <scheme val="none"/>
      </font>
      <numFmt numFmtId="3" formatCode="#,##0"/>
      <fill>
        <patternFill patternType="none">
          <fgColor indexed="64"/>
          <bgColor auto="1"/>
        </patternFill>
      </fill>
      <alignment horizontal="right" vertical="center" textRotation="0" wrapText="0" indent="1" justifyLastLine="0" shrinkToFit="0" readingOrder="0"/>
    </dxf>
    <dxf>
      <font>
        <b val="0"/>
        <i val="0"/>
        <strike val="0"/>
        <condense val="0"/>
        <extend val="0"/>
        <outline val="0"/>
        <shadow val="0"/>
        <u val="none"/>
        <vertAlign val="baseline"/>
        <sz val="12"/>
        <color theme="1"/>
        <name val="Georgia"/>
        <family val="1"/>
        <scheme val="none"/>
      </font>
      <numFmt numFmtId="3" formatCode="#,##0"/>
      <fill>
        <patternFill patternType="none">
          <fgColor indexed="64"/>
          <bgColor auto="1"/>
        </patternFill>
      </fill>
      <alignment horizontal="right" vertical="center" textRotation="0" wrapText="0" indent="1" justifyLastLine="0" shrinkToFit="0" readingOrder="0"/>
    </dxf>
    <dxf>
      <font>
        <b val="0"/>
        <i val="0"/>
        <strike val="0"/>
        <condense val="0"/>
        <extend val="0"/>
        <outline val="0"/>
        <shadow val="0"/>
        <u val="none"/>
        <vertAlign val="baseline"/>
        <sz val="12"/>
        <color theme="1"/>
        <name val="Georgia"/>
        <family val="1"/>
        <scheme val="none"/>
      </font>
      <numFmt numFmtId="0" formatCode="General"/>
      <fill>
        <patternFill patternType="none">
          <fgColor indexed="64"/>
          <bgColor auto="1"/>
        </patternFill>
      </fill>
      <alignment horizontal="right" vertical="center" textRotation="0" wrapText="0" indent="0" justifyLastLine="0" shrinkToFit="0" readingOrder="0"/>
    </dxf>
    <dxf>
      <font>
        <b val="0"/>
        <i val="0"/>
        <strike val="0"/>
        <condense val="0"/>
        <extend val="0"/>
        <outline val="0"/>
        <shadow val="0"/>
        <u val="none"/>
        <vertAlign val="baseline"/>
        <sz val="12"/>
        <color theme="1"/>
        <name val="Georgia"/>
        <family val="1"/>
        <scheme val="none"/>
      </font>
      <numFmt numFmtId="3" formatCode="#,##0"/>
      <fill>
        <patternFill patternType="none">
          <fgColor indexed="64"/>
          <bgColor auto="1"/>
        </patternFill>
      </fill>
      <alignment horizontal="right" vertical="center" textRotation="0" wrapText="0" indent="1" justifyLastLine="0" shrinkToFit="0" readingOrder="0"/>
    </dxf>
    <dxf>
      <font>
        <b val="0"/>
        <i val="0"/>
        <strike val="0"/>
        <condense val="0"/>
        <extend val="0"/>
        <outline val="0"/>
        <shadow val="0"/>
        <u val="none"/>
        <vertAlign val="baseline"/>
        <sz val="12"/>
        <color theme="1"/>
        <name val="Georgia"/>
        <family val="1"/>
        <scheme val="none"/>
      </font>
      <numFmt numFmtId="0" formatCode="General"/>
      <fill>
        <patternFill patternType="none">
          <fgColor indexed="64"/>
          <bgColor auto="1"/>
        </patternFill>
      </fill>
      <alignment horizontal="general" vertical="center" textRotation="0" wrapText="0" indent="0" justifyLastLine="0" shrinkToFit="0" readingOrder="0"/>
    </dxf>
    <dxf>
      <font>
        <b val="0"/>
        <i val="0"/>
        <strike val="0"/>
        <condense val="0"/>
        <extend val="0"/>
        <outline val="0"/>
        <shadow val="0"/>
        <u val="none"/>
        <vertAlign val="baseline"/>
        <sz val="12"/>
        <color theme="1"/>
        <name val="Georgia"/>
        <family val="1"/>
        <scheme val="none"/>
      </font>
      <numFmt numFmtId="0" formatCode="General"/>
      <fill>
        <patternFill patternType="none">
          <fgColor indexed="64"/>
          <bgColor auto="1"/>
        </patternFill>
      </fill>
      <alignment horizontal="general" vertical="center" textRotation="0" wrapText="0" indent="0" justifyLastLine="0" shrinkToFit="0" readingOrder="0"/>
    </dxf>
    <dxf>
      <font>
        <b val="0"/>
        <i val="0"/>
        <strike val="0"/>
        <condense val="0"/>
        <extend val="0"/>
        <outline val="0"/>
        <shadow val="0"/>
        <u val="none"/>
        <vertAlign val="baseline"/>
        <sz val="12"/>
        <color theme="1"/>
        <name val="Georgia"/>
        <family val="1"/>
        <scheme val="none"/>
      </font>
      <fill>
        <patternFill patternType="none">
          <fgColor indexed="64"/>
          <bgColor auto="1"/>
        </patternFill>
      </fill>
      <alignment horizontal="general" vertical="center" textRotation="0" wrapText="0" indent="0" justifyLastLine="0" shrinkToFit="0" readingOrder="0"/>
    </dxf>
    <dxf>
      <font>
        <b val="0"/>
        <i val="0"/>
        <strike val="0"/>
        <condense val="0"/>
        <extend val="0"/>
        <outline val="0"/>
        <shadow val="0"/>
        <u val="none"/>
        <vertAlign val="baseline"/>
        <sz val="12"/>
        <color theme="1"/>
        <name val="Georgia"/>
        <family val="1"/>
        <scheme val="none"/>
      </font>
      <numFmt numFmtId="165" formatCode="[&lt;=9999999]###\-####;\(###\)\ ###\-####"/>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Georgia"/>
        <family val="1"/>
        <scheme val="none"/>
      </font>
      <fill>
        <patternFill patternType="none">
          <fgColor indexed="64"/>
          <bgColor auto="1"/>
        </patternFill>
      </fill>
      <alignment horizontal="general" vertical="center" textRotation="0" wrapText="0" indent="0" justifyLastLine="0" shrinkToFit="0" readingOrder="0"/>
    </dxf>
    <dxf>
      <font>
        <b val="0"/>
        <i val="0"/>
        <strike val="0"/>
        <condense val="0"/>
        <extend val="0"/>
        <outline val="0"/>
        <shadow val="0"/>
        <u val="none"/>
        <vertAlign val="baseline"/>
        <sz val="12"/>
        <color theme="1"/>
        <name val="Georgia"/>
        <family val="1"/>
        <scheme val="none"/>
      </font>
      <fill>
        <patternFill patternType="none">
          <fgColor indexed="64"/>
          <bgColor auto="1"/>
        </patternFill>
      </fill>
      <alignment horizontal="general" vertical="center" textRotation="0" wrapText="0" indent="0" justifyLastLine="0" shrinkToFit="0" readingOrder="0"/>
    </dxf>
    <dxf>
      <font>
        <b val="0"/>
        <i val="0"/>
        <strike val="0"/>
        <condense val="0"/>
        <extend val="0"/>
        <outline val="0"/>
        <shadow val="0"/>
        <u val="none"/>
        <vertAlign val="baseline"/>
        <sz val="12"/>
        <color theme="1"/>
        <name val="Georgia"/>
        <family val="1"/>
        <scheme val="none"/>
      </font>
      <fill>
        <patternFill patternType="none">
          <fgColor indexed="64"/>
          <bgColor auto="1"/>
        </patternFill>
      </fill>
      <alignment horizontal="general" vertical="center" textRotation="0" wrapText="0" indent="0" justifyLastLine="0" shrinkToFit="0" readingOrder="0"/>
    </dxf>
    <dxf>
      <font>
        <b val="0"/>
        <i val="0"/>
        <strike val="0"/>
        <condense val="0"/>
        <extend val="0"/>
        <outline val="0"/>
        <shadow val="0"/>
        <u val="none"/>
        <vertAlign val="baseline"/>
        <sz val="12"/>
        <color theme="1"/>
        <name val="Georgia"/>
        <family val="1"/>
        <scheme val="none"/>
      </font>
      <numFmt numFmtId="165" formatCode="[&lt;=9999999]###\-####;\(###\)\ ###\-####"/>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Georgia"/>
        <family val="1"/>
        <scheme val="none"/>
      </font>
      <fill>
        <patternFill patternType="none">
          <fgColor indexed="64"/>
          <bgColor auto="1"/>
        </patternFill>
      </fill>
      <alignment horizontal="general" vertical="center" textRotation="0" wrapText="0" indent="0" justifyLastLine="0" shrinkToFit="0" readingOrder="0"/>
    </dxf>
    <dxf>
      <font>
        <b val="0"/>
        <i val="0"/>
        <strike val="0"/>
        <condense val="0"/>
        <extend val="0"/>
        <outline val="0"/>
        <shadow val="0"/>
        <u val="none"/>
        <vertAlign val="baseline"/>
        <sz val="12"/>
        <color theme="1"/>
        <name val="Georgia"/>
        <family val="1"/>
        <scheme val="none"/>
      </font>
      <fill>
        <patternFill patternType="none">
          <fgColor indexed="64"/>
          <bgColor auto="1"/>
        </patternFill>
      </fill>
      <alignment horizontal="general" vertical="center" textRotation="0" wrapText="0" indent="0" justifyLastLine="0" shrinkToFit="0" readingOrder="0"/>
    </dxf>
    <dxf>
      <font>
        <b val="0"/>
        <i val="0"/>
        <strike val="0"/>
        <condense val="0"/>
        <extend val="0"/>
        <outline val="0"/>
        <shadow val="0"/>
        <u val="none"/>
        <vertAlign val="baseline"/>
        <sz val="12"/>
        <color theme="1"/>
        <name val="Georgia"/>
        <family val="1"/>
        <scheme val="none"/>
      </font>
      <numFmt numFmtId="3" formatCode="#,##0"/>
      <fill>
        <patternFill patternType="none">
          <fgColor indexed="64"/>
          <bgColor auto="1"/>
        </patternFill>
      </fill>
      <alignment horizontal="right" vertical="center" textRotation="0" wrapText="0" indent="1" justifyLastLine="0" shrinkToFit="0" readingOrder="0"/>
    </dxf>
    <dxf>
      <font>
        <b val="0"/>
        <i val="0"/>
        <strike val="0"/>
        <condense val="0"/>
        <extend val="0"/>
        <outline val="0"/>
        <shadow val="0"/>
        <u val="none"/>
        <vertAlign val="baseline"/>
        <sz val="12"/>
        <color theme="1"/>
        <name val="Georgia"/>
        <family val="1"/>
        <scheme val="none"/>
      </font>
      <numFmt numFmtId="3" formatCode="#,##0"/>
      <fill>
        <patternFill patternType="none">
          <fgColor indexed="64"/>
          <bgColor auto="1"/>
        </patternFill>
      </fill>
      <alignment horizontal="right" vertical="center" textRotation="0" wrapText="0" indent="1" justifyLastLine="0" shrinkToFit="0" readingOrder="0"/>
    </dxf>
    <dxf>
      <font>
        <b val="0"/>
        <i val="0"/>
        <strike val="0"/>
        <condense val="0"/>
        <extend val="0"/>
        <outline val="0"/>
        <shadow val="0"/>
        <u val="none"/>
        <vertAlign val="baseline"/>
        <sz val="12"/>
        <color theme="1"/>
        <name val="Georgia"/>
        <family val="1"/>
        <scheme val="none"/>
      </font>
      <numFmt numFmtId="3" formatCode="#,##0"/>
      <fill>
        <patternFill patternType="none">
          <fgColor indexed="64"/>
          <bgColor auto="1"/>
        </patternFill>
      </fill>
      <alignment horizontal="right" vertical="center" textRotation="0" wrapText="0" indent="1" justifyLastLine="0" shrinkToFit="0" readingOrder="0"/>
    </dxf>
    <dxf>
      <font>
        <b val="0"/>
        <i val="0"/>
        <strike val="0"/>
        <condense val="0"/>
        <extend val="0"/>
        <outline val="0"/>
        <shadow val="0"/>
        <u val="none"/>
        <vertAlign val="baseline"/>
        <sz val="12"/>
        <color theme="1"/>
        <name val="Georgia"/>
        <family val="1"/>
        <scheme val="none"/>
      </font>
      <numFmt numFmtId="3" formatCode="#,##0"/>
      <fill>
        <patternFill patternType="none">
          <fgColor indexed="64"/>
          <bgColor auto="1"/>
        </patternFill>
      </fill>
      <alignment horizontal="right" vertical="center" textRotation="0" wrapText="0" indent="1" justifyLastLine="0" shrinkToFit="0" readingOrder="0"/>
    </dxf>
    <dxf>
      <font>
        <b val="0"/>
        <i val="0"/>
        <strike val="0"/>
        <condense val="0"/>
        <extend val="0"/>
        <outline val="0"/>
        <shadow val="0"/>
        <u val="none"/>
        <vertAlign val="baseline"/>
        <sz val="12"/>
        <color theme="1"/>
        <name val="Georgia"/>
        <family val="1"/>
        <scheme val="none"/>
      </font>
      <numFmt numFmtId="3" formatCode="#,##0"/>
      <fill>
        <patternFill patternType="none">
          <fgColor indexed="64"/>
          <bgColor auto="1"/>
        </patternFill>
      </fill>
      <alignment horizontal="right" vertical="center" textRotation="0" wrapText="0" indent="1" justifyLastLine="0" shrinkToFit="0" readingOrder="0"/>
    </dxf>
    <dxf>
      <font>
        <b val="0"/>
        <i val="0"/>
        <strike val="0"/>
        <condense val="0"/>
        <extend val="0"/>
        <outline val="0"/>
        <shadow val="0"/>
        <u val="none"/>
        <vertAlign val="baseline"/>
        <sz val="12"/>
        <color theme="1"/>
        <name val="Georgia"/>
        <family val="1"/>
        <scheme val="none"/>
      </font>
      <numFmt numFmtId="3" formatCode="#,##0"/>
      <fill>
        <patternFill patternType="none">
          <fgColor indexed="64"/>
          <bgColor auto="1"/>
        </patternFill>
      </fill>
      <alignment horizontal="right" vertical="center" textRotation="0" wrapText="0" indent="1" justifyLastLine="0" shrinkToFit="0" readingOrder="0"/>
    </dxf>
    <dxf>
      <font>
        <b val="0"/>
        <i val="0"/>
        <strike val="0"/>
        <condense val="0"/>
        <extend val="0"/>
        <outline val="0"/>
        <shadow val="0"/>
        <u val="none"/>
        <vertAlign val="baseline"/>
        <sz val="12"/>
        <color theme="1"/>
        <name val="Georgia"/>
        <family val="1"/>
        <scheme val="none"/>
      </font>
      <numFmt numFmtId="3" formatCode="#,##0"/>
      <fill>
        <patternFill patternType="none">
          <fgColor indexed="64"/>
          <bgColor auto="1"/>
        </patternFill>
      </fill>
      <alignment horizontal="right" vertical="center" textRotation="0" wrapText="0" indent="1" justifyLastLine="0" shrinkToFit="0" readingOrder="0"/>
    </dxf>
    <dxf>
      <font>
        <b val="0"/>
        <i val="0"/>
        <strike val="0"/>
        <condense val="0"/>
        <extend val="0"/>
        <outline val="0"/>
        <shadow val="0"/>
        <u val="none"/>
        <vertAlign val="baseline"/>
        <sz val="12"/>
        <color theme="1"/>
        <name val="Georgia"/>
        <family val="1"/>
        <scheme val="none"/>
      </font>
      <numFmt numFmtId="3" formatCode="#,##0"/>
      <fill>
        <patternFill patternType="none">
          <fgColor indexed="64"/>
          <bgColor auto="1"/>
        </patternFill>
      </fill>
      <alignment horizontal="right" vertical="center" textRotation="0" wrapText="0" indent="1" justifyLastLine="0" shrinkToFit="0" readingOrder="0"/>
    </dxf>
    <dxf>
      <font>
        <b val="0"/>
        <i val="0"/>
        <strike val="0"/>
        <condense val="0"/>
        <extend val="0"/>
        <outline val="0"/>
        <shadow val="0"/>
        <u val="none"/>
        <vertAlign val="baseline"/>
        <sz val="12"/>
        <color theme="1"/>
        <name val="Georgia"/>
        <family val="1"/>
        <scheme val="none"/>
      </font>
      <numFmt numFmtId="3" formatCode="#,##0"/>
      <fill>
        <patternFill patternType="none">
          <fgColor indexed="64"/>
          <bgColor auto="1"/>
        </patternFill>
      </fill>
      <alignment horizontal="right" vertical="center" textRotation="0" wrapText="0" indent="1" justifyLastLine="0" shrinkToFit="0" readingOrder="0"/>
    </dxf>
    <dxf>
      <font>
        <b val="0"/>
        <i val="0"/>
        <strike val="0"/>
        <condense val="0"/>
        <extend val="0"/>
        <outline val="0"/>
        <shadow val="0"/>
        <u val="none"/>
        <vertAlign val="baseline"/>
        <sz val="12"/>
        <color theme="1"/>
        <name val="Georgia"/>
        <family val="1"/>
        <scheme val="none"/>
      </font>
      <numFmt numFmtId="3" formatCode="#,##0"/>
      <fill>
        <patternFill patternType="none">
          <fgColor indexed="64"/>
          <bgColor auto="1"/>
        </patternFill>
      </fill>
      <alignment horizontal="right" vertical="center" textRotation="0" wrapText="0" indent="1" justifyLastLine="0" shrinkToFit="0" readingOrder="0"/>
    </dxf>
    <dxf>
      <font>
        <b val="0"/>
        <i val="0"/>
        <strike val="0"/>
        <condense val="0"/>
        <extend val="0"/>
        <outline val="0"/>
        <shadow val="0"/>
        <u val="none"/>
        <vertAlign val="baseline"/>
        <sz val="12"/>
        <color theme="1"/>
        <name val="Georgia"/>
        <family val="1"/>
        <scheme val="none"/>
      </font>
      <numFmt numFmtId="3" formatCode="#,##0"/>
      <fill>
        <patternFill patternType="none">
          <fgColor indexed="64"/>
          <bgColor auto="1"/>
        </patternFill>
      </fill>
      <alignment horizontal="right" vertical="center" textRotation="0" wrapText="0" indent="1" justifyLastLine="0" shrinkToFit="0" readingOrder="0"/>
    </dxf>
    <dxf>
      <font>
        <b val="0"/>
        <i val="0"/>
        <strike val="0"/>
        <condense val="0"/>
        <extend val="0"/>
        <outline val="0"/>
        <shadow val="0"/>
        <u val="none"/>
        <vertAlign val="baseline"/>
        <sz val="12"/>
        <color theme="1"/>
        <name val="Georgia"/>
        <family val="1"/>
        <scheme val="none"/>
      </font>
      <numFmt numFmtId="3" formatCode="#,##0"/>
      <fill>
        <patternFill patternType="none">
          <fgColor indexed="64"/>
          <bgColor auto="1"/>
        </patternFill>
      </fill>
      <alignment horizontal="right" vertical="center" textRotation="0" wrapText="0" indent="1" justifyLastLine="0" shrinkToFit="0" readingOrder="0"/>
    </dxf>
    <dxf>
      <font>
        <b val="0"/>
        <i val="0"/>
        <strike val="0"/>
        <condense val="0"/>
        <extend val="0"/>
        <outline val="0"/>
        <shadow val="0"/>
        <u val="none"/>
        <vertAlign val="baseline"/>
        <sz val="12"/>
        <color theme="1"/>
        <name val="Georgia"/>
        <family val="1"/>
        <scheme val="none"/>
      </font>
      <numFmt numFmtId="3" formatCode="#,##0"/>
      <fill>
        <patternFill patternType="none">
          <fgColor indexed="64"/>
          <bgColor auto="1"/>
        </patternFill>
      </fill>
      <alignment horizontal="right" vertical="center" textRotation="0" wrapText="0" indent="1" justifyLastLine="0" shrinkToFit="0" readingOrder="0"/>
    </dxf>
    <dxf>
      <font>
        <b val="0"/>
        <i val="0"/>
        <strike val="0"/>
        <condense val="0"/>
        <extend val="0"/>
        <outline val="0"/>
        <shadow val="0"/>
        <u val="none"/>
        <vertAlign val="baseline"/>
        <sz val="12"/>
        <color theme="1"/>
        <name val="Georgia"/>
        <family val="1"/>
        <scheme val="none"/>
      </font>
      <numFmt numFmtId="3" formatCode="#,##0"/>
      <fill>
        <patternFill patternType="none">
          <fgColor indexed="64"/>
          <bgColor auto="1"/>
        </patternFill>
      </fill>
      <alignment horizontal="right" vertical="center" textRotation="0" wrapText="0" indent="1" justifyLastLine="0" shrinkToFit="0" readingOrder="0"/>
    </dxf>
    <dxf>
      <font>
        <b val="0"/>
        <i val="0"/>
        <strike val="0"/>
        <condense val="0"/>
        <extend val="0"/>
        <outline val="0"/>
        <shadow val="0"/>
        <u val="none"/>
        <vertAlign val="baseline"/>
        <sz val="12"/>
        <color theme="1"/>
        <name val="Georgia"/>
        <family val="1"/>
        <scheme val="none"/>
      </font>
      <numFmt numFmtId="3" formatCode="#,##0"/>
      <fill>
        <patternFill patternType="none">
          <fgColor indexed="64"/>
          <bgColor auto="1"/>
        </patternFill>
      </fill>
      <alignment horizontal="right" vertical="center" textRotation="0" wrapText="0" indent="1" justifyLastLine="0" shrinkToFit="0" readingOrder="0"/>
    </dxf>
    <dxf>
      <font>
        <b val="0"/>
        <i val="0"/>
        <strike val="0"/>
        <condense val="0"/>
        <extend val="0"/>
        <outline val="0"/>
        <shadow val="0"/>
        <u val="none"/>
        <vertAlign val="baseline"/>
        <sz val="12"/>
        <color theme="1"/>
        <name val="Georgia"/>
        <family val="1"/>
        <scheme val="none"/>
      </font>
      <numFmt numFmtId="3" formatCode="#,##0"/>
      <fill>
        <patternFill patternType="none">
          <fgColor indexed="64"/>
          <bgColor auto="1"/>
        </patternFill>
      </fill>
      <alignment horizontal="right" vertical="center" textRotation="0" wrapText="0" indent="1" justifyLastLine="0" shrinkToFit="0" readingOrder="0"/>
    </dxf>
    <dxf>
      <font>
        <b val="0"/>
        <i val="0"/>
        <strike val="0"/>
        <condense val="0"/>
        <extend val="0"/>
        <outline val="0"/>
        <shadow val="0"/>
        <u val="none"/>
        <vertAlign val="baseline"/>
        <sz val="12"/>
        <color theme="1"/>
        <name val="Georgia"/>
        <family val="1"/>
        <scheme val="none"/>
      </font>
      <numFmt numFmtId="3" formatCode="#,##0"/>
      <fill>
        <patternFill patternType="none">
          <fgColor indexed="64"/>
          <bgColor auto="1"/>
        </patternFill>
      </fill>
      <alignment horizontal="right" vertical="center" textRotation="0" wrapText="0" indent="1" justifyLastLine="0" shrinkToFit="0" readingOrder="0"/>
    </dxf>
    <dxf>
      <font>
        <b val="0"/>
        <i val="0"/>
        <strike val="0"/>
        <condense val="0"/>
        <extend val="0"/>
        <outline val="0"/>
        <shadow val="0"/>
        <u val="none"/>
        <vertAlign val="baseline"/>
        <sz val="12"/>
        <color theme="1"/>
        <name val="Georgia"/>
        <family val="1"/>
        <scheme val="none"/>
      </font>
      <numFmt numFmtId="3" formatCode="#,##0"/>
      <fill>
        <patternFill patternType="none">
          <fgColor indexed="64"/>
          <bgColor auto="1"/>
        </patternFill>
      </fill>
      <alignment horizontal="right" vertical="center" textRotation="0" wrapText="0" indent="1" justifyLastLine="0" shrinkToFit="0" readingOrder="0"/>
    </dxf>
    <dxf>
      <font>
        <b val="0"/>
        <i val="0"/>
        <strike val="0"/>
        <condense val="0"/>
        <extend val="0"/>
        <outline val="0"/>
        <shadow val="0"/>
        <u val="none"/>
        <vertAlign val="baseline"/>
        <sz val="12"/>
        <color theme="1"/>
        <name val="Georgia"/>
        <family val="1"/>
        <scheme val="none"/>
      </font>
      <numFmt numFmtId="3" formatCode="#,##0"/>
      <fill>
        <patternFill patternType="none">
          <fgColor indexed="64"/>
          <bgColor auto="1"/>
        </patternFill>
      </fill>
      <alignment horizontal="right" vertical="center" textRotation="0" wrapText="0" indent="1" justifyLastLine="0" shrinkToFit="0" readingOrder="0"/>
    </dxf>
    <dxf>
      <font>
        <b val="0"/>
        <i val="0"/>
        <strike val="0"/>
        <condense val="0"/>
        <extend val="0"/>
        <outline val="0"/>
        <shadow val="0"/>
        <u val="none"/>
        <vertAlign val="baseline"/>
        <sz val="12"/>
        <color theme="1"/>
        <name val="Georgia"/>
        <family val="1"/>
        <scheme val="none"/>
      </font>
      <numFmt numFmtId="3" formatCode="#,##0"/>
      <fill>
        <patternFill patternType="none">
          <fgColor indexed="64"/>
          <bgColor auto="1"/>
        </patternFill>
      </fill>
      <alignment horizontal="right" vertical="center" textRotation="0" wrapText="0" indent="1" justifyLastLine="0" shrinkToFit="0" readingOrder="0"/>
    </dxf>
    <dxf>
      <font>
        <b val="0"/>
        <i val="0"/>
        <strike val="0"/>
        <condense val="0"/>
        <extend val="0"/>
        <outline val="0"/>
        <shadow val="0"/>
        <u val="none"/>
        <vertAlign val="baseline"/>
        <sz val="12"/>
        <color theme="1"/>
        <name val="Georgia"/>
        <family val="1"/>
        <scheme val="none"/>
      </font>
      <numFmt numFmtId="3" formatCode="#,##0"/>
      <fill>
        <patternFill patternType="none">
          <fgColor indexed="64"/>
          <bgColor auto="1"/>
        </patternFill>
      </fill>
      <alignment horizontal="right" vertical="center" textRotation="0" wrapText="0" indent="1" justifyLastLine="0" shrinkToFit="0" readingOrder="0"/>
    </dxf>
    <dxf>
      <font>
        <b val="0"/>
        <i val="0"/>
        <strike val="0"/>
        <condense val="0"/>
        <extend val="0"/>
        <outline val="0"/>
        <shadow val="0"/>
        <u val="none"/>
        <vertAlign val="baseline"/>
        <sz val="12"/>
        <color theme="1"/>
        <name val="Georgia"/>
        <family val="1"/>
        <scheme val="none"/>
      </font>
      <numFmt numFmtId="3" formatCode="#,##0"/>
      <fill>
        <patternFill patternType="none">
          <fgColor indexed="64"/>
          <bgColor auto="1"/>
        </patternFill>
      </fill>
      <alignment horizontal="right" vertical="center" textRotation="0" wrapText="0" indent="1" justifyLastLine="0" shrinkToFit="0" readingOrder="0"/>
    </dxf>
    <dxf>
      <font>
        <b val="0"/>
        <i val="0"/>
        <strike val="0"/>
        <condense val="0"/>
        <extend val="0"/>
        <outline val="0"/>
        <shadow val="0"/>
        <u val="none"/>
        <vertAlign val="baseline"/>
        <sz val="12"/>
        <color theme="1"/>
        <name val="Georgia"/>
        <family val="1"/>
        <scheme val="none"/>
      </font>
      <numFmt numFmtId="3" formatCode="#,##0"/>
      <fill>
        <patternFill patternType="none">
          <fgColor indexed="64"/>
          <bgColor auto="1"/>
        </patternFill>
      </fill>
      <alignment horizontal="right" vertical="center" textRotation="0" wrapText="0" indent="1" justifyLastLine="0" shrinkToFit="0" readingOrder="0"/>
    </dxf>
    <dxf>
      <font>
        <b val="0"/>
        <i val="0"/>
        <strike val="0"/>
        <condense val="0"/>
        <extend val="0"/>
        <outline val="0"/>
        <shadow val="0"/>
        <u val="none"/>
        <vertAlign val="baseline"/>
        <sz val="12"/>
        <color theme="1"/>
        <name val="Georgia"/>
        <family val="1"/>
        <scheme val="none"/>
      </font>
      <numFmt numFmtId="3" formatCode="#,##0"/>
      <fill>
        <patternFill patternType="none">
          <fgColor indexed="64"/>
          <bgColor auto="1"/>
        </patternFill>
      </fill>
      <alignment horizontal="right" vertical="center" textRotation="0" wrapText="0" indent="1" justifyLastLine="0" shrinkToFit="0" readingOrder="0"/>
    </dxf>
    <dxf>
      <font>
        <b val="0"/>
        <i val="0"/>
        <strike val="0"/>
        <condense val="0"/>
        <extend val="0"/>
        <outline val="0"/>
        <shadow val="0"/>
        <u val="none"/>
        <vertAlign val="baseline"/>
        <sz val="12"/>
        <color theme="1"/>
        <name val="Georgia"/>
        <family val="1"/>
        <scheme val="none"/>
      </font>
      <numFmt numFmtId="3" formatCode="#,##0"/>
      <fill>
        <patternFill patternType="none">
          <fgColor indexed="64"/>
          <bgColor auto="1"/>
        </patternFill>
      </fill>
      <alignment horizontal="right" vertical="center" textRotation="0" wrapText="0" indent="1" justifyLastLine="0" shrinkToFit="0" readingOrder="0"/>
    </dxf>
    <dxf>
      <font>
        <b val="0"/>
        <i val="0"/>
        <strike val="0"/>
        <condense val="0"/>
        <extend val="0"/>
        <outline val="0"/>
        <shadow val="0"/>
        <u val="none"/>
        <vertAlign val="baseline"/>
        <sz val="12"/>
        <color theme="1"/>
        <name val="Georgia"/>
        <family val="1"/>
        <scheme val="none"/>
      </font>
      <numFmt numFmtId="3" formatCode="#,##0"/>
      <fill>
        <patternFill patternType="none">
          <fgColor indexed="64"/>
          <bgColor auto="1"/>
        </patternFill>
      </fill>
      <alignment horizontal="right" vertical="center" textRotation="0" wrapText="0" indent="1" justifyLastLine="0" shrinkToFit="0" readingOrder="0"/>
    </dxf>
    <dxf>
      <font>
        <b val="0"/>
        <i val="0"/>
        <strike val="0"/>
        <condense val="0"/>
        <extend val="0"/>
        <outline val="0"/>
        <shadow val="0"/>
        <u val="none"/>
        <vertAlign val="baseline"/>
        <sz val="12"/>
        <color theme="1"/>
        <name val="Georgia"/>
        <family val="1"/>
        <scheme val="none"/>
      </font>
      <numFmt numFmtId="3" formatCode="#,##0"/>
      <fill>
        <patternFill patternType="none">
          <fgColor indexed="64"/>
          <bgColor auto="1"/>
        </patternFill>
      </fill>
      <alignment horizontal="right" vertical="center" textRotation="0" wrapText="0" indent="1" justifyLastLine="0" shrinkToFit="0" readingOrder="0"/>
    </dxf>
    <dxf>
      <font>
        <b val="0"/>
        <i val="0"/>
        <strike val="0"/>
        <condense val="0"/>
        <extend val="0"/>
        <outline val="0"/>
        <shadow val="0"/>
        <u val="none"/>
        <vertAlign val="baseline"/>
        <sz val="12"/>
        <color theme="1"/>
        <name val="Georgia"/>
        <family val="1"/>
        <scheme val="none"/>
      </font>
      <numFmt numFmtId="3" formatCode="#,##0"/>
      <fill>
        <patternFill patternType="none">
          <fgColor indexed="64"/>
          <bgColor auto="1"/>
        </patternFill>
      </fill>
      <alignment horizontal="right" vertical="center" textRotation="0" wrapText="0" indent="1" justifyLastLine="0" shrinkToFit="0" readingOrder="0"/>
    </dxf>
    <dxf>
      <font>
        <b val="0"/>
        <i val="0"/>
        <strike val="0"/>
        <condense val="0"/>
        <extend val="0"/>
        <outline val="0"/>
        <shadow val="0"/>
        <u val="none"/>
        <vertAlign val="baseline"/>
        <sz val="12"/>
        <color theme="1"/>
        <name val="Georgia"/>
        <family val="1"/>
        <scheme val="none"/>
      </font>
      <numFmt numFmtId="3" formatCode="#,##0"/>
      <fill>
        <patternFill patternType="none">
          <fgColor indexed="64"/>
          <bgColor auto="1"/>
        </patternFill>
      </fill>
      <alignment horizontal="right" vertical="center" textRotation="0" wrapText="0" indent="1" justifyLastLine="0" shrinkToFit="0" readingOrder="0"/>
    </dxf>
    <dxf>
      <font>
        <b val="0"/>
        <i val="0"/>
        <strike val="0"/>
        <condense val="0"/>
        <extend val="0"/>
        <outline val="0"/>
        <shadow val="0"/>
        <u val="none"/>
        <vertAlign val="baseline"/>
        <sz val="12"/>
        <color theme="1"/>
        <name val="Georgia"/>
        <family val="1"/>
        <scheme val="none"/>
      </font>
      <numFmt numFmtId="3" formatCode="#,##0"/>
      <fill>
        <patternFill patternType="none">
          <fgColor indexed="64"/>
          <bgColor auto="1"/>
        </patternFill>
      </fill>
      <alignment horizontal="right" vertical="center" textRotation="0" wrapText="0" indent="1" justifyLastLine="0" shrinkToFit="0" readingOrder="0"/>
    </dxf>
    <dxf>
      <font>
        <b val="0"/>
        <i val="0"/>
        <strike val="0"/>
        <condense val="0"/>
        <extend val="0"/>
        <outline val="0"/>
        <shadow val="0"/>
        <u val="none"/>
        <vertAlign val="baseline"/>
        <sz val="12"/>
        <color theme="1"/>
        <name val="Georgia"/>
        <family val="1"/>
        <scheme val="none"/>
      </font>
      <numFmt numFmtId="3" formatCode="#,##0"/>
      <fill>
        <patternFill patternType="none">
          <fgColor indexed="64"/>
          <bgColor auto="1"/>
        </patternFill>
      </fill>
      <alignment horizontal="right" vertical="center" textRotation="0" wrapText="0" indent="1" justifyLastLine="0" shrinkToFit="0" readingOrder="0"/>
    </dxf>
    <dxf>
      <font>
        <b val="0"/>
        <i val="0"/>
        <strike val="0"/>
        <condense val="0"/>
        <extend val="0"/>
        <outline val="0"/>
        <shadow val="0"/>
        <u val="none"/>
        <vertAlign val="baseline"/>
        <sz val="12"/>
        <color theme="1"/>
        <name val="Georgia"/>
        <family val="1"/>
        <scheme val="none"/>
      </font>
      <numFmt numFmtId="3" formatCode="#,##0"/>
      <fill>
        <patternFill patternType="none">
          <fgColor indexed="64"/>
          <bgColor auto="1"/>
        </patternFill>
      </fill>
      <alignment horizontal="right" vertical="center" textRotation="0" wrapText="0" indent="1" justifyLastLine="0" shrinkToFit="0" readingOrder="0"/>
    </dxf>
    <dxf>
      <font>
        <b val="0"/>
        <i val="0"/>
        <strike val="0"/>
        <condense val="0"/>
        <extend val="0"/>
        <outline val="0"/>
        <shadow val="0"/>
        <u val="none"/>
        <vertAlign val="baseline"/>
        <sz val="12"/>
        <color theme="1"/>
        <name val="Georgia"/>
        <family val="1"/>
        <scheme val="none"/>
      </font>
      <numFmt numFmtId="3" formatCode="#,##0"/>
      <fill>
        <patternFill patternType="none">
          <fgColor indexed="64"/>
          <bgColor auto="1"/>
        </patternFill>
      </fill>
      <alignment horizontal="right" vertical="center" textRotation="0" wrapText="0" indent="1" justifyLastLine="0" shrinkToFit="0" readingOrder="0"/>
    </dxf>
    <dxf>
      <font>
        <b val="0"/>
        <i val="0"/>
        <strike val="0"/>
        <condense val="0"/>
        <extend val="0"/>
        <outline val="0"/>
        <shadow val="0"/>
        <u val="none"/>
        <vertAlign val="baseline"/>
        <sz val="12"/>
        <color theme="1"/>
        <name val="Georgia"/>
        <family val="1"/>
        <scheme val="none"/>
      </font>
      <numFmt numFmtId="3" formatCode="#,##0"/>
      <fill>
        <patternFill patternType="none">
          <fgColor indexed="64"/>
          <bgColor auto="1"/>
        </patternFill>
      </fill>
      <alignment horizontal="right" vertical="center" textRotation="0" wrapText="0" indent="1" justifyLastLine="0" shrinkToFit="0" readingOrder="0"/>
    </dxf>
    <dxf>
      <font>
        <b val="0"/>
        <i val="0"/>
        <strike val="0"/>
        <condense val="0"/>
        <extend val="0"/>
        <outline val="0"/>
        <shadow val="0"/>
        <u val="none"/>
        <vertAlign val="baseline"/>
        <sz val="12"/>
        <color theme="1"/>
        <name val="Georgia"/>
        <family val="1"/>
        <scheme val="none"/>
      </font>
      <numFmt numFmtId="3" formatCode="#,##0"/>
      <fill>
        <patternFill patternType="none">
          <fgColor indexed="64"/>
          <bgColor auto="1"/>
        </patternFill>
      </fill>
      <alignment horizontal="right" vertical="center" textRotation="0" wrapText="0" indent="1" justifyLastLine="0" shrinkToFit="0" readingOrder="0"/>
    </dxf>
    <dxf>
      <font>
        <b val="0"/>
        <i val="0"/>
        <strike val="0"/>
        <condense val="0"/>
        <extend val="0"/>
        <outline val="0"/>
        <shadow val="0"/>
        <u val="none"/>
        <vertAlign val="baseline"/>
        <sz val="12"/>
        <color theme="1"/>
        <name val="Georgia"/>
        <family val="1"/>
        <scheme val="none"/>
      </font>
      <numFmt numFmtId="3" formatCode="#,##0"/>
      <fill>
        <patternFill patternType="none">
          <fgColor indexed="64"/>
          <bgColor auto="1"/>
        </patternFill>
      </fill>
      <alignment horizontal="right" vertical="center" textRotation="0" wrapText="0" indent="1" justifyLastLine="0" shrinkToFit="0" readingOrder="0"/>
    </dxf>
    <dxf>
      <font>
        <b val="0"/>
        <i val="0"/>
        <strike val="0"/>
        <condense val="0"/>
        <extend val="0"/>
        <outline val="0"/>
        <shadow val="0"/>
        <u val="none"/>
        <vertAlign val="baseline"/>
        <sz val="12"/>
        <color theme="1"/>
        <name val="Georgia"/>
        <family val="1"/>
        <scheme val="none"/>
      </font>
      <numFmt numFmtId="3" formatCode="#,##0"/>
      <fill>
        <patternFill patternType="none">
          <fgColor indexed="64"/>
          <bgColor auto="1"/>
        </patternFill>
      </fill>
      <alignment horizontal="right" vertical="center" textRotation="0" wrapText="0" indent="1" justifyLastLine="0" shrinkToFit="0" readingOrder="0"/>
    </dxf>
    <dxf>
      <font>
        <b val="0"/>
        <i val="0"/>
        <strike val="0"/>
        <condense val="0"/>
        <extend val="0"/>
        <outline val="0"/>
        <shadow val="0"/>
        <u val="none"/>
        <vertAlign val="baseline"/>
        <sz val="12"/>
        <color theme="1"/>
        <name val="Georgia"/>
        <family val="1"/>
        <scheme val="none"/>
      </font>
      <numFmt numFmtId="3" formatCode="#,##0"/>
      <fill>
        <patternFill patternType="none">
          <fgColor indexed="64"/>
          <bgColor auto="1"/>
        </patternFill>
      </fill>
      <alignment horizontal="right" vertical="center" textRotation="0" wrapText="0" indent="1" justifyLastLine="0" shrinkToFit="0" readingOrder="0"/>
    </dxf>
    <dxf>
      <font>
        <b val="0"/>
        <i val="0"/>
        <strike val="0"/>
        <condense val="0"/>
        <extend val="0"/>
        <outline val="0"/>
        <shadow val="0"/>
        <u val="none"/>
        <vertAlign val="baseline"/>
        <sz val="12"/>
        <color theme="1"/>
        <name val="Georgia"/>
        <family val="1"/>
        <scheme val="none"/>
      </font>
      <numFmt numFmtId="3" formatCode="#,##0"/>
      <fill>
        <patternFill patternType="none">
          <fgColor indexed="64"/>
          <bgColor auto="1"/>
        </patternFill>
      </fill>
      <alignment horizontal="right" vertical="center" textRotation="0" wrapText="0" indent="1" justifyLastLine="0" shrinkToFit="0" readingOrder="0"/>
    </dxf>
    <dxf>
      <font>
        <b val="0"/>
        <i val="0"/>
        <strike val="0"/>
        <condense val="0"/>
        <extend val="0"/>
        <outline val="0"/>
        <shadow val="0"/>
        <u val="none"/>
        <vertAlign val="baseline"/>
        <sz val="12"/>
        <color theme="1"/>
        <name val="Georgia"/>
        <family val="1"/>
        <scheme val="none"/>
      </font>
      <numFmt numFmtId="3" formatCode="#,##0"/>
      <fill>
        <patternFill patternType="none">
          <fgColor indexed="64"/>
          <bgColor auto="1"/>
        </patternFill>
      </fill>
      <alignment horizontal="right" vertical="center" textRotation="0" wrapText="0" indent="1" justifyLastLine="0" shrinkToFit="0" readingOrder="0"/>
    </dxf>
    <dxf>
      <font>
        <b val="0"/>
        <i val="0"/>
        <strike val="0"/>
        <condense val="0"/>
        <extend val="0"/>
        <outline val="0"/>
        <shadow val="0"/>
        <u val="none"/>
        <vertAlign val="baseline"/>
        <sz val="12"/>
        <color theme="1"/>
        <name val="Georgia"/>
        <family val="1"/>
        <scheme val="none"/>
      </font>
      <numFmt numFmtId="3" formatCode="#,##0"/>
      <fill>
        <patternFill patternType="none">
          <fgColor indexed="64"/>
          <bgColor auto="1"/>
        </patternFill>
      </fill>
      <alignment horizontal="right" vertical="center" textRotation="0" wrapText="0" indent="1" justifyLastLine="0" shrinkToFit="0" readingOrder="0"/>
    </dxf>
    <dxf>
      <font>
        <b val="0"/>
        <i val="0"/>
        <strike val="0"/>
        <condense val="0"/>
        <extend val="0"/>
        <outline val="0"/>
        <shadow val="0"/>
        <u val="none"/>
        <vertAlign val="baseline"/>
        <sz val="12"/>
        <color theme="1"/>
        <name val="Georgia"/>
        <family val="1"/>
        <scheme val="none"/>
      </font>
      <numFmt numFmtId="3" formatCode="#,##0"/>
      <fill>
        <patternFill patternType="none">
          <fgColor indexed="64"/>
          <bgColor auto="1"/>
        </patternFill>
      </fill>
      <alignment horizontal="right" vertical="center" textRotation="0" wrapText="0" indent="1" justifyLastLine="0" shrinkToFit="0" readingOrder="0"/>
    </dxf>
    <dxf>
      <font>
        <b val="0"/>
        <i val="0"/>
        <strike val="0"/>
        <condense val="0"/>
        <extend val="0"/>
        <outline val="0"/>
        <shadow val="0"/>
        <u val="none"/>
        <vertAlign val="baseline"/>
        <sz val="12"/>
        <color theme="1"/>
        <name val="Georgia"/>
        <family val="1"/>
        <scheme val="none"/>
      </font>
      <numFmt numFmtId="3" formatCode="#,##0"/>
      <fill>
        <patternFill patternType="none">
          <fgColor indexed="64"/>
          <bgColor auto="1"/>
        </patternFill>
      </fill>
      <alignment horizontal="right" vertical="center" textRotation="0" wrapText="0" indent="1" justifyLastLine="0" shrinkToFit="0" readingOrder="0"/>
    </dxf>
    <dxf>
      <font>
        <b val="0"/>
        <i val="0"/>
        <strike val="0"/>
        <condense val="0"/>
        <extend val="0"/>
        <outline val="0"/>
        <shadow val="0"/>
        <u val="none"/>
        <vertAlign val="baseline"/>
        <sz val="12"/>
        <color theme="1"/>
        <name val="Georgia"/>
        <family val="1"/>
        <scheme val="none"/>
      </font>
      <numFmt numFmtId="3" formatCode="#,##0"/>
      <fill>
        <patternFill patternType="none">
          <fgColor indexed="64"/>
          <bgColor auto="1"/>
        </patternFill>
      </fill>
      <alignment horizontal="right" vertical="center" textRotation="0" wrapText="0" indent="1" justifyLastLine="0" shrinkToFit="0" readingOrder="0"/>
    </dxf>
    <dxf>
      <font>
        <b val="0"/>
        <i val="0"/>
        <strike val="0"/>
        <condense val="0"/>
        <extend val="0"/>
        <outline val="0"/>
        <shadow val="0"/>
        <u val="none"/>
        <vertAlign val="baseline"/>
        <sz val="12"/>
        <color theme="1"/>
        <name val="Georgia"/>
        <family val="1"/>
        <scheme val="none"/>
      </font>
      <numFmt numFmtId="3" formatCode="#,##0"/>
      <fill>
        <patternFill patternType="none">
          <fgColor indexed="64"/>
          <bgColor auto="1"/>
        </patternFill>
      </fill>
      <alignment horizontal="right" vertical="center" textRotation="0" wrapText="0" indent="1" justifyLastLine="0" shrinkToFit="0" readingOrder="0"/>
    </dxf>
    <dxf>
      <font>
        <b val="0"/>
        <i val="0"/>
        <strike val="0"/>
        <condense val="0"/>
        <extend val="0"/>
        <outline val="0"/>
        <shadow val="0"/>
        <u val="none"/>
        <vertAlign val="baseline"/>
        <sz val="12"/>
        <color theme="1"/>
        <name val="Georgia"/>
        <family val="1"/>
        <scheme val="none"/>
      </font>
      <numFmt numFmtId="3" formatCode="#,##0"/>
      <fill>
        <patternFill patternType="none">
          <fgColor indexed="64"/>
          <bgColor auto="1"/>
        </patternFill>
      </fill>
      <alignment horizontal="right" vertical="center" textRotation="0" wrapText="0" indent="1" justifyLastLine="0" shrinkToFit="0" readingOrder="0"/>
    </dxf>
    <dxf>
      <font>
        <b val="0"/>
        <i val="0"/>
        <strike val="0"/>
        <condense val="0"/>
        <extend val="0"/>
        <outline val="0"/>
        <shadow val="0"/>
        <u val="none"/>
        <vertAlign val="baseline"/>
        <sz val="12"/>
        <color theme="1"/>
        <name val="Georgia"/>
        <family val="1"/>
        <scheme val="none"/>
      </font>
      <numFmt numFmtId="3" formatCode="#,##0"/>
      <fill>
        <patternFill patternType="none">
          <fgColor indexed="64"/>
          <bgColor auto="1"/>
        </patternFill>
      </fill>
      <alignment horizontal="right" vertical="center" textRotation="0" wrapText="0" indent="1" justifyLastLine="0" shrinkToFit="0" readingOrder="0"/>
    </dxf>
    <dxf>
      <font>
        <b val="0"/>
        <i val="0"/>
        <strike val="0"/>
        <condense val="0"/>
        <extend val="0"/>
        <outline val="0"/>
        <shadow val="0"/>
        <u val="none"/>
        <vertAlign val="baseline"/>
        <sz val="12"/>
        <color theme="1"/>
        <name val="Georgia"/>
        <family val="1"/>
        <scheme val="none"/>
      </font>
      <numFmt numFmtId="3" formatCode="#,##0"/>
      <fill>
        <patternFill patternType="none">
          <fgColor indexed="64"/>
          <bgColor auto="1"/>
        </patternFill>
      </fill>
      <alignment horizontal="right" vertical="center" textRotation="0" wrapText="0" indent="1" justifyLastLine="0" shrinkToFit="0" readingOrder="0"/>
    </dxf>
    <dxf>
      <font>
        <b val="0"/>
        <i val="0"/>
        <strike val="0"/>
        <condense val="0"/>
        <extend val="0"/>
        <outline val="0"/>
        <shadow val="0"/>
        <u val="none"/>
        <vertAlign val="baseline"/>
        <sz val="12"/>
        <color theme="1"/>
        <name val="Georgia"/>
        <family val="1"/>
        <scheme val="none"/>
      </font>
      <numFmt numFmtId="3" formatCode="#,##0"/>
      <fill>
        <patternFill patternType="none">
          <fgColor indexed="64"/>
          <bgColor auto="1"/>
        </patternFill>
      </fill>
      <alignment horizontal="right" vertical="center" textRotation="0" wrapText="0" indent="1" justifyLastLine="0" shrinkToFit="0" readingOrder="0"/>
    </dxf>
    <dxf>
      <font>
        <b val="0"/>
        <i val="0"/>
        <strike val="0"/>
        <condense val="0"/>
        <extend val="0"/>
        <outline val="0"/>
        <shadow val="0"/>
        <u val="none"/>
        <vertAlign val="baseline"/>
        <sz val="12"/>
        <color theme="1"/>
        <name val="Georgia"/>
        <family val="1"/>
        <scheme val="none"/>
      </font>
      <numFmt numFmtId="3" formatCode="#,##0"/>
      <fill>
        <patternFill patternType="none">
          <fgColor indexed="64"/>
          <bgColor auto="1"/>
        </patternFill>
      </fill>
      <alignment horizontal="right" vertical="center" textRotation="0" wrapText="0" indent="1" justifyLastLine="0" shrinkToFit="0" readingOrder="0"/>
    </dxf>
    <dxf>
      <font>
        <b val="0"/>
        <i val="0"/>
        <strike val="0"/>
        <condense val="0"/>
        <extend val="0"/>
        <outline val="0"/>
        <shadow val="0"/>
        <u val="none"/>
        <vertAlign val="baseline"/>
        <sz val="12"/>
        <color theme="1"/>
        <name val="Georgia"/>
        <family val="1"/>
        <scheme val="none"/>
      </font>
      <numFmt numFmtId="3" formatCode="#,##0"/>
      <fill>
        <patternFill patternType="none">
          <fgColor indexed="64"/>
          <bgColor auto="1"/>
        </patternFill>
      </fill>
      <alignment horizontal="right" vertical="center" textRotation="0" wrapText="0" indent="1" justifyLastLine="0" shrinkToFit="0" readingOrder="0"/>
    </dxf>
    <dxf>
      <font>
        <b val="0"/>
        <i val="0"/>
        <strike val="0"/>
        <condense val="0"/>
        <extend val="0"/>
        <outline val="0"/>
        <shadow val="0"/>
        <u val="none"/>
        <vertAlign val="baseline"/>
        <sz val="12"/>
        <color theme="1"/>
        <name val="Georgia"/>
        <family val="1"/>
        <scheme val="none"/>
      </font>
      <numFmt numFmtId="3" formatCode="#,##0"/>
      <fill>
        <patternFill patternType="none">
          <fgColor indexed="64"/>
          <bgColor auto="1"/>
        </patternFill>
      </fill>
      <alignment horizontal="right" vertical="center" textRotation="0" wrapText="0" indent="1" justifyLastLine="0" shrinkToFit="0" readingOrder="0"/>
    </dxf>
    <dxf>
      <font>
        <b val="0"/>
        <i val="0"/>
        <strike val="0"/>
        <condense val="0"/>
        <extend val="0"/>
        <outline val="0"/>
        <shadow val="0"/>
        <u val="none"/>
        <vertAlign val="baseline"/>
        <sz val="12"/>
        <color theme="1"/>
        <name val="Georgia"/>
        <family val="1"/>
        <scheme val="none"/>
      </font>
      <numFmt numFmtId="3" formatCode="#,##0"/>
      <fill>
        <patternFill patternType="none">
          <fgColor indexed="64"/>
          <bgColor auto="1"/>
        </patternFill>
      </fill>
      <alignment horizontal="right" vertical="center" textRotation="0" wrapText="0" indent="1" justifyLastLine="0" shrinkToFit="0" readingOrder="0"/>
    </dxf>
    <dxf>
      <font>
        <b val="0"/>
        <i val="0"/>
        <strike val="0"/>
        <condense val="0"/>
        <extend val="0"/>
        <outline val="0"/>
        <shadow val="0"/>
        <u val="none"/>
        <vertAlign val="baseline"/>
        <sz val="12"/>
        <color theme="1"/>
        <name val="Georgia"/>
        <family val="1"/>
        <scheme val="none"/>
      </font>
      <numFmt numFmtId="3" formatCode="#,##0"/>
      <fill>
        <patternFill patternType="none">
          <fgColor indexed="64"/>
          <bgColor auto="1"/>
        </patternFill>
      </fill>
      <alignment horizontal="right" vertical="center" textRotation="0" wrapText="0" indent="1" justifyLastLine="0" shrinkToFit="0" readingOrder="0"/>
    </dxf>
    <dxf>
      <font>
        <b val="0"/>
        <i val="0"/>
        <strike val="0"/>
        <condense val="0"/>
        <extend val="0"/>
        <outline val="0"/>
        <shadow val="0"/>
        <u val="none"/>
        <vertAlign val="baseline"/>
        <sz val="12"/>
        <color theme="1"/>
        <name val="Georgia"/>
        <family val="1"/>
        <scheme val="none"/>
      </font>
      <numFmt numFmtId="3" formatCode="#,##0"/>
      <fill>
        <patternFill patternType="none">
          <fgColor indexed="64"/>
          <bgColor auto="1"/>
        </patternFill>
      </fill>
      <alignment horizontal="right" vertical="center" textRotation="0" wrapText="0" indent="1" justifyLastLine="0" shrinkToFit="0" readingOrder="0"/>
    </dxf>
    <dxf>
      <font>
        <b val="0"/>
        <i val="0"/>
        <strike val="0"/>
        <condense val="0"/>
        <extend val="0"/>
        <outline val="0"/>
        <shadow val="0"/>
        <u val="none"/>
        <vertAlign val="baseline"/>
        <sz val="12"/>
        <color theme="1"/>
        <name val="Georgia"/>
        <family val="1"/>
        <scheme val="none"/>
      </font>
      <numFmt numFmtId="3" formatCode="#,##0"/>
      <fill>
        <patternFill patternType="none">
          <fgColor indexed="64"/>
          <bgColor auto="1"/>
        </patternFill>
      </fill>
      <alignment horizontal="right" vertical="center" textRotation="0" wrapText="0" indent="1" justifyLastLine="0" shrinkToFit="0" readingOrder="0"/>
    </dxf>
    <dxf>
      <font>
        <b val="0"/>
        <i val="0"/>
        <strike val="0"/>
        <condense val="0"/>
        <extend val="0"/>
        <outline val="0"/>
        <shadow val="0"/>
        <u val="none"/>
        <vertAlign val="baseline"/>
        <sz val="12"/>
        <color theme="1"/>
        <name val="Georgia"/>
        <family val="1"/>
        <scheme val="none"/>
      </font>
      <numFmt numFmtId="3" formatCode="#,##0"/>
      <fill>
        <patternFill patternType="none">
          <fgColor indexed="64"/>
          <bgColor auto="1"/>
        </patternFill>
      </fill>
      <alignment horizontal="right" vertical="center" textRotation="0" wrapText="0" indent="1" justifyLastLine="0" shrinkToFit="0" readingOrder="0"/>
    </dxf>
    <dxf>
      <font>
        <b val="0"/>
        <i val="0"/>
        <strike val="0"/>
        <condense val="0"/>
        <extend val="0"/>
        <outline val="0"/>
        <shadow val="0"/>
        <u val="none"/>
        <vertAlign val="baseline"/>
        <sz val="12"/>
        <color theme="1"/>
        <name val="Georgia"/>
        <family val="1"/>
        <scheme val="none"/>
      </font>
      <numFmt numFmtId="3" formatCode="#,##0"/>
      <fill>
        <patternFill patternType="none">
          <fgColor indexed="64"/>
          <bgColor auto="1"/>
        </patternFill>
      </fill>
      <alignment horizontal="right" vertical="center" textRotation="0" wrapText="0" indent="1" justifyLastLine="0" shrinkToFit="0" readingOrder="0"/>
    </dxf>
    <dxf>
      <font>
        <b val="0"/>
        <i val="0"/>
        <strike val="0"/>
        <condense val="0"/>
        <extend val="0"/>
        <outline val="0"/>
        <shadow val="0"/>
        <u val="none"/>
        <vertAlign val="baseline"/>
        <sz val="12"/>
        <color theme="1"/>
        <name val="Georgia"/>
        <family val="1"/>
        <scheme val="none"/>
      </font>
      <numFmt numFmtId="3" formatCode="#,##0"/>
      <fill>
        <patternFill patternType="none">
          <fgColor indexed="64"/>
          <bgColor auto="1"/>
        </patternFill>
      </fill>
      <alignment horizontal="right" vertical="center" textRotation="0" wrapText="0" indent="1" justifyLastLine="0" shrinkToFit="0" readingOrder="0"/>
    </dxf>
    <dxf>
      <font>
        <b val="0"/>
        <i val="0"/>
        <strike val="0"/>
        <condense val="0"/>
        <extend val="0"/>
        <outline val="0"/>
        <shadow val="0"/>
        <u val="none"/>
        <vertAlign val="baseline"/>
        <sz val="12"/>
        <color theme="1"/>
        <name val="Georgia"/>
        <family val="1"/>
        <scheme val="none"/>
      </font>
      <numFmt numFmtId="3" formatCode="#,##0"/>
      <fill>
        <patternFill patternType="none">
          <fgColor indexed="64"/>
          <bgColor auto="1"/>
        </patternFill>
      </fill>
      <alignment horizontal="right" vertical="center" textRotation="0" wrapText="0" indent="1" justifyLastLine="0" shrinkToFit="0" readingOrder="0"/>
    </dxf>
    <dxf>
      <font>
        <b val="0"/>
        <i val="0"/>
        <strike val="0"/>
        <condense val="0"/>
        <extend val="0"/>
        <outline val="0"/>
        <shadow val="0"/>
        <u val="none"/>
        <vertAlign val="baseline"/>
        <sz val="12"/>
        <color theme="1"/>
        <name val="Georgia"/>
        <family val="1"/>
        <scheme val="none"/>
      </font>
      <numFmt numFmtId="3" formatCode="#,##0"/>
      <fill>
        <patternFill patternType="none">
          <fgColor indexed="64"/>
          <bgColor auto="1"/>
        </patternFill>
      </fill>
      <alignment horizontal="right" vertical="center" textRotation="0" wrapText="0" indent="1" justifyLastLine="0" shrinkToFit="0" readingOrder="0"/>
    </dxf>
    <dxf>
      <font>
        <b val="0"/>
        <i val="0"/>
        <strike val="0"/>
        <condense val="0"/>
        <extend val="0"/>
        <outline val="0"/>
        <shadow val="0"/>
        <u val="none"/>
        <vertAlign val="baseline"/>
        <sz val="12"/>
        <color theme="1"/>
        <name val="Georgia"/>
        <family val="1"/>
        <scheme val="none"/>
      </font>
      <numFmt numFmtId="3" formatCode="#,##0"/>
      <fill>
        <patternFill patternType="none">
          <fgColor indexed="64"/>
          <bgColor auto="1"/>
        </patternFill>
      </fill>
      <alignment horizontal="right" vertical="center" textRotation="0" wrapText="0" indent="1" justifyLastLine="0" shrinkToFit="0" readingOrder="0"/>
    </dxf>
    <dxf>
      <font>
        <b val="0"/>
        <i val="0"/>
        <strike val="0"/>
        <condense val="0"/>
        <extend val="0"/>
        <outline val="0"/>
        <shadow val="0"/>
        <u val="none"/>
        <vertAlign val="baseline"/>
        <sz val="12"/>
        <color theme="1"/>
        <name val="Georgia"/>
        <family val="1"/>
        <scheme val="none"/>
      </font>
      <numFmt numFmtId="3" formatCode="#,##0"/>
      <fill>
        <patternFill patternType="none">
          <fgColor indexed="64"/>
          <bgColor auto="1"/>
        </patternFill>
      </fill>
      <alignment horizontal="right" vertical="center" textRotation="0" wrapText="0" indent="1" justifyLastLine="0" shrinkToFit="0" readingOrder="0"/>
    </dxf>
    <dxf>
      <font>
        <b val="0"/>
        <i val="0"/>
        <strike val="0"/>
        <condense val="0"/>
        <extend val="0"/>
        <outline val="0"/>
        <shadow val="0"/>
        <u val="none"/>
        <vertAlign val="baseline"/>
        <sz val="12"/>
        <color theme="1"/>
        <name val="Georgia"/>
        <family val="1"/>
        <scheme val="none"/>
      </font>
      <numFmt numFmtId="3" formatCode="#,##0"/>
      <fill>
        <patternFill patternType="none">
          <fgColor indexed="64"/>
          <bgColor auto="1"/>
        </patternFill>
      </fill>
      <alignment horizontal="right" vertical="center" textRotation="0" wrapText="0" indent="1" justifyLastLine="0" shrinkToFit="0" readingOrder="0"/>
    </dxf>
    <dxf>
      <font>
        <b val="0"/>
        <i val="0"/>
        <strike val="0"/>
        <condense val="0"/>
        <extend val="0"/>
        <outline val="0"/>
        <shadow val="0"/>
        <u val="none"/>
        <vertAlign val="baseline"/>
        <sz val="12"/>
        <color theme="1"/>
        <name val="Georgia"/>
        <family val="1"/>
        <scheme val="none"/>
      </font>
      <numFmt numFmtId="3" formatCode="#,##0"/>
      <fill>
        <patternFill patternType="none">
          <fgColor indexed="64"/>
          <bgColor auto="1"/>
        </patternFill>
      </fill>
      <alignment horizontal="right" vertical="center" textRotation="0" wrapText="0" indent="1" justifyLastLine="0" shrinkToFit="0" readingOrder="0"/>
    </dxf>
    <dxf>
      <font>
        <b val="0"/>
        <i val="0"/>
        <strike val="0"/>
        <condense val="0"/>
        <extend val="0"/>
        <outline val="0"/>
        <shadow val="0"/>
        <u val="none"/>
        <vertAlign val="baseline"/>
        <sz val="12"/>
        <color theme="1"/>
        <name val="Georgia"/>
        <family val="1"/>
        <scheme val="none"/>
      </font>
      <numFmt numFmtId="3" formatCode="#,##0"/>
      <fill>
        <patternFill patternType="none">
          <fgColor indexed="64"/>
          <bgColor auto="1"/>
        </patternFill>
      </fill>
      <alignment horizontal="right" vertical="center" textRotation="0" wrapText="0" indent="1" justifyLastLine="0" shrinkToFit="0" readingOrder="0"/>
    </dxf>
    <dxf>
      <font>
        <b val="0"/>
        <i val="0"/>
        <strike val="0"/>
        <condense val="0"/>
        <extend val="0"/>
        <outline val="0"/>
        <shadow val="0"/>
        <u val="none"/>
        <vertAlign val="baseline"/>
        <sz val="12"/>
        <color theme="1"/>
        <name val="Georgia"/>
        <family val="1"/>
        <scheme val="none"/>
      </font>
      <numFmt numFmtId="3" formatCode="#,##0"/>
      <fill>
        <patternFill patternType="none">
          <fgColor indexed="64"/>
          <bgColor auto="1"/>
        </patternFill>
      </fill>
      <alignment horizontal="right" vertical="center" textRotation="0" wrapText="0" indent="1" justifyLastLine="0" shrinkToFit="0" readingOrder="0"/>
    </dxf>
    <dxf>
      <font>
        <b val="0"/>
        <i val="0"/>
        <strike val="0"/>
        <condense val="0"/>
        <extend val="0"/>
        <outline val="0"/>
        <shadow val="0"/>
        <u val="none"/>
        <vertAlign val="baseline"/>
        <sz val="12"/>
        <color theme="1"/>
        <name val="Georgia"/>
        <family val="1"/>
        <scheme val="none"/>
      </font>
      <numFmt numFmtId="3" formatCode="#,##0"/>
      <fill>
        <patternFill patternType="none">
          <fgColor indexed="64"/>
          <bgColor auto="1"/>
        </patternFill>
      </fill>
      <alignment horizontal="right" vertical="center" textRotation="0" wrapText="0" indent="1" justifyLastLine="0" shrinkToFit="0" readingOrder="0"/>
    </dxf>
    <dxf>
      <font>
        <b val="0"/>
        <i val="0"/>
        <strike val="0"/>
        <condense val="0"/>
        <extend val="0"/>
        <outline val="0"/>
        <shadow val="0"/>
        <u val="none"/>
        <vertAlign val="baseline"/>
        <sz val="12"/>
        <color theme="1"/>
        <name val="Georgia"/>
        <family val="1"/>
        <scheme val="none"/>
      </font>
      <numFmt numFmtId="3" formatCode="#,##0"/>
      <fill>
        <patternFill patternType="none">
          <fgColor indexed="64"/>
          <bgColor auto="1"/>
        </patternFill>
      </fill>
      <alignment horizontal="right" vertical="center" textRotation="0" wrapText="0" indent="1" justifyLastLine="0" shrinkToFit="0" readingOrder="0"/>
    </dxf>
    <dxf>
      <font>
        <b val="0"/>
        <i val="0"/>
        <strike val="0"/>
        <condense val="0"/>
        <extend val="0"/>
        <outline val="0"/>
        <shadow val="0"/>
        <u val="none"/>
        <vertAlign val="baseline"/>
        <sz val="12"/>
        <color theme="1"/>
        <name val="Georgia"/>
        <family val="1"/>
        <scheme val="none"/>
      </font>
      <numFmt numFmtId="3" formatCode="#,##0"/>
      <fill>
        <patternFill patternType="none">
          <fgColor indexed="64"/>
          <bgColor auto="1"/>
        </patternFill>
      </fill>
      <alignment horizontal="right" vertical="center" textRotation="0" wrapText="0" indent="1" justifyLastLine="0" shrinkToFit="0" readingOrder="0"/>
    </dxf>
    <dxf>
      <font>
        <b val="0"/>
        <i val="0"/>
        <strike val="0"/>
        <condense val="0"/>
        <extend val="0"/>
        <outline val="0"/>
        <shadow val="0"/>
        <u val="none"/>
        <vertAlign val="baseline"/>
        <sz val="12"/>
        <color theme="1"/>
        <name val="Georgia"/>
        <family val="1"/>
        <scheme val="none"/>
      </font>
      <numFmt numFmtId="3" formatCode="#,##0"/>
      <fill>
        <patternFill patternType="none">
          <fgColor indexed="64"/>
          <bgColor auto="1"/>
        </patternFill>
      </fill>
      <alignment horizontal="right" vertical="center" textRotation="0" wrapText="0" indent="1" justifyLastLine="0" shrinkToFit="0" readingOrder="0"/>
    </dxf>
    <dxf>
      <font>
        <b val="0"/>
        <i val="0"/>
        <strike val="0"/>
        <condense val="0"/>
        <extend val="0"/>
        <outline val="0"/>
        <shadow val="0"/>
        <u val="none"/>
        <vertAlign val="baseline"/>
        <sz val="12"/>
        <color theme="1"/>
        <name val="Georgia"/>
        <family val="1"/>
        <scheme val="none"/>
      </font>
      <numFmt numFmtId="3" formatCode="#,##0"/>
      <fill>
        <patternFill patternType="none">
          <fgColor indexed="64"/>
          <bgColor auto="1"/>
        </patternFill>
      </fill>
      <alignment horizontal="right" vertical="center" textRotation="0" wrapText="0" indent="1" justifyLastLine="0" shrinkToFit="0" readingOrder="0"/>
    </dxf>
    <dxf>
      <font>
        <b val="0"/>
        <i val="0"/>
        <strike val="0"/>
        <condense val="0"/>
        <extend val="0"/>
        <outline val="0"/>
        <shadow val="0"/>
        <u val="none"/>
        <vertAlign val="baseline"/>
        <sz val="12"/>
        <color theme="1"/>
        <name val="Georgia"/>
        <family val="1"/>
        <scheme val="none"/>
      </font>
      <numFmt numFmtId="3" formatCode="#,##0"/>
      <fill>
        <patternFill patternType="none">
          <fgColor indexed="64"/>
          <bgColor auto="1"/>
        </patternFill>
      </fill>
      <alignment horizontal="right" vertical="center" textRotation="0" wrapText="0" indent="1" justifyLastLine="0" shrinkToFit="0" readingOrder="0"/>
    </dxf>
    <dxf>
      <font>
        <b val="0"/>
        <i val="0"/>
        <strike val="0"/>
        <condense val="0"/>
        <extend val="0"/>
        <outline val="0"/>
        <shadow val="0"/>
        <u val="none"/>
        <vertAlign val="baseline"/>
        <sz val="12"/>
        <color theme="1"/>
        <name val="Georgia"/>
        <family val="1"/>
        <scheme val="none"/>
      </font>
      <numFmt numFmtId="3" formatCode="#,##0"/>
      <fill>
        <patternFill patternType="none">
          <fgColor indexed="64"/>
          <bgColor auto="1"/>
        </patternFill>
      </fill>
      <alignment horizontal="right" vertical="center" textRotation="0" wrapText="0" indent="1" justifyLastLine="0" shrinkToFit="0" readingOrder="0"/>
    </dxf>
    <dxf>
      <font>
        <b val="0"/>
        <i val="0"/>
        <strike val="0"/>
        <condense val="0"/>
        <extend val="0"/>
        <outline val="0"/>
        <shadow val="0"/>
        <u val="none"/>
        <vertAlign val="baseline"/>
        <sz val="12"/>
        <color theme="1"/>
        <name val="Georgia"/>
        <family val="1"/>
        <scheme val="none"/>
      </font>
      <numFmt numFmtId="3" formatCode="#,##0"/>
      <fill>
        <patternFill patternType="none">
          <fgColor indexed="64"/>
          <bgColor auto="1"/>
        </patternFill>
      </fill>
      <alignment horizontal="right" vertical="center" textRotation="0" wrapText="0" indent="1" justifyLastLine="0" shrinkToFit="0" readingOrder="0"/>
    </dxf>
    <dxf>
      <font>
        <b val="0"/>
        <i val="0"/>
        <strike val="0"/>
        <condense val="0"/>
        <extend val="0"/>
        <outline val="0"/>
        <shadow val="0"/>
        <u val="none"/>
        <vertAlign val="baseline"/>
        <sz val="12"/>
        <color theme="1"/>
        <name val="Georgia"/>
        <family val="1"/>
        <scheme val="none"/>
      </font>
      <numFmt numFmtId="3" formatCode="#,##0"/>
      <fill>
        <patternFill patternType="none">
          <fgColor indexed="64"/>
          <bgColor auto="1"/>
        </patternFill>
      </fill>
      <alignment horizontal="right" vertical="center" textRotation="0" wrapText="0" indent="1" justifyLastLine="0" shrinkToFit="0" readingOrder="0"/>
    </dxf>
    <dxf>
      <font>
        <b val="0"/>
        <i val="0"/>
        <strike val="0"/>
        <condense val="0"/>
        <extend val="0"/>
        <outline val="0"/>
        <shadow val="0"/>
        <u val="none"/>
        <vertAlign val="baseline"/>
        <sz val="12"/>
        <color theme="1"/>
        <name val="Georgia"/>
        <family val="1"/>
        <scheme val="none"/>
      </font>
      <numFmt numFmtId="3" formatCode="#,##0"/>
      <fill>
        <patternFill patternType="none">
          <fgColor indexed="64"/>
          <bgColor auto="1"/>
        </patternFill>
      </fill>
      <alignment horizontal="right" vertical="center" textRotation="0" wrapText="0" indent="1" justifyLastLine="0" shrinkToFit="0" readingOrder="0"/>
    </dxf>
    <dxf>
      <font>
        <b val="0"/>
        <i val="0"/>
        <strike val="0"/>
        <condense val="0"/>
        <extend val="0"/>
        <outline val="0"/>
        <shadow val="0"/>
        <u val="none"/>
        <vertAlign val="baseline"/>
        <sz val="12"/>
        <color theme="1"/>
        <name val="Georgia"/>
        <family val="1"/>
        <scheme val="none"/>
      </font>
      <numFmt numFmtId="3" formatCode="#,##0"/>
      <fill>
        <patternFill patternType="none">
          <fgColor indexed="64"/>
          <bgColor auto="1"/>
        </patternFill>
      </fill>
      <alignment horizontal="right" vertical="center" textRotation="0" wrapText="0" indent="1" justifyLastLine="0" shrinkToFit="0" readingOrder="0"/>
    </dxf>
    <dxf>
      <font>
        <b val="0"/>
        <i val="0"/>
        <strike val="0"/>
        <condense val="0"/>
        <extend val="0"/>
        <outline val="0"/>
        <shadow val="0"/>
        <u val="none"/>
        <vertAlign val="baseline"/>
        <sz val="12"/>
        <color theme="1"/>
        <name val="Georgia"/>
        <family val="1"/>
        <scheme val="none"/>
      </font>
      <numFmt numFmtId="3" formatCode="#,##0"/>
      <fill>
        <patternFill patternType="none">
          <fgColor indexed="64"/>
          <bgColor auto="1"/>
        </patternFill>
      </fill>
      <alignment horizontal="right" vertical="center" textRotation="0" wrapText="0" indent="1" justifyLastLine="0" shrinkToFit="0" readingOrder="0"/>
    </dxf>
    <dxf>
      <font>
        <b val="0"/>
        <i val="0"/>
        <strike val="0"/>
        <condense val="0"/>
        <extend val="0"/>
        <outline val="0"/>
        <shadow val="0"/>
        <u val="none"/>
        <vertAlign val="baseline"/>
        <sz val="12"/>
        <color theme="1"/>
        <name val="Georgia"/>
        <family val="1"/>
        <scheme val="none"/>
      </font>
      <numFmt numFmtId="3" formatCode="#,##0"/>
      <fill>
        <patternFill patternType="none">
          <fgColor indexed="64"/>
          <bgColor auto="1"/>
        </patternFill>
      </fill>
      <alignment horizontal="right" vertical="center" textRotation="0" wrapText="0" indent="1" justifyLastLine="0" shrinkToFit="0" readingOrder="0"/>
    </dxf>
    <dxf>
      <font>
        <b val="0"/>
        <i val="0"/>
        <strike val="0"/>
        <condense val="0"/>
        <extend val="0"/>
        <outline val="0"/>
        <shadow val="0"/>
        <u val="none"/>
        <vertAlign val="baseline"/>
        <sz val="12"/>
        <color theme="1"/>
        <name val="Georgia"/>
        <family val="1"/>
        <scheme val="none"/>
      </font>
      <numFmt numFmtId="3" formatCode="#,##0"/>
      <fill>
        <patternFill patternType="none">
          <fgColor indexed="64"/>
          <bgColor auto="1"/>
        </patternFill>
      </fill>
      <alignment horizontal="right" vertical="center" textRotation="0" wrapText="0" indent="1" justifyLastLine="0" shrinkToFit="0" readingOrder="0"/>
    </dxf>
    <dxf>
      <font>
        <b val="0"/>
        <i val="0"/>
        <strike val="0"/>
        <condense val="0"/>
        <extend val="0"/>
        <outline val="0"/>
        <shadow val="0"/>
        <u val="none"/>
        <vertAlign val="baseline"/>
        <sz val="12"/>
        <color theme="1"/>
        <name val="Georgia"/>
        <family val="1"/>
        <scheme val="none"/>
      </font>
      <numFmt numFmtId="3" formatCode="#,##0"/>
      <fill>
        <patternFill patternType="none">
          <fgColor indexed="64"/>
          <bgColor auto="1"/>
        </patternFill>
      </fill>
      <alignment horizontal="right" vertical="center" textRotation="0" wrapText="0" indent="1" justifyLastLine="0" shrinkToFit="0" readingOrder="0"/>
    </dxf>
    <dxf>
      <font>
        <b val="0"/>
        <i val="0"/>
        <strike val="0"/>
        <condense val="0"/>
        <extend val="0"/>
        <outline val="0"/>
        <shadow val="0"/>
        <u val="none"/>
        <vertAlign val="baseline"/>
        <sz val="12"/>
        <color theme="1"/>
        <name val="Georgia"/>
        <family val="1"/>
        <scheme val="none"/>
      </font>
      <numFmt numFmtId="3" formatCode="#,##0"/>
      <fill>
        <patternFill patternType="none">
          <fgColor indexed="64"/>
          <bgColor auto="1"/>
        </patternFill>
      </fill>
      <alignment horizontal="right" vertical="center" textRotation="0" wrapText="0" indent="1" justifyLastLine="0" shrinkToFit="0" readingOrder="0"/>
    </dxf>
    <dxf>
      <font>
        <b val="0"/>
        <i val="0"/>
        <strike val="0"/>
        <condense val="0"/>
        <extend val="0"/>
        <outline val="0"/>
        <shadow val="0"/>
        <u val="none"/>
        <vertAlign val="baseline"/>
        <sz val="12"/>
        <color theme="1"/>
        <name val="Georgia"/>
        <family val="1"/>
        <scheme val="none"/>
      </font>
      <numFmt numFmtId="3" formatCode="#,##0"/>
      <fill>
        <patternFill patternType="none">
          <fgColor indexed="64"/>
          <bgColor auto="1"/>
        </patternFill>
      </fill>
      <alignment horizontal="right" vertical="center" textRotation="0" wrapText="0" indent="1" justifyLastLine="0" shrinkToFit="0" readingOrder="0"/>
    </dxf>
    <dxf>
      <font>
        <b val="0"/>
        <i val="0"/>
        <strike val="0"/>
        <condense val="0"/>
        <extend val="0"/>
        <outline val="0"/>
        <shadow val="0"/>
        <u val="none"/>
        <vertAlign val="baseline"/>
        <sz val="12"/>
        <color theme="1"/>
        <name val="Georgia"/>
        <family val="1"/>
        <scheme val="none"/>
      </font>
      <numFmt numFmtId="3" formatCode="#,##0"/>
      <fill>
        <patternFill patternType="none">
          <fgColor indexed="64"/>
          <bgColor auto="1"/>
        </patternFill>
      </fill>
      <alignment horizontal="right" vertical="center" textRotation="0" wrapText="0" indent="1" justifyLastLine="0" shrinkToFit="0" readingOrder="0"/>
    </dxf>
    <dxf>
      <font>
        <b val="0"/>
        <i val="0"/>
        <strike val="0"/>
        <condense val="0"/>
        <extend val="0"/>
        <outline val="0"/>
        <shadow val="0"/>
        <u val="none"/>
        <vertAlign val="baseline"/>
        <sz val="12"/>
        <color theme="1"/>
        <name val="Georgia"/>
        <family val="1"/>
        <scheme val="none"/>
      </font>
      <numFmt numFmtId="3" formatCode="#,##0"/>
      <fill>
        <patternFill patternType="none">
          <fgColor indexed="64"/>
          <bgColor auto="1"/>
        </patternFill>
      </fill>
      <alignment horizontal="right" vertical="center" textRotation="0" wrapText="0" indent="1" justifyLastLine="0" shrinkToFit="0" readingOrder="0"/>
    </dxf>
    <dxf>
      <font>
        <b val="0"/>
        <i val="0"/>
        <strike val="0"/>
        <condense val="0"/>
        <extend val="0"/>
        <outline val="0"/>
        <shadow val="0"/>
        <u val="none"/>
        <vertAlign val="baseline"/>
        <sz val="12"/>
        <color theme="1"/>
        <name val="Georgia"/>
        <family val="1"/>
        <scheme val="none"/>
      </font>
      <numFmt numFmtId="3" formatCode="#,##0"/>
      <fill>
        <patternFill patternType="none">
          <fgColor indexed="64"/>
          <bgColor auto="1"/>
        </patternFill>
      </fill>
      <alignment horizontal="right" vertical="center" textRotation="0" wrapText="0" indent="1" justifyLastLine="0" shrinkToFit="0" readingOrder="0"/>
    </dxf>
    <dxf>
      <font>
        <b val="0"/>
        <i val="0"/>
        <strike val="0"/>
        <condense val="0"/>
        <extend val="0"/>
        <outline val="0"/>
        <shadow val="0"/>
        <u val="none"/>
        <vertAlign val="baseline"/>
        <sz val="12"/>
        <color theme="1"/>
        <name val="Georgia"/>
        <family val="1"/>
        <scheme val="none"/>
      </font>
      <numFmt numFmtId="3" formatCode="#,##0"/>
      <fill>
        <patternFill patternType="none">
          <fgColor indexed="64"/>
          <bgColor auto="1"/>
        </patternFill>
      </fill>
      <alignment horizontal="right" vertical="center" textRotation="0" wrapText="0" indent="1" justifyLastLine="0" shrinkToFit="0" readingOrder="0"/>
    </dxf>
    <dxf>
      <font>
        <b val="0"/>
        <i val="0"/>
        <strike val="0"/>
        <condense val="0"/>
        <extend val="0"/>
        <outline val="0"/>
        <shadow val="0"/>
        <u val="none"/>
        <vertAlign val="baseline"/>
        <sz val="12"/>
        <color theme="1"/>
        <name val="Georgia"/>
        <family val="1"/>
        <scheme val="none"/>
      </font>
      <numFmt numFmtId="3" formatCode="#,##0"/>
      <fill>
        <patternFill patternType="none">
          <fgColor indexed="64"/>
          <bgColor auto="1"/>
        </patternFill>
      </fill>
      <alignment horizontal="right" vertical="center" textRotation="0" wrapText="0" indent="1" justifyLastLine="0" shrinkToFit="0" readingOrder="0"/>
    </dxf>
    <dxf>
      <font>
        <b val="0"/>
        <i val="0"/>
        <strike val="0"/>
        <condense val="0"/>
        <extend val="0"/>
        <outline val="0"/>
        <shadow val="0"/>
        <u val="none"/>
        <vertAlign val="baseline"/>
        <sz val="12"/>
        <color theme="1"/>
        <name val="Georgia"/>
        <family val="1"/>
        <scheme val="none"/>
      </font>
      <numFmt numFmtId="3" formatCode="#,##0"/>
      <fill>
        <patternFill patternType="none">
          <fgColor indexed="64"/>
          <bgColor auto="1"/>
        </patternFill>
      </fill>
      <alignment horizontal="right" vertical="center" textRotation="0" wrapText="0" indent="1" justifyLastLine="0" shrinkToFit="0" readingOrder="0"/>
    </dxf>
    <dxf>
      <font>
        <b val="0"/>
        <i val="0"/>
        <strike val="0"/>
        <condense val="0"/>
        <extend val="0"/>
        <outline val="0"/>
        <shadow val="0"/>
        <u val="none"/>
        <vertAlign val="baseline"/>
        <sz val="12"/>
        <color theme="1"/>
        <name val="Georgia"/>
        <family val="1"/>
        <scheme val="none"/>
      </font>
      <numFmt numFmtId="3" formatCode="#,##0"/>
      <fill>
        <patternFill patternType="none">
          <fgColor indexed="64"/>
          <bgColor auto="1"/>
        </patternFill>
      </fill>
      <alignment horizontal="right" vertical="center" textRotation="0" wrapText="0" indent="1" justifyLastLine="0" shrinkToFit="0" readingOrder="0"/>
    </dxf>
    <dxf>
      <font>
        <b val="0"/>
        <i val="0"/>
        <strike val="0"/>
        <condense val="0"/>
        <extend val="0"/>
        <outline val="0"/>
        <shadow val="0"/>
        <u val="none"/>
        <vertAlign val="baseline"/>
        <sz val="12"/>
        <color theme="1"/>
        <name val="Georgia"/>
        <family val="1"/>
        <scheme val="none"/>
      </font>
      <numFmt numFmtId="3" formatCode="#,##0"/>
      <fill>
        <patternFill patternType="none">
          <fgColor indexed="64"/>
          <bgColor auto="1"/>
        </patternFill>
      </fill>
      <alignment horizontal="right" vertical="center" textRotation="0" wrapText="0" indent="1" justifyLastLine="0" shrinkToFit="0" readingOrder="0"/>
    </dxf>
    <dxf>
      <font>
        <b val="0"/>
        <i val="0"/>
        <strike val="0"/>
        <condense val="0"/>
        <extend val="0"/>
        <outline val="0"/>
        <shadow val="0"/>
        <u val="none"/>
        <vertAlign val="baseline"/>
        <sz val="12"/>
        <color theme="1"/>
        <name val="Georgia"/>
        <family val="1"/>
        <scheme val="none"/>
      </font>
      <numFmt numFmtId="3" formatCode="#,##0"/>
      <fill>
        <patternFill patternType="none">
          <fgColor indexed="64"/>
          <bgColor auto="1"/>
        </patternFill>
      </fill>
      <alignment horizontal="right" vertical="center" textRotation="0" wrapText="0" indent="1" justifyLastLine="0" shrinkToFit="0" readingOrder="0"/>
    </dxf>
    <dxf>
      <font>
        <b val="0"/>
        <i val="0"/>
        <strike val="0"/>
        <condense val="0"/>
        <extend val="0"/>
        <outline val="0"/>
        <shadow val="0"/>
        <u val="none"/>
        <vertAlign val="baseline"/>
        <sz val="12"/>
        <color theme="1"/>
        <name val="Georgia"/>
        <family val="1"/>
        <scheme val="none"/>
      </font>
      <numFmt numFmtId="3" formatCode="#,##0"/>
      <fill>
        <patternFill patternType="none">
          <fgColor indexed="64"/>
          <bgColor auto="1"/>
        </patternFill>
      </fill>
      <alignment horizontal="right" vertical="center" textRotation="0" wrapText="0" indent="1" justifyLastLine="0" shrinkToFit="0" readingOrder="0"/>
    </dxf>
    <dxf>
      <font>
        <b val="0"/>
        <i val="0"/>
        <strike val="0"/>
        <condense val="0"/>
        <extend val="0"/>
        <outline val="0"/>
        <shadow val="0"/>
        <u val="none"/>
        <vertAlign val="baseline"/>
        <sz val="12"/>
        <color theme="1"/>
        <name val="Georgia"/>
        <family val="1"/>
        <scheme val="none"/>
      </font>
      <numFmt numFmtId="3" formatCode="#,##0"/>
      <fill>
        <patternFill patternType="none">
          <fgColor indexed="64"/>
          <bgColor auto="1"/>
        </patternFill>
      </fill>
      <alignment horizontal="right" vertical="center" textRotation="0" wrapText="0" indent="1" justifyLastLine="0" shrinkToFit="0" readingOrder="0"/>
    </dxf>
    <dxf>
      <font>
        <b val="0"/>
        <i val="0"/>
        <strike val="0"/>
        <condense val="0"/>
        <extend val="0"/>
        <outline val="0"/>
        <shadow val="0"/>
        <u val="none"/>
        <vertAlign val="baseline"/>
        <sz val="12"/>
        <color theme="1"/>
        <name val="Georgia"/>
        <family val="1"/>
        <scheme val="none"/>
      </font>
      <numFmt numFmtId="3" formatCode="#,##0"/>
      <fill>
        <patternFill patternType="none">
          <fgColor indexed="64"/>
          <bgColor auto="1"/>
        </patternFill>
      </fill>
      <alignment horizontal="right" vertical="center" textRotation="0" wrapText="0" indent="1" justifyLastLine="0" shrinkToFit="0" readingOrder="0"/>
    </dxf>
    <dxf>
      <font>
        <b val="0"/>
        <i val="0"/>
        <strike val="0"/>
        <condense val="0"/>
        <extend val="0"/>
        <outline val="0"/>
        <shadow val="0"/>
        <u val="none"/>
        <vertAlign val="baseline"/>
        <sz val="12"/>
        <color theme="1"/>
        <name val="Georgia"/>
        <family val="1"/>
        <scheme val="none"/>
      </font>
      <numFmt numFmtId="3" formatCode="#,##0"/>
      <fill>
        <patternFill patternType="none">
          <fgColor indexed="64"/>
          <bgColor auto="1"/>
        </patternFill>
      </fill>
      <alignment horizontal="right" vertical="center" textRotation="0" wrapText="0" indent="1" justifyLastLine="0" shrinkToFit="0" readingOrder="0"/>
    </dxf>
    <dxf>
      <font>
        <b val="0"/>
        <i val="0"/>
        <strike val="0"/>
        <condense val="0"/>
        <extend val="0"/>
        <outline val="0"/>
        <shadow val="0"/>
        <u val="none"/>
        <vertAlign val="baseline"/>
        <sz val="12"/>
        <color theme="1"/>
        <name val="Georgia"/>
        <family val="1"/>
        <scheme val="none"/>
      </font>
      <numFmt numFmtId="3" formatCode="#,##0"/>
      <fill>
        <patternFill patternType="none">
          <fgColor indexed="64"/>
          <bgColor auto="1"/>
        </patternFill>
      </fill>
      <alignment horizontal="right" vertical="center" textRotation="0" wrapText="0" indent="1" justifyLastLine="0" shrinkToFit="0" readingOrder="0"/>
    </dxf>
    <dxf>
      <font>
        <b val="0"/>
        <i val="0"/>
        <strike val="0"/>
        <condense val="0"/>
        <extend val="0"/>
        <outline val="0"/>
        <shadow val="0"/>
        <u val="none"/>
        <vertAlign val="baseline"/>
        <sz val="12"/>
        <color theme="1"/>
        <name val="Georgia"/>
        <family val="1"/>
        <scheme val="none"/>
      </font>
      <numFmt numFmtId="3" formatCode="#,##0"/>
      <fill>
        <patternFill patternType="none">
          <fgColor indexed="64"/>
          <bgColor auto="1"/>
        </patternFill>
      </fill>
      <alignment horizontal="right" vertical="center" textRotation="0" wrapText="0" indent="1" justifyLastLine="0" shrinkToFit="0" readingOrder="0"/>
    </dxf>
    <dxf>
      <font>
        <b val="0"/>
        <i val="0"/>
        <strike val="0"/>
        <condense val="0"/>
        <extend val="0"/>
        <outline val="0"/>
        <shadow val="0"/>
        <u val="none"/>
        <vertAlign val="baseline"/>
        <sz val="12"/>
        <color theme="1"/>
        <name val="Georgia"/>
        <family val="1"/>
        <scheme val="none"/>
      </font>
      <numFmt numFmtId="3" formatCode="#,##0"/>
      <fill>
        <patternFill patternType="none">
          <fgColor indexed="64"/>
          <bgColor auto="1"/>
        </patternFill>
      </fill>
      <alignment horizontal="right" vertical="center" textRotation="0" wrapText="0" indent="1" justifyLastLine="0" shrinkToFit="0" readingOrder="0"/>
    </dxf>
    <dxf>
      <font>
        <b val="0"/>
        <i val="0"/>
        <strike val="0"/>
        <condense val="0"/>
        <extend val="0"/>
        <outline val="0"/>
        <shadow val="0"/>
        <u val="none"/>
        <vertAlign val="baseline"/>
        <sz val="12"/>
        <color theme="1"/>
        <name val="Georgia"/>
        <family val="1"/>
        <scheme val="none"/>
      </font>
      <numFmt numFmtId="3" formatCode="#,##0"/>
      <fill>
        <patternFill patternType="none">
          <fgColor indexed="64"/>
          <bgColor auto="1"/>
        </patternFill>
      </fill>
      <alignment horizontal="right" vertical="center" textRotation="0" wrapText="0" indent="1" justifyLastLine="0" shrinkToFit="0" readingOrder="0"/>
    </dxf>
    <dxf>
      <font>
        <b val="0"/>
        <i val="0"/>
        <strike val="0"/>
        <condense val="0"/>
        <extend val="0"/>
        <outline val="0"/>
        <shadow val="0"/>
        <u val="none"/>
        <vertAlign val="baseline"/>
        <sz val="12"/>
        <color theme="1"/>
        <name val="Georgia"/>
        <family val="1"/>
        <scheme val="none"/>
      </font>
      <numFmt numFmtId="3" formatCode="#,##0"/>
      <fill>
        <patternFill patternType="none">
          <fgColor indexed="64"/>
          <bgColor auto="1"/>
        </patternFill>
      </fill>
      <alignment horizontal="right" vertical="center" textRotation="0" wrapText="0" indent="1" justifyLastLine="0" shrinkToFit="0" readingOrder="0"/>
    </dxf>
    <dxf>
      <font>
        <b val="0"/>
        <i val="0"/>
        <strike val="0"/>
        <condense val="0"/>
        <extend val="0"/>
        <outline val="0"/>
        <shadow val="0"/>
        <u val="none"/>
        <vertAlign val="baseline"/>
        <sz val="12"/>
        <color theme="1"/>
        <name val="Georgia"/>
        <family val="1"/>
        <scheme val="none"/>
      </font>
      <numFmt numFmtId="3" formatCode="#,##0"/>
      <fill>
        <patternFill patternType="none">
          <fgColor indexed="64"/>
          <bgColor auto="1"/>
        </patternFill>
      </fill>
      <alignment horizontal="right" vertical="center" textRotation="0" wrapText="0" indent="1" justifyLastLine="0" shrinkToFit="0" readingOrder="0"/>
    </dxf>
    <dxf>
      <font>
        <b val="0"/>
        <i val="0"/>
        <strike val="0"/>
        <condense val="0"/>
        <extend val="0"/>
        <outline val="0"/>
        <shadow val="0"/>
        <u val="none"/>
        <vertAlign val="baseline"/>
        <sz val="12"/>
        <color theme="1"/>
        <name val="Georgia"/>
        <family val="1"/>
        <scheme val="none"/>
      </font>
      <numFmt numFmtId="3" formatCode="#,##0"/>
      <fill>
        <patternFill patternType="none">
          <fgColor indexed="64"/>
          <bgColor auto="1"/>
        </patternFill>
      </fill>
      <alignment horizontal="right" vertical="center" textRotation="0" wrapText="0" indent="1" justifyLastLine="0" shrinkToFit="0" readingOrder="0"/>
    </dxf>
    <dxf>
      <font>
        <b val="0"/>
        <i val="0"/>
        <strike val="0"/>
        <condense val="0"/>
        <extend val="0"/>
        <outline val="0"/>
        <shadow val="0"/>
        <u val="none"/>
        <vertAlign val="baseline"/>
        <sz val="12"/>
        <color theme="1"/>
        <name val="Georgia"/>
        <family val="1"/>
        <scheme val="none"/>
      </font>
      <numFmt numFmtId="3" formatCode="#,##0"/>
      <fill>
        <patternFill patternType="none">
          <fgColor indexed="64"/>
          <bgColor auto="1"/>
        </patternFill>
      </fill>
      <alignment horizontal="right" vertical="center" textRotation="0" wrapText="0" indent="1" justifyLastLine="0" shrinkToFit="0" readingOrder="0"/>
    </dxf>
    <dxf>
      <font>
        <b val="0"/>
        <i val="0"/>
        <strike val="0"/>
        <condense val="0"/>
        <extend val="0"/>
        <outline val="0"/>
        <shadow val="0"/>
        <u val="none"/>
        <vertAlign val="baseline"/>
        <sz val="12"/>
        <color theme="1"/>
        <name val="Georgia"/>
        <family val="1"/>
        <scheme val="none"/>
      </font>
      <numFmt numFmtId="3" formatCode="#,##0"/>
      <fill>
        <patternFill patternType="none">
          <fgColor indexed="64"/>
          <bgColor auto="1"/>
        </patternFill>
      </fill>
      <alignment horizontal="right" vertical="center" textRotation="0" wrapText="0" indent="1" justifyLastLine="0" shrinkToFit="0" readingOrder="0"/>
    </dxf>
    <dxf>
      <font>
        <b val="0"/>
        <i val="0"/>
        <strike val="0"/>
        <condense val="0"/>
        <extend val="0"/>
        <outline val="0"/>
        <shadow val="0"/>
        <u val="none"/>
        <vertAlign val="baseline"/>
        <sz val="12"/>
        <color theme="1"/>
        <name val="Georgia"/>
        <family val="1"/>
        <scheme val="none"/>
      </font>
      <numFmt numFmtId="3" formatCode="#,##0"/>
      <fill>
        <patternFill patternType="none">
          <fgColor indexed="64"/>
          <bgColor auto="1"/>
        </patternFill>
      </fill>
      <alignment horizontal="right" vertical="center" textRotation="0" wrapText="0" indent="1" justifyLastLine="0" shrinkToFit="0" readingOrder="0"/>
    </dxf>
    <dxf>
      <font>
        <b val="0"/>
        <i val="0"/>
        <strike val="0"/>
        <condense val="0"/>
        <extend val="0"/>
        <outline val="0"/>
        <shadow val="0"/>
        <u val="none"/>
        <vertAlign val="baseline"/>
        <sz val="12"/>
        <color theme="1"/>
        <name val="Georgia"/>
        <family val="1"/>
        <scheme val="none"/>
      </font>
      <numFmt numFmtId="3" formatCode="#,##0"/>
      <fill>
        <patternFill patternType="none">
          <fgColor indexed="64"/>
          <bgColor auto="1"/>
        </patternFill>
      </fill>
      <alignment horizontal="right" vertical="center" textRotation="0" wrapText="0" indent="1" justifyLastLine="0" shrinkToFit="0" readingOrder="0"/>
    </dxf>
    <dxf>
      <font>
        <b val="0"/>
        <i val="0"/>
        <strike val="0"/>
        <condense val="0"/>
        <extend val="0"/>
        <outline val="0"/>
        <shadow val="0"/>
        <u val="none"/>
        <vertAlign val="baseline"/>
        <sz val="12"/>
        <color theme="1"/>
        <name val="Georgia"/>
        <family val="1"/>
        <scheme val="none"/>
      </font>
      <numFmt numFmtId="3" formatCode="#,##0"/>
      <fill>
        <patternFill patternType="none">
          <fgColor indexed="64"/>
          <bgColor auto="1"/>
        </patternFill>
      </fill>
      <alignment horizontal="right" vertical="center" textRotation="0" wrapText="0" indent="1" justifyLastLine="0" shrinkToFit="0" readingOrder="0"/>
    </dxf>
    <dxf>
      <font>
        <b val="0"/>
        <i val="0"/>
        <strike val="0"/>
        <condense val="0"/>
        <extend val="0"/>
        <outline val="0"/>
        <shadow val="0"/>
        <u val="none"/>
        <vertAlign val="baseline"/>
        <sz val="12"/>
        <color theme="1"/>
        <name val="Georgia"/>
        <family val="1"/>
        <scheme val="none"/>
      </font>
      <numFmt numFmtId="3" formatCode="#,##0"/>
      <fill>
        <patternFill patternType="none">
          <fgColor indexed="64"/>
          <bgColor auto="1"/>
        </patternFill>
      </fill>
      <alignment horizontal="right" vertical="center" textRotation="0" wrapText="0" indent="1" justifyLastLine="0" shrinkToFit="0" readingOrder="0"/>
    </dxf>
    <dxf>
      <font>
        <b val="0"/>
        <i val="0"/>
        <strike val="0"/>
        <condense val="0"/>
        <extend val="0"/>
        <outline val="0"/>
        <shadow val="0"/>
        <u val="none"/>
        <vertAlign val="baseline"/>
        <sz val="12"/>
        <color theme="1"/>
        <name val="Georgia"/>
        <family val="1"/>
        <scheme val="none"/>
      </font>
      <numFmt numFmtId="3" formatCode="#,##0"/>
      <fill>
        <patternFill patternType="none">
          <fgColor indexed="64"/>
          <bgColor auto="1"/>
        </patternFill>
      </fill>
      <alignment horizontal="right" vertical="center" textRotation="0" wrapText="0" indent="1" justifyLastLine="0" shrinkToFit="0" readingOrder="0"/>
    </dxf>
    <dxf>
      <font>
        <b val="0"/>
        <i val="0"/>
        <strike val="0"/>
        <condense val="0"/>
        <extend val="0"/>
        <outline val="0"/>
        <shadow val="0"/>
        <u val="none"/>
        <vertAlign val="baseline"/>
        <sz val="12"/>
        <color theme="1"/>
        <name val="Georgia"/>
        <family val="1"/>
        <scheme val="none"/>
      </font>
      <numFmt numFmtId="3" formatCode="#,##0"/>
      <fill>
        <patternFill patternType="none">
          <fgColor indexed="64"/>
          <bgColor auto="1"/>
        </patternFill>
      </fill>
      <alignment horizontal="right" vertical="center" textRotation="0" wrapText="0" indent="1" justifyLastLine="0" shrinkToFit="0" readingOrder="0"/>
    </dxf>
    <dxf>
      <font>
        <b val="0"/>
        <i val="0"/>
        <strike val="0"/>
        <condense val="0"/>
        <extend val="0"/>
        <outline val="0"/>
        <shadow val="0"/>
        <u val="none"/>
        <vertAlign val="baseline"/>
        <sz val="12"/>
        <color theme="1"/>
        <name val="Georgia"/>
        <family val="1"/>
        <scheme val="none"/>
      </font>
      <numFmt numFmtId="3" formatCode="#,##0"/>
      <fill>
        <patternFill patternType="none">
          <fgColor indexed="64"/>
          <bgColor auto="1"/>
        </patternFill>
      </fill>
      <alignment horizontal="right" vertical="center" textRotation="0" wrapText="0" indent="1" justifyLastLine="0" shrinkToFit="0" readingOrder="0"/>
    </dxf>
    <dxf>
      <font>
        <b val="0"/>
        <i val="0"/>
        <strike val="0"/>
        <condense val="0"/>
        <extend val="0"/>
        <outline val="0"/>
        <shadow val="0"/>
        <u val="none"/>
        <vertAlign val="baseline"/>
        <sz val="12"/>
        <color theme="1"/>
        <name val="Georgia"/>
        <family val="1"/>
        <scheme val="none"/>
      </font>
      <numFmt numFmtId="3" formatCode="#,##0"/>
      <fill>
        <patternFill patternType="none">
          <fgColor indexed="64"/>
          <bgColor auto="1"/>
        </patternFill>
      </fill>
      <alignment horizontal="right" vertical="center" textRotation="0" wrapText="0" indent="1" justifyLastLine="0" shrinkToFit="0" readingOrder="0"/>
    </dxf>
    <dxf>
      <font>
        <b val="0"/>
        <i val="0"/>
        <strike val="0"/>
        <condense val="0"/>
        <extend val="0"/>
        <outline val="0"/>
        <shadow val="0"/>
        <u val="none"/>
        <vertAlign val="baseline"/>
        <sz val="12"/>
        <color theme="1"/>
        <name val="Georgia"/>
        <family val="1"/>
        <scheme val="none"/>
      </font>
      <numFmt numFmtId="3" formatCode="#,##0"/>
      <fill>
        <patternFill patternType="none">
          <fgColor indexed="64"/>
          <bgColor auto="1"/>
        </patternFill>
      </fill>
      <alignment horizontal="right" vertical="center" textRotation="0" wrapText="0" indent="1" justifyLastLine="0" shrinkToFit="0" readingOrder="0"/>
    </dxf>
    <dxf>
      <font>
        <b val="0"/>
        <i val="0"/>
        <strike val="0"/>
        <condense val="0"/>
        <extend val="0"/>
        <outline val="0"/>
        <shadow val="0"/>
        <u val="none"/>
        <vertAlign val="baseline"/>
        <sz val="12"/>
        <color theme="1"/>
        <name val="Georgia"/>
        <family val="1"/>
        <scheme val="none"/>
      </font>
      <numFmt numFmtId="3" formatCode="#,##0"/>
      <fill>
        <patternFill patternType="none">
          <fgColor indexed="64"/>
          <bgColor auto="1"/>
        </patternFill>
      </fill>
      <alignment horizontal="right" vertical="center" textRotation="0" wrapText="0" indent="1" justifyLastLine="0" shrinkToFit="0" readingOrder="0"/>
    </dxf>
    <dxf>
      <font>
        <b val="0"/>
        <i val="0"/>
        <strike val="0"/>
        <condense val="0"/>
        <extend val="0"/>
        <outline val="0"/>
        <shadow val="0"/>
        <u val="none"/>
        <vertAlign val="baseline"/>
        <sz val="12"/>
        <color theme="1"/>
        <name val="Georgia"/>
        <family val="1"/>
        <scheme val="none"/>
      </font>
      <numFmt numFmtId="3" formatCode="#,##0"/>
      <fill>
        <patternFill patternType="none">
          <fgColor indexed="64"/>
          <bgColor auto="1"/>
        </patternFill>
      </fill>
      <alignment horizontal="right" vertical="center" textRotation="0" wrapText="0" indent="1" justifyLastLine="0" shrinkToFit="0" readingOrder="0"/>
    </dxf>
    <dxf>
      <font>
        <b val="0"/>
        <i val="0"/>
        <strike val="0"/>
        <condense val="0"/>
        <extend val="0"/>
        <outline val="0"/>
        <shadow val="0"/>
        <u val="none"/>
        <vertAlign val="baseline"/>
        <sz val="12"/>
        <color theme="1"/>
        <name val="Georgia"/>
        <family val="1"/>
        <scheme val="none"/>
      </font>
      <numFmt numFmtId="3" formatCode="#,##0"/>
      <fill>
        <patternFill patternType="none">
          <fgColor indexed="64"/>
          <bgColor auto="1"/>
        </patternFill>
      </fill>
      <alignment horizontal="right" vertical="center" textRotation="0" wrapText="0" indent="1" justifyLastLine="0" shrinkToFit="0" readingOrder="0"/>
    </dxf>
    <dxf>
      <font>
        <b val="0"/>
        <i val="0"/>
        <strike val="0"/>
        <condense val="0"/>
        <extend val="0"/>
        <outline val="0"/>
        <shadow val="0"/>
        <u val="none"/>
        <vertAlign val="baseline"/>
        <sz val="12"/>
        <color theme="1"/>
        <name val="Georgia"/>
        <family val="1"/>
        <scheme val="none"/>
      </font>
      <numFmt numFmtId="3" formatCode="#,##0"/>
      <fill>
        <patternFill patternType="none">
          <fgColor indexed="64"/>
          <bgColor auto="1"/>
        </patternFill>
      </fill>
      <alignment horizontal="right" vertical="center" textRotation="0" wrapText="0" indent="1" justifyLastLine="0" shrinkToFit="0" readingOrder="0"/>
    </dxf>
    <dxf>
      <font>
        <b val="0"/>
        <i val="0"/>
        <strike val="0"/>
        <condense val="0"/>
        <extend val="0"/>
        <outline val="0"/>
        <shadow val="0"/>
        <u val="none"/>
        <vertAlign val="baseline"/>
        <sz val="12"/>
        <color theme="1"/>
        <name val="Georgia"/>
        <family val="1"/>
        <scheme val="none"/>
      </font>
      <numFmt numFmtId="3" formatCode="#,##0"/>
      <fill>
        <patternFill patternType="none">
          <fgColor indexed="64"/>
          <bgColor auto="1"/>
        </patternFill>
      </fill>
      <alignment horizontal="right" vertical="center" textRotation="0" wrapText="0" indent="1" justifyLastLine="0" shrinkToFit="0" readingOrder="0"/>
    </dxf>
    <dxf>
      <font>
        <b val="0"/>
        <i val="0"/>
        <strike val="0"/>
        <condense val="0"/>
        <extend val="0"/>
        <outline val="0"/>
        <shadow val="0"/>
        <u val="none"/>
        <vertAlign val="baseline"/>
        <sz val="12"/>
        <color theme="1"/>
        <name val="Georgia"/>
        <family val="1"/>
        <scheme val="none"/>
      </font>
      <numFmt numFmtId="3" formatCode="#,##0"/>
      <fill>
        <patternFill patternType="none">
          <fgColor indexed="64"/>
          <bgColor auto="1"/>
        </patternFill>
      </fill>
      <alignment horizontal="right" vertical="center" textRotation="0" wrapText="0" indent="1" justifyLastLine="0" shrinkToFit="0" readingOrder="0"/>
    </dxf>
    <dxf>
      <font>
        <b val="0"/>
        <i val="0"/>
        <strike val="0"/>
        <condense val="0"/>
        <extend val="0"/>
        <outline val="0"/>
        <shadow val="0"/>
        <u val="none"/>
        <vertAlign val="baseline"/>
        <sz val="12"/>
        <color theme="1"/>
        <name val="Georgia"/>
        <family val="1"/>
        <scheme val="none"/>
      </font>
      <numFmt numFmtId="3" formatCode="#,##0"/>
      <fill>
        <patternFill patternType="none">
          <fgColor indexed="64"/>
          <bgColor auto="1"/>
        </patternFill>
      </fill>
      <alignment horizontal="right" vertical="center" textRotation="0" wrapText="0" indent="1" justifyLastLine="0" shrinkToFit="0" readingOrder="0"/>
    </dxf>
    <dxf>
      <font>
        <b val="0"/>
        <i val="0"/>
        <strike val="0"/>
        <condense val="0"/>
        <extend val="0"/>
        <outline val="0"/>
        <shadow val="0"/>
        <u val="none"/>
        <vertAlign val="baseline"/>
        <sz val="12"/>
        <color theme="1"/>
        <name val="Georgia"/>
        <family val="1"/>
        <scheme val="none"/>
      </font>
      <numFmt numFmtId="3" formatCode="#,##0"/>
      <fill>
        <patternFill patternType="none">
          <fgColor indexed="64"/>
          <bgColor auto="1"/>
        </patternFill>
      </fill>
      <alignment horizontal="right" vertical="center" textRotation="0" wrapText="0" indent="1" justifyLastLine="0" shrinkToFit="0" readingOrder="0"/>
    </dxf>
    <dxf>
      <font>
        <b val="0"/>
        <i val="0"/>
        <strike val="0"/>
        <condense val="0"/>
        <extend val="0"/>
        <outline val="0"/>
        <shadow val="0"/>
        <u val="none"/>
        <vertAlign val="baseline"/>
        <sz val="12"/>
        <color theme="1"/>
        <name val="Georgia"/>
        <family val="1"/>
        <scheme val="none"/>
      </font>
      <numFmt numFmtId="3" formatCode="#,##0"/>
      <fill>
        <patternFill patternType="none">
          <fgColor indexed="64"/>
          <bgColor auto="1"/>
        </patternFill>
      </fill>
      <alignment horizontal="right" vertical="center" textRotation="0" wrapText="0" indent="1" justifyLastLine="0" shrinkToFit="0" readingOrder="0"/>
    </dxf>
    <dxf>
      <font>
        <b val="0"/>
        <i val="0"/>
        <strike val="0"/>
        <condense val="0"/>
        <extend val="0"/>
        <outline val="0"/>
        <shadow val="0"/>
        <u val="none"/>
        <vertAlign val="baseline"/>
        <sz val="12"/>
        <color theme="1"/>
        <name val="Georgia"/>
        <family val="1"/>
        <scheme val="none"/>
      </font>
      <numFmt numFmtId="3" formatCode="#,##0"/>
      <fill>
        <patternFill patternType="none">
          <fgColor indexed="64"/>
          <bgColor auto="1"/>
        </patternFill>
      </fill>
      <alignment horizontal="right" vertical="center" textRotation="0" wrapText="0" indent="1" justifyLastLine="0" shrinkToFit="0" readingOrder="0"/>
    </dxf>
    <dxf>
      <font>
        <b val="0"/>
        <i val="0"/>
        <strike val="0"/>
        <condense val="0"/>
        <extend val="0"/>
        <outline val="0"/>
        <shadow val="0"/>
        <u val="none"/>
        <vertAlign val="baseline"/>
        <sz val="12"/>
        <color theme="1"/>
        <name val="Georgia"/>
        <family val="1"/>
        <scheme val="none"/>
      </font>
      <numFmt numFmtId="3" formatCode="#,##0"/>
      <fill>
        <patternFill patternType="none">
          <fgColor indexed="64"/>
          <bgColor auto="1"/>
        </patternFill>
      </fill>
      <alignment horizontal="right" vertical="center" textRotation="0" wrapText="0" indent="1" justifyLastLine="0" shrinkToFit="0" readingOrder="0"/>
    </dxf>
    <dxf>
      <font>
        <b val="0"/>
        <i val="0"/>
        <strike val="0"/>
        <condense val="0"/>
        <extend val="0"/>
        <outline val="0"/>
        <shadow val="0"/>
        <u val="none"/>
        <vertAlign val="baseline"/>
        <sz val="12"/>
        <color theme="1"/>
        <name val="Georgia"/>
        <family val="1"/>
        <scheme val="none"/>
      </font>
      <numFmt numFmtId="3" formatCode="#,##0"/>
      <fill>
        <patternFill patternType="none">
          <fgColor indexed="64"/>
          <bgColor auto="1"/>
        </patternFill>
      </fill>
      <alignment horizontal="right" vertical="center" textRotation="0" wrapText="0" indent="1" justifyLastLine="0" shrinkToFit="0" readingOrder="0"/>
    </dxf>
    <dxf>
      <font>
        <b val="0"/>
        <i val="0"/>
        <strike val="0"/>
        <condense val="0"/>
        <extend val="0"/>
        <outline val="0"/>
        <shadow val="0"/>
        <u val="none"/>
        <vertAlign val="baseline"/>
        <sz val="12"/>
        <color theme="1"/>
        <name val="Georgia"/>
        <family val="1"/>
        <scheme val="none"/>
      </font>
      <numFmt numFmtId="3" formatCode="#,##0"/>
      <fill>
        <patternFill patternType="none">
          <fgColor indexed="64"/>
          <bgColor auto="1"/>
        </patternFill>
      </fill>
      <alignment horizontal="right" vertical="center" textRotation="0" wrapText="0" indent="1" justifyLastLine="0" shrinkToFit="0" readingOrder="0"/>
    </dxf>
    <dxf>
      <font>
        <b val="0"/>
        <i val="0"/>
        <strike val="0"/>
        <condense val="0"/>
        <extend val="0"/>
        <outline val="0"/>
        <shadow val="0"/>
        <u val="none"/>
        <vertAlign val="baseline"/>
        <sz val="12"/>
        <color theme="1"/>
        <name val="Georgia"/>
        <family val="1"/>
        <scheme val="none"/>
      </font>
      <numFmt numFmtId="3" formatCode="#,##0"/>
      <fill>
        <patternFill patternType="none">
          <fgColor indexed="64"/>
          <bgColor auto="1"/>
        </patternFill>
      </fill>
      <alignment horizontal="right" vertical="center" textRotation="0" wrapText="0" indent="1" justifyLastLine="0" shrinkToFit="0" readingOrder="0"/>
    </dxf>
    <dxf>
      <font>
        <b val="0"/>
        <i val="0"/>
        <strike val="0"/>
        <condense val="0"/>
        <extend val="0"/>
        <outline val="0"/>
        <shadow val="0"/>
        <u val="none"/>
        <vertAlign val="baseline"/>
        <sz val="12"/>
        <color theme="1"/>
        <name val="Georgia"/>
        <family val="1"/>
        <scheme val="none"/>
      </font>
      <numFmt numFmtId="3" formatCode="#,##0"/>
      <fill>
        <patternFill patternType="none">
          <fgColor indexed="64"/>
          <bgColor auto="1"/>
        </patternFill>
      </fill>
      <alignment horizontal="right" vertical="center" textRotation="0" wrapText="0" indent="1" justifyLastLine="0" shrinkToFit="0" readingOrder="0"/>
    </dxf>
    <dxf>
      <font>
        <b val="0"/>
        <i val="0"/>
        <strike val="0"/>
        <condense val="0"/>
        <extend val="0"/>
        <outline val="0"/>
        <shadow val="0"/>
        <u val="none"/>
        <vertAlign val="baseline"/>
        <sz val="12"/>
        <color theme="1"/>
        <name val="Georgia"/>
        <family val="1"/>
        <scheme val="none"/>
      </font>
      <numFmt numFmtId="3" formatCode="#,##0"/>
      <fill>
        <patternFill patternType="none">
          <fgColor indexed="64"/>
          <bgColor auto="1"/>
        </patternFill>
      </fill>
      <alignment horizontal="right" vertical="center" textRotation="0" wrapText="0" indent="1" justifyLastLine="0" shrinkToFit="0" readingOrder="0"/>
    </dxf>
    <dxf>
      <font>
        <b val="0"/>
        <i val="0"/>
        <strike val="0"/>
        <condense val="0"/>
        <extend val="0"/>
        <outline val="0"/>
        <shadow val="0"/>
        <u val="none"/>
        <vertAlign val="baseline"/>
        <sz val="12"/>
        <color theme="1"/>
        <name val="Georgia"/>
        <family val="1"/>
        <scheme val="none"/>
      </font>
      <numFmt numFmtId="3" formatCode="#,##0"/>
      <fill>
        <patternFill patternType="none">
          <fgColor indexed="64"/>
          <bgColor auto="1"/>
        </patternFill>
      </fill>
      <alignment horizontal="right" vertical="center" textRotation="0" wrapText="0" indent="1" justifyLastLine="0" shrinkToFit="0" readingOrder="0"/>
    </dxf>
    <dxf>
      <font>
        <b val="0"/>
        <i val="0"/>
        <strike val="0"/>
        <condense val="0"/>
        <extend val="0"/>
        <outline val="0"/>
        <shadow val="0"/>
        <u val="none"/>
        <vertAlign val="baseline"/>
        <sz val="12"/>
        <color theme="1"/>
        <name val="Georgia"/>
        <family val="1"/>
        <scheme val="none"/>
      </font>
      <numFmt numFmtId="3" formatCode="#,##0"/>
      <fill>
        <patternFill patternType="none">
          <fgColor indexed="64"/>
          <bgColor auto="1"/>
        </patternFill>
      </fill>
      <alignment horizontal="right" vertical="center" textRotation="0" wrapText="0" indent="1" justifyLastLine="0" shrinkToFit="0" readingOrder="0"/>
    </dxf>
    <dxf>
      <font>
        <b val="0"/>
        <i val="0"/>
        <strike val="0"/>
        <condense val="0"/>
        <extend val="0"/>
        <outline val="0"/>
        <shadow val="0"/>
        <u val="none"/>
        <vertAlign val="baseline"/>
        <sz val="12"/>
        <color theme="1"/>
        <name val="Georgia"/>
        <family val="1"/>
        <scheme val="none"/>
      </font>
      <numFmt numFmtId="3" formatCode="#,##0"/>
      <fill>
        <patternFill patternType="none">
          <fgColor indexed="64"/>
          <bgColor auto="1"/>
        </patternFill>
      </fill>
      <alignment horizontal="right" vertical="center" textRotation="0" wrapText="0" indent="1" justifyLastLine="0" shrinkToFit="0" readingOrder="0"/>
    </dxf>
    <dxf>
      <font>
        <b val="0"/>
        <i val="0"/>
        <strike val="0"/>
        <condense val="0"/>
        <extend val="0"/>
        <outline val="0"/>
        <shadow val="0"/>
        <u val="none"/>
        <vertAlign val="baseline"/>
        <sz val="12"/>
        <color theme="1"/>
        <name val="Georgia"/>
        <family val="1"/>
        <scheme val="none"/>
      </font>
      <numFmt numFmtId="3" formatCode="#,##0"/>
      <fill>
        <patternFill patternType="none">
          <fgColor indexed="64"/>
          <bgColor auto="1"/>
        </patternFill>
      </fill>
      <alignment horizontal="right" vertical="center" textRotation="0" wrapText="0" indent="1" justifyLastLine="0" shrinkToFit="0" readingOrder="0"/>
    </dxf>
    <dxf>
      <font>
        <b val="0"/>
        <i val="0"/>
        <strike val="0"/>
        <condense val="0"/>
        <extend val="0"/>
        <outline val="0"/>
        <shadow val="0"/>
        <u val="none"/>
        <vertAlign val="baseline"/>
        <sz val="12"/>
        <color theme="1"/>
        <name val="Georgia"/>
        <family val="1"/>
        <scheme val="none"/>
      </font>
      <numFmt numFmtId="3" formatCode="#,##0"/>
      <fill>
        <patternFill patternType="none">
          <fgColor indexed="64"/>
          <bgColor auto="1"/>
        </patternFill>
      </fill>
      <alignment horizontal="right" vertical="center" textRotation="0" wrapText="0" indent="1" justifyLastLine="0" shrinkToFit="0" readingOrder="0"/>
    </dxf>
    <dxf>
      <font>
        <b val="0"/>
        <i val="0"/>
        <strike val="0"/>
        <condense val="0"/>
        <extend val="0"/>
        <outline val="0"/>
        <shadow val="0"/>
        <u val="none"/>
        <vertAlign val="baseline"/>
        <sz val="12"/>
        <color theme="1"/>
        <name val="Georgia"/>
        <family val="1"/>
        <scheme val="none"/>
      </font>
      <numFmt numFmtId="3" formatCode="#,##0"/>
      <fill>
        <patternFill patternType="none">
          <fgColor indexed="64"/>
          <bgColor auto="1"/>
        </patternFill>
      </fill>
      <alignment horizontal="right" vertical="center" textRotation="0" wrapText="0" indent="1" justifyLastLine="0" shrinkToFit="0" readingOrder="0"/>
    </dxf>
    <dxf>
      <font>
        <b val="0"/>
        <i val="0"/>
        <strike val="0"/>
        <condense val="0"/>
        <extend val="0"/>
        <outline val="0"/>
        <shadow val="0"/>
        <u val="none"/>
        <vertAlign val="baseline"/>
        <sz val="12"/>
        <color theme="1"/>
        <name val="Georgia"/>
        <family val="1"/>
        <scheme val="none"/>
      </font>
      <numFmt numFmtId="3" formatCode="#,##0"/>
      <fill>
        <patternFill patternType="none">
          <fgColor indexed="64"/>
          <bgColor auto="1"/>
        </patternFill>
      </fill>
      <alignment horizontal="right" vertical="center" textRotation="0" wrapText="0" indent="1" justifyLastLine="0" shrinkToFit="0" readingOrder="0"/>
    </dxf>
    <dxf>
      <font>
        <b val="0"/>
        <i val="0"/>
        <strike val="0"/>
        <condense val="0"/>
        <extend val="0"/>
        <outline val="0"/>
        <shadow val="0"/>
        <u val="none"/>
        <vertAlign val="baseline"/>
        <sz val="12"/>
        <color theme="1"/>
        <name val="Georgia"/>
        <family val="1"/>
        <scheme val="none"/>
      </font>
      <numFmt numFmtId="3" formatCode="#,##0"/>
      <fill>
        <patternFill patternType="none">
          <fgColor indexed="64"/>
          <bgColor auto="1"/>
        </patternFill>
      </fill>
      <alignment horizontal="right" vertical="center" textRotation="0" wrapText="0" indent="1" justifyLastLine="0" shrinkToFit="0" readingOrder="0"/>
    </dxf>
    <dxf>
      <font>
        <b val="0"/>
        <i val="0"/>
        <strike val="0"/>
        <condense val="0"/>
        <extend val="0"/>
        <outline val="0"/>
        <shadow val="0"/>
        <u val="none"/>
        <vertAlign val="baseline"/>
        <sz val="12"/>
        <color theme="1"/>
        <name val="Georgia"/>
        <family val="1"/>
        <scheme val="none"/>
      </font>
      <numFmt numFmtId="3" formatCode="#,##0"/>
      <fill>
        <patternFill patternType="none">
          <fgColor indexed="64"/>
          <bgColor auto="1"/>
        </patternFill>
      </fill>
      <alignment horizontal="right" vertical="center" textRotation="0" wrapText="0" indent="1" justifyLastLine="0" shrinkToFit="0" readingOrder="0"/>
    </dxf>
    <dxf>
      <font>
        <b val="0"/>
        <i val="0"/>
        <strike val="0"/>
        <condense val="0"/>
        <extend val="0"/>
        <outline val="0"/>
        <shadow val="0"/>
        <u val="none"/>
        <vertAlign val="baseline"/>
        <sz val="12"/>
        <color theme="1"/>
        <name val="Georgia"/>
        <family val="1"/>
        <scheme val="none"/>
      </font>
      <numFmt numFmtId="3" formatCode="#,##0"/>
      <fill>
        <patternFill patternType="none">
          <fgColor indexed="64"/>
          <bgColor auto="1"/>
        </patternFill>
      </fill>
      <alignment horizontal="right" vertical="center" textRotation="0" wrapText="0" indent="1" justifyLastLine="0" shrinkToFit="0" readingOrder="0"/>
    </dxf>
    <dxf>
      <font>
        <b val="0"/>
        <i val="0"/>
        <strike val="0"/>
        <condense val="0"/>
        <extend val="0"/>
        <outline val="0"/>
        <shadow val="0"/>
        <u val="none"/>
        <vertAlign val="baseline"/>
        <sz val="12"/>
        <color theme="1"/>
        <name val="Georgia"/>
        <family val="1"/>
        <scheme val="none"/>
      </font>
      <numFmt numFmtId="3" formatCode="#,##0"/>
      <fill>
        <patternFill patternType="none">
          <fgColor indexed="64"/>
          <bgColor auto="1"/>
        </patternFill>
      </fill>
      <alignment horizontal="right" vertical="center" textRotation="0" wrapText="0" indent="1" justifyLastLine="0" shrinkToFit="0" readingOrder="0"/>
    </dxf>
    <dxf>
      <font>
        <b val="0"/>
        <i val="0"/>
        <strike val="0"/>
        <condense val="0"/>
        <extend val="0"/>
        <outline val="0"/>
        <shadow val="0"/>
        <u val="none"/>
        <vertAlign val="baseline"/>
        <sz val="12"/>
        <color theme="1"/>
        <name val="Georgia"/>
        <family val="1"/>
        <scheme val="none"/>
      </font>
      <numFmt numFmtId="3" formatCode="#,##0"/>
      <fill>
        <patternFill patternType="none">
          <fgColor indexed="64"/>
          <bgColor auto="1"/>
        </patternFill>
      </fill>
      <alignment horizontal="right" vertical="center" textRotation="0" wrapText="0" indent="1" justifyLastLine="0" shrinkToFit="0" readingOrder="0"/>
    </dxf>
    <dxf>
      <font>
        <b val="0"/>
        <i val="0"/>
        <strike val="0"/>
        <condense val="0"/>
        <extend val="0"/>
        <outline val="0"/>
        <shadow val="0"/>
        <u val="none"/>
        <vertAlign val="baseline"/>
        <sz val="12"/>
        <color theme="1"/>
        <name val="Georgia"/>
        <family val="1"/>
        <scheme val="none"/>
      </font>
      <numFmt numFmtId="3" formatCode="#,##0"/>
      <fill>
        <patternFill patternType="none">
          <fgColor indexed="64"/>
          <bgColor auto="1"/>
        </patternFill>
      </fill>
      <alignment horizontal="right" vertical="center" textRotation="0" wrapText="0" indent="1" justifyLastLine="0" shrinkToFit="0" readingOrder="0"/>
    </dxf>
    <dxf>
      <font>
        <b val="0"/>
        <i val="0"/>
        <strike val="0"/>
        <condense val="0"/>
        <extend val="0"/>
        <outline val="0"/>
        <shadow val="0"/>
        <u val="none"/>
        <vertAlign val="baseline"/>
        <sz val="12"/>
        <color theme="1"/>
        <name val="Georgia"/>
        <family val="1"/>
        <scheme val="none"/>
      </font>
      <numFmt numFmtId="3" formatCode="#,##0"/>
      <fill>
        <patternFill patternType="none">
          <fgColor indexed="64"/>
          <bgColor auto="1"/>
        </patternFill>
      </fill>
      <alignment horizontal="right" vertical="center" textRotation="0" wrapText="0" indent="1" justifyLastLine="0" shrinkToFit="0" readingOrder="0"/>
    </dxf>
    <dxf>
      <font>
        <b val="0"/>
        <i val="0"/>
        <strike val="0"/>
        <condense val="0"/>
        <extend val="0"/>
        <outline val="0"/>
        <shadow val="0"/>
        <u val="none"/>
        <vertAlign val="baseline"/>
        <sz val="12"/>
        <color theme="1"/>
        <name val="Georgia"/>
        <family val="1"/>
        <scheme val="none"/>
      </font>
      <numFmt numFmtId="3" formatCode="#,##0"/>
      <fill>
        <patternFill patternType="none">
          <fgColor indexed="64"/>
          <bgColor auto="1"/>
        </patternFill>
      </fill>
      <alignment horizontal="right" vertical="center" textRotation="0" wrapText="0" indent="1" justifyLastLine="0" shrinkToFit="0" readingOrder="0"/>
    </dxf>
    <dxf>
      <font>
        <b val="0"/>
        <i val="0"/>
        <strike val="0"/>
        <condense val="0"/>
        <extend val="0"/>
        <outline val="0"/>
        <shadow val="0"/>
        <u val="none"/>
        <vertAlign val="baseline"/>
        <sz val="12"/>
        <color theme="1"/>
        <name val="Georgia"/>
        <family val="1"/>
        <scheme val="none"/>
      </font>
      <numFmt numFmtId="3" formatCode="#,##0"/>
      <fill>
        <patternFill patternType="none">
          <fgColor indexed="64"/>
          <bgColor auto="1"/>
        </patternFill>
      </fill>
      <alignment horizontal="right" vertical="center" textRotation="0" wrapText="0" indent="1" justifyLastLine="0" shrinkToFit="0" readingOrder="0"/>
    </dxf>
    <dxf>
      <font>
        <b val="0"/>
        <i val="0"/>
        <strike val="0"/>
        <condense val="0"/>
        <extend val="0"/>
        <outline val="0"/>
        <shadow val="0"/>
        <u val="none"/>
        <vertAlign val="baseline"/>
        <sz val="12"/>
        <color theme="1"/>
        <name val="Georgia"/>
        <family val="1"/>
        <scheme val="none"/>
      </font>
      <numFmt numFmtId="3" formatCode="#,##0"/>
      <fill>
        <patternFill patternType="none">
          <fgColor indexed="64"/>
          <bgColor auto="1"/>
        </patternFill>
      </fill>
      <alignment horizontal="right" vertical="center" textRotation="0" wrapText="0" indent="1" justifyLastLine="0" shrinkToFit="0" readingOrder="0"/>
    </dxf>
    <dxf>
      <font>
        <b val="0"/>
        <i val="0"/>
        <strike val="0"/>
        <condense val="0"/>
        <extend val="0"/>
        <outline val="0"/>
        <shadow val="0"/>
        <u val="none"/>
        <vertAlign val="baseline"/>
        <sz val="12"/>
        <color theme="1"/>
        <name val="Georgia"/>
        <family val="1"/>
        <scheme val="none"/>
      </font>
      <numFmt numFmtId="3" formatCode="#,##0"/>
      <fill>
        <patternFill patternType="none">
          <fgColor indexed="64"/>
          <bgColor auto="1"/>
        </patternFill>
      </fill>
      <alignment horizontal="right" vertical="center" textRotation="0" wrapText="0" indent="1" justifyLastLine="0" shrinkToFit="0" readingOrder="0"/>
    </dxf>
    <dxf>
      <font>
        <b val="0"/>
        <i val="0"/>
        <strike val="0"/>
        <condense val="0"/>
        <extend val="0"/>
        <outline val="0"/>
        <shadow val="0"/>
        <u val="none"/>
        <vertAlign val="baseline"/>
        <sz val="12"/>
        <color theme="1"/>
        <name val="Georgia"/>
        <family val="1"/>
        <scheme val="none"/>
      </font>
      <numFmt numFmtId="3" formatCode="#,##0"/>
      <fill>
        <patternFill patternType="none">
          <fgColor indexed="64"/>
          <bgColor auto="1"/>
        </patternFill>
      </fill>
      <alignment horizontal="right" vertical="center" textRotation="0" wrapText="0" indent="1" justifyLastLine="0" shrinkToFit="0" readingOrder="0"/>
    </dxf>
    <dxf>
      <font>
        <b val="0"/>
        <i val="0"/>
        <strike val="0"/>
        <condense val="0"/>
        <extend val="0"/>
        <outline val="0"/>
        <shadow val="0"/>
        <u val="none"/>
        <vertAlign val="baseline"/>
        <sz val="12"/>
        <color theme="1"/>
        <name val="Georgia"/>
        <family val="1"/>
        <scheme val="none"/>
      </font>
      <numFmt numFmtId="3" formatCode="#,##0"/>
      <fill>
        <patternFill patternType="none">
          <fgColor indexed="64"/>
          <bgColor auto="1"/>
        </patternFill>
      </fill>
      <alignment horizontal="right" vertical="center" textRotation="0" wrapText="0" indent="1" justifyLastLine="0" shrinkToFit="0" readingOrder="0"/>
    </dxf>
    <dxf>
      <font>
        <b val="0"/>
        <i val="0"/>
        <strike val="0"/>
        <condense val="0"/>
        <extend val="0"/>
        <outline val="0"/>
        <shadow val="0"/>
        <u val="none"/>
        <vertAlign val="baseline"/>
        <sz val="12"/>
        <color theme="1"/>
        <name val="Georgia"/>
        <family val="1"/>
        <scheme val="none"/>
      </font>
      <numFmt numFmtId="3" formatCode="#,##0"/>
      <fill>
        <patternFill patternType="none">
          <fgColor indexed="64"/>
          <bgColor auto="1"/>
        </patternFill>
      </fill>
      <alignment horizontal="right" vertical="center" textRotation="0" wrapText="0" indent="1" justifyLastLine="0" shrinkToFit="0" readingOrder="0"/>
    </dxf>
    <dxf>
      <font>
        <b val="0"/>
        <i val="0"/>
        <strike val="0"/>
        <condense val="0"/>
        <extend val="0"/>
        <outline val="0"/>
        <shadow val="0"/>
        <u val="none"/>
        <vertAlign val="baseline"/>
        <sz val="12"/>
        <color theme="1"/>
        <name val="Georgia"/>
        <family val="1"/>
        <scheme val="none"/>
      </font>
      <numFmt numFmtId="3" formatCode="#,##0"/>
      <fill>
        <patternFill patternType="none">
          <fgColor indexed="64"/>
          <bgColor auto="1"/>
        </patternFill>
      </fill>
      <alignment horizontal="right" vertical="center" textRotation="0" wrapText="0" indent="1" justifyLastLine="0" shrinkToFit="0" readingOrder="0"/>
    </dxf>
    <dxf>
      <font>
        <b val="0"/>
        <i val="0"/>
        <strike val="0"/>
        <condense val="0"/>
        <extend val="0"/>
        <outline val="0"/>
        <shadow val="0"/>
        <u val="none"/>
        <vertAlign val="baseline"/>
        <sz val="12"/>
        <color theme="1"/>
        <name val="Georgia"/>
        <family val="1"/>
        <scheme val="none"/>
      </font>
      <numFmt numFmtId="3" formatCode="#,##0"/>
      <fill>
        <patternFill patternType="none">
          <fgColor indexed="64"/>
          <bgColor auto="1"/>
        </patternFill>
      </fill>
      <alignment horizontal="right" vertical="center" textRotation="0" wrapText="0" indent="1" justifyLastLine="0" shrinkToFit="0" readingOrder="0"/>
    </dxf>
    <dxf>
      <font>
        <b val="0"/>
        <i val="0"/>
        <strike val="0"/>
        <condense val="0"/>
        <extend val="0"/>
        <outline val="0"/>
        <shadow val="0"/>
        <u val="none"/>
        <vertAlign val="baseline"/>
        <sz val="12"/>
        <color theme="1"/>
        <name val="Georgia"/>
        <family val="1"/>
        <scheme val="none"/>
      </font>
      <numFmt numFmtId="3" formatCode="#,##0"/>
      <fill>
        <patternFill patternType="none">
          <fgColor indexed="64"/>
          <bgColor auto="1"/>
        </patternFill>
      </fill>
      <alignment horizontal="right" vertical="center" textRotation="0" wrapText="0" indent="1" justifyLastLine="0" shrinkToFit="0" readingOrder="0"/>
    </dxf>
    <dxf>
      <font>
        <b val="0"/>
        <i val="0"/>
        <strike val="0"/>
        <condense val="0"/>
        <extend val="0"/>
        <outline val="0"/>
        <shadow val="0"/>
        <u val="none"/>
        <vertAlign val="baseline"/>
        <sz val="12"/>
        <color theme="1"/>
        <name val="Georgia"/>
        <family val="1"/>
        <scheme val="none"/>
      </font>
      <numFmt numFmtId="3" formatCode="#,##0"/>
      <fill>
        <patternFill patternType="none">
          <fgColor indexed="64"/>
          <bgColor auto="1"/>
        </patternFill>
      </fill>
      <alignment horizontal="right" vertical="center" textRotation="0" wrapText="0" indent="1" justifyLastLine="0" shrinkToFit="0" readingOrder="0"/>
    </dxf>
    <dxf>
      <font>
        <b val="0"/>
        <i val="0"/>
        <strike val="0"/>
        <condense val="0"/>
        <extend val="0"/>
        <outline val="0"/>
        <shadow val="0"/>
        <u val="none"/>
        <vertAlign val="baseline"/>
        <sz val="12"/>
        <color theme="1"/>
        <name val="Georgia"/>
        <family val="1"/>
        <scheme val="none"/>
      </font>
      <numFmt numFmtId="3" formatCode="#,##0"/>
      <fill>
        <patternFill patternType="none">
          <fgColor indexed="64"/>
          <bgColor auto="1"/>
        </patternFill>
      </fill>
      <alignment horizontal="right" vertical="center" textRotation="0" wrapText="0" indent="1" justifyLastLine="0" shrinkToFit="0" readingOrder="0"/>
    </dxf>
    <dxf>
      <font>
        <b val="0"/>
        <i val="0"/>
        <strike val="0"/>
        <condense val="0"/>
        <extend val="0"/>
        <outline val="0"/>
        <shadow val="0"/>
        <u val="none"/>
        <vertAlign val="baseline"/>
        <sz val="12"/>
        <color theme="1"/>
        <name val="Georgia"/>
        <family val="1"/>
        <scheme val="none"/>
      </font>
      <numFmt numFmtId="3" formatCode="#,##0"/>
      <fill>
        <patternFill patternType="none">
          <fgColor indexed="64"/>
          <bgColor auto="1"/>
        </patternFill>
      </fill>
      <alignment horizontal="right" vertical="center" textRotation="0" wrapText="0" indent="1" justifyLastLine="0" shrinkToFit="0" readingOrder="0"/>
    </dxf>
    <dxf>
      <font>
        <b val="0"/>
        <i val="0"/>
        <strike val="0"/>
        <condense val="0"/>
        <extend val="0"/>
        <outline val="0"/>
        <shadow val="0"/>
        <u val="none"/>
        <vertAlign val="baseline"/>
        <sz val="12"/>
        <color theme="1"/>
        <name val="Georgia"/>
        <family val="1"/>
        <scheme val="none"/>
      </font>
      <numFmt numFmtId="3" formatCode="#,##0"/>
      <fill>
        <patternFill patternType="none">
          <fgColor indexed="64"/>
          <bgColor auto="1"/>
        </patternFill>
      </fill>
      <alignment horizontal="right" vertical="center" textRotation="0" wrapText="0" indent="1" justifyLastLine="0" shrinkToFit="0" readingOrder="0"/>
    </dxf>
    <dxf>
      <font>
        <b val="0"/>
        <i val="0"/>
        <strike val="0"/>
        <condense val="0"/>
        <extend val="0"/>
        <outline val="0"/>
        <shadow val="0"/>
        <u val="none"/>
        <vertAlign val="baseline"/>
        <sz val="12"/>
        <color theme="1"/>
        <name val="Georgia"/>
        <family val="1"/>
        <scheme val="none"/>
      </font>
      <numFmt numFmtId="3" formatCode="#,##0"/>
      <fill>
        <patternFill patternType="none">
          <fgColor indexed="64"/>
          <bgColor auto="1"/>
        </patternFill>
      </fill>
      <alignment horizontal="right" vertical="center" textRotation="0" wrapText="0" indent="1" justifyLastLine="0" shrinkToFit="0" readingOrder="0"/>
    </dxf>
    <dxf>
      <font>
        <b val="0"/>
        <i val="0"/>
        <strike val="0"/>
        <condense val="0"/>
        <extend val="0"/>
        <outline val="0"/>
        <shadow val="0"/>
        <u val="none"/>
        <vertAlign val="baseline"/>
        <sz val="12"/>
        <color theme="1"/>
        <name val="Georgia"/>
        <family val="1"/>
        <scheme val="none"/>
      </font>
      <numFmt numFmtId="3" formatCode="#,##0"/>
      <fill>
        <patternFill patternType="none">
          <fgColor indexed="64"/>
          <bgColor auto="1"/>
        </patternFill>
      </fill>
      <alignment horizontal="right" vertical="center" textRotation="0" wrapText="0" indent="1" justifyLastLine="0" shrinkToFit="0" readingOrder="0"/>
    </dxf>
    <dxf>
      <font>
        <b val="0"/>
        <i val="0"/>
        <strike val="0"/>
        <condense val="0"/>
        <extend val="0"/>
        <outline val="0"/>
        <shadow val="0"/>
        <u val="none"/>
        <vertAlign val="baseline"/>
        <sz val="12"/>
        <color theme="1"/>
        <name val="Georgia"/>
        <family val="1"/>
        <scheme val="none"/>
      </font>
      <numFmt numFmtId="3" formatCode="#,##0"/>
      <fill>
        <patternFill patternType="none">
          <fgColor indexed="64"/>
          <bgColor auto="1"/>
        </patternFill>
      </fill>
      <alignment horizontal="right" vertical="center" textRotation="0" wrapText="0" indent="1" justifyLastLine="0" shrinkToFit="0" readingOrder="0"/>
    </dxf>
    <dxf>
      <font>
        <b val="0"/>
        <i val="0"/>
        <strike val="0"/>
        <condense val="0"/>
        <extend val="0"/>
        <outline val="0"/>
        <shadow val="0"/>
        <u val="none"/>
        <vertAlign val="baseline"/>
        <sz val="12"/>
        <color theme="1"/>
        <name val="Georgia"/>
        <family val="1"/>
        <scheme val="none"/>
      </font>
      <numFmt numFmtId="3" formatCode="#,##0"/>
      <fill>
        <patternFill patternType="none">
          <fgColor indexed="64"/>
          <bgColor auto="1"/>
        </patternFill>
      </fill>
      <alignment horizontal="right" vertical="center" textRotation="0" wrapText="0" indent="1" justifyLastLine="0" shrinkToFit="0" readingOrder="0"/>
    </dxf>
    <dxf>
      <font>
        <b val="0"/>
        <i val="0"/>
        <strike val="0"/>
        <condense val="0"/>
        <extend val="0"/>
        <outline val="0"/>
        <shadow val="0"/>
        <u val="none"/>
        <vertAlign val="baseline"/>
        <sz val="12"/>
        <color theme="1"/>
        <name val="Georgia"/>
        <family val="1"/>
        <scheme val="none"/>
      </font>
      <numFmt numFmtId="3" formatCode="#,##0"/>
      <fill>
        <patternFill patternType="none">
          <fgColor indexed="64"/>
          <bgColor auto="1"/>
        </patternFill>
      </fill>
      <alignment horizontal="right" vertical="center" textRotation="0" wrapText="0" indent="1" justifyLastLine="0" shrinkToFit="0" readingOrder="0"/>
    </dxf>
    <dxf>
      <font>
        <b val="0"/>
        <i val="0"/>
        <strike val="0"/>
        <condense val="0"/>
        <extend val="0"/>
        <outline val="0"/>
        <shadow val="0"/>
        <u val="none"/>
        <vertAlign val="baseline"/>
        <sz val="12"/>
        <color theme="1"/>
        <name val="Georgia"/>
        <family val="1"/>
        <scheme val="none"/>
      </font>
      <numFmt numFmtId="3" formatCode="#,##0"/>
      <fill>
        <patternFill patternType="none">
          <fgColor indexed="64"/>
          <bgColor auto="1"/>
        </patternFill>
      </fill>
      <alignment horizontal="right" vertical="center" textRotation="0" wrapText="0" indent="1" justifyLastLine="0" shrinkToFit="0" readingOrder="0"/>
    </dxf>
    <dxf>
      <font>
        <b val="0"/>
        <i val="0"/>
        <strike val="0"/>
        <condense val="0"/>
        <extend val="0"/>
        <outline val="0"/>
        <shadow val="0"/>
        <u val="none"/>
        <vertAlign val="baseline"/>
        <sz val="12"/>
        <color theme="1"/>
        <name val="Georgia"/>
        <family val="1"/>
        <scheme val="none"/>
      </font>
      <numFmt numFmtId="3" formatCode="#,##0"/>
      <fill>
        <patternFill patternType="none">
          <fgColor indexed="64"/>
          <bgColor auto="1"/>
        </patternFill>
      </fill>
      <alignment horizontal="right" vertical="center" textRotation="0" wrapText="0" indent="1" justifyLastLine="0" shrinkToFit="0" readingOrder="0"/>
    </dxf>
    <dxf>
      <font>
        <b val="0"/>
        <i val="0"/>
        <strike val="0"/>
        <condense val="0"/>
        <extend val="0"/>
        <outline val="0"/>
        <shadow val="0"/>
        <u val="none"/>
        <vertAlign val="baseline"/>
        <sz val="12"/>
        <color theme="1"/>
        <name val="Georgia"/>
        <family val="1"/>
        <scheme val="none"/>
      </font>
      <numFmt numFmtId="3" formatCode="#,##0"/>
      <fill>
        <patternFill patternType="none">
          <fgColor indexed="64"/>
          <bgColor auto="1"/>
        </patternFill>
      </fill>
      <alignment horizontal="right" vertical="center" textRotation="0" wrapText="0" indent="1" justifyLastLine="0" shrinkToFit="0" readingOrder="0"/>
    </dxf>
    <dxf>
      <font>
        <b val="0"/>
        <i val="0"/>
        <strike val="0"/>
        <condense val="0"/>
        <extend val="0"/>
        <outline val="0"/>
        <shadow val="0"/>
        <u val="none"/>
        <vertAlign val="baseline"/>
        <sz val="12"/>
        <color theme="1"/>
        <name val="Georgia"/>
        <family val="1"/>
        <scheme val="none"/>
      </font>
      <numFmt numFmtId="3" formatCode="#,##0"/>
      <fill>
        <patternFill patternType="none">
          <fgColor indexed="64"/>
          <bgColor auto="1"/>
        </patternFill>
      </fill>
      <alignment horizontal="right" vertical="center" textRotation="0" wrapText="0" indent="1" justifyLastLine="0" shrinkToFit="0" readingOrder="0"/>
    </dxf>
    <dxf>
      <font>
        <b val="0"/>
        <i val="0"/>
        <strike val="0"/>
        <condense val="0"/>
        <extend val="0"/>
        <outline val="0"/>
        <shadow val="0"/>
        <u val="none"/>
        <vertAlign val="baseline"/>
        <sz val="12"/>
        <color theme="1"/>
        <name val="Georgia"/>
        <family val="1"/>
        <scheme val="none"/>
      </font>
      <numFmt numFmtId="3" formatCode="#,##0"/>
      <fill>
        <patternFill patternType="none">
          <fgColor indexed="64"/>
          <bgColor auto="1"/>
        </patternFill>
      </fill>
      <alignment horizontal="right" vertical="center" textRotation="0" wrapText="0" indent="1" justifyLastLine="0" shrinkToFit="0" readingOrder="0"/>
    </dxf>
    <dxf>
      <font>
        <b val="0"/>
        <i val="0"/>
        <strike val="0"/>
        <condense val="0"/>
        <extend val="0"/>
        <outline val="0"/>
        <shadow val="0"/>
        <u val="none"/>
        <vertAlign val="baseline"/>
        <sz val="12"/>
        <color theme="1"/>
        <name val="Georgia"/>
        <family val="1"/>
        <scheme val="none"/>
      </font>
      <numFmt numFmtId="3" formatCode="#,##0"/>
      <fill>
        <patternFill patternType="none">
          <fgColor indexed="64"/>
          <bgColor auto="1"/>
        </patternFill>
      </fill>
      <alignment horizontal="right" vertical="center" textRotation="0" wrapText="0" indent="1" justifyLastLine="0" shrinkToFit="0" readingOrder="0"/>
    </dxf>
    <dxf>
      <font>
        <b val="0"/>
        <i val="0"/>
        <strike val="0"/>
        <condense val="0"/>
        <extend val="0"/>
        <outline val="0"/>
        <shadow val="0"/>
        <u val="none"/>
        <vertAlign val="baseline"/>
        <sz val="12"/>
        <color theme="1"/>
        <name val="Georgia"/>
        <family val="1"/>
        <scheme val="none"/>
      </font>
      <numFmt numFmtId="3" formatCode="#,##0"/>
      <fill>
        <patternFill patternType="none">
          <fgColor indexed="64"/>
          <bgColor auto="1"/>
        </patternFill>
      </fill>
      <alignment horizontal="right" vertical="center" textRotation="0" wrapText="0" indent="1" justifyLastLine="0" shrinkToFit="0" readingOrder="0"/>
    </dxf>
    <dxf>
      <font>
        <b val="0"/>
        <i val="0"/>
        <strike val="0"/>
        <condense val="0"/>
        <extend val="0"/>
        <outline val="0"/>
        <shadow val="0"/>
        <u val="none"/>
        <vertAlign val="baseline"/>
        <sz val="12"/>
        <color theme="1"/>
        <name val="Georgia"/>
        <family val="1"/>
        <scheme val="none"/>
      </font>
      <numFmt numFmtId="3" formatCode="#,##0"/>
      <fill>
        <patternFill patternType="none">
          <fgColor indexed="64"/>
          <bgColor auto="1"/>
        </patternFill>
      </fill>
      <alignment horizontal="right" vertical="center" textRotation="0" wrapText="0" indent="1" justifyLastLine="0" shrinkToFit="0" readingOrder="0"/>
    </dxf>
    <dxf>
      <font>
        <b val="0"/>
        <i val="0"/>
        <strike val="0"/>
        <condense val="0"/>
        <extend val="0"/>
        <outline val="0"/>
        <shadow val="0"/>
        <u val="none"/>
        <vertAlign val="baseline"/>
        <sz val="12"/>
        <color theme="1"/>
        <name val="Georgia"/>
        <family val="1"/>
        <scheme val="none"/>
      </font>
      <numFmt numFmtId="3" formatCode="#,##0"/>
      <fill>
        <patternFill patternType="none">
          <fgColor indexed="64"/>
          <bgColor auto="1"/>
        </patternFill>
      </fill>
      <alignment horizontal="right" vertical="center" textRotation="0" wrapText="0" indent="1" justifyLastLine="0" shrinkToFit="0" readingOrder="0"/>
    </dxf>
    <dxf>
      <font>
        <b val="0"/>
        <i val="0"/>
        <strike val="0"/>
        <condense val="0"/>
        <extend val="0"/>
        <outline val="0"/>
        <shadow val="0"/>
        <u val="none"/>
        <vertAlign val="baseline"/>
        <sz val="12"/>
        <color theme="1"/>
        <name val="Georgia"/>
        <family val="1"/>
        <scheme val="none"/>
      </font>
      <numFmt numFmtId="3" formatCode="#,##0"/>
      <fill>
        <patternFill patternType="none">
          <fgColor indexed="64"/>
          <bgColor auto="1"/>
        </patternFill>
      </fill>
      <alignment horizontal="right" vertical="center" textRotation="0" wrapText="0" indent="1" justifyLastLine="0" shrinkToFit="0" readingOrder="0"/>
    </dxf>
    <dxf>
      <font>
        <b val="0"/>
        <i val="0"/>
        <strike val="0"/>
        <condense val="0"/>
        <extend val="0"/>
        <outline val="0"/>
        <shadow val="0"/>
        <u val="none"/>
        <vertAlign val="baseline"/>
        <sz val="12"/>
        <color theme="1"/>
        <name val="Georgia"/>
        <family val="1"/>
        <scheme val="none"/>
      </font>
      <numFmt numFmtId="3" formatCode="#,##0"/>
      <fill>
        <patternFill patternType="none">
          <fgColor indexed="64"/>
          <bgColor auto="1"/>
        </patternFill>
      </fill>
      <alignment horizontal="right" vertical="center" textRotation="0" wrapText="0" indent="1" justifyLastLine="0" shrinkToFit="0" readingOrder="0"/>
    </dxf>
    <dxf>
      <font>
        <b val="0"/>
        <i val="0"/>
        <strike val="0"/>
        <condense val="0"/>
        <extend val="0"/>
        <outline val="0"/>
        <shadow val="0"/>
        <u val="none"/>
        <vertAlign val="baseline"/>
        <sz val="12"/>
        <color theme="1"/>
        <name val="Georgia"/>
        <family val="1"/>
        <scheme val="none"/>
      </font>
      <numFmt numFmtId="3" formatCode="#,##0"/>
      <fill>
        <patternFill patternType="none">
          <fgColor indexed="64"/>
          <bgColor auto="1"/>
        </patternFill>
      </fill>
      <alignment horizontal="right" vertical="center" textRotation="0" wrapText="0" indent="1" justifyLastLine="0" shrinkToFit="0" readingOrder="0"/>
    </dxf>
    <dxf>
      <font>
        <b val="0"/>
        <i val="0"/>
        <strike val="0"/>
        <condense val="0"/>
        <extend val="0"/>
        <outline val="0"/>
        <shadow val="0"/>
        <u val="none"/>
        <vertAlign val="baseline"/>
        <sz val="12"/>
        <color theme="1"/>
        <name val="Georgia"/>
        <family val="1"/>
        <scheme val="none"/>
      </font>
      <numFmt numFmtId="3" formatCode="#,##0"/>
      <fill>
        <patternFill patternType="none">
          <fgColor indexed="64"/>
          <bgColor auto="1"/>
        </patternFill>
      </fill>
      <alignment horizontal="right" vertical="center" textRotation="0" wrapText="0" indent="1" justifyLastLine="0" shrinkToFit="0" readingOrder="0"/>
    </dxf>
    <dxf>
      <font>
        <b val="0"/>
        <i val="0"/>
        <strike val="0"/>
        <condense val="0"/>
        <extend val="0"/>
        <outline val="0"/>
        <shadow val="0"/>
        <u val="none"/>
        <vertAlign val="baseline"/>
        <sz val="12"/>
        <color theme="1"/>
        <name val="Georgia"/>
        <family val="1"/>
        <scheme val="none"/>
      </font>
      <numFmt numFmtId="3" formatCode="#,##0"/>
      <fill>
        <patternFill patternType="none">
          <fgColor indexed="64"/>
          <bgColor auto="1"/>
        </patternFill>
      </fill>
      <alignment horizontal="right" vertical="center" textRotation="0" wrapText="0" indent="1" justifyLastLine="0" shrinkToFit="0" readingOrder="0"/>
    </dxf>
    <dxf>
      <font>
        <b val="0"/>
        <i val="0"/>
        <strike val="0"/>
        <condense val="0"/>
        <extend val="0"/>
        <outline val="0"/>
        <shadow val="0"/>
        <u val="none"/>
        <vertAlign val="baseline"/>
        <sz val="12"/>
        <color theme="1"/>
        <name val="Georgia"/>
        <family val="1"/>
        <scheme val="none"/>
      </font>
      <numFmt numFmtId="3" formatCode="#,##0"/>
      <fill>
        <patternFill patternType="none">
          <fgColor indexed="64"/>
          <bgColor auto="1"/>
        </patternFill>
      </fill>
      <alignment horizontal="right" vertical="center" textRotation="0" wrapText="0" indent="1" justifyLastLine="0" shrinkToFit="0" readingOrder="0"/>
    </dxf>
    <dxf>
      <font>
        <b val="0"/>
        <i val="0"/>
        <strike val="0"/>
        <condense val="0"/>
        <extend val="0"/>
        <outline val="0"/>
        <shadow val="0"/>
        <u val="none"/>
        <vertAlign val="baseline"/>
        <sz val="12"/>
        <color theme="1"/>
        <name val="Georgia"/>
        <family val="1"/>
        <scheme val="none"/>
      </font>
      <numFmt numFmtId="3" formatCode="#,##0"/>
      <fill>
        <patternFill patternType="none">
          <fgColor indexed="64"/>
          <bgColor auto="1"/>
        </patternFill>
      </fill>
      <alignment horizontal="right" vertical="center" textRotation="0" wrapText="0" indent="1" justifyLastLine="0" shrinkToFit="0" readingOrder="0"/>
    </dxf>
    <dxf>
      <font>
        <strike val="0"/>
        <outline val="0"/>
        <shadow val="0"/>
        <u val="none"/>
        <vertAlign val="baseline"/>
        <sz val="12"/>
        <color theme="1"/>
        <name val="Georgia"/>
        <family val="1"/>
        <scheme val="none"/>
      </font>
      <numFmt numFmtId="164" formatCode="000000"/>
      <fill>
        <patternFill patternType="none">
          <fgColor indexed="64"/>
          <bgColor auto="1"/>
        </patternFill>
      </fill>
      <alignment horizontal="center" vertical="center" textRotation="0" wrapText="0" indent="0" justifyLastLine="0" shrinkToFit="0" readingOrder="0"/>
    </dxf>
    <dxf>
      <font>
        <strike val="0"/>
        <outline val="0"/>
        <shadow val="0"/>
        <u val="none"/>
        <vertAlign val="baseline"/>
        <sz val="12"/>
        <color theme="1"/>
        <name val="Georgia"/>
        <family val="1"/>
        <scheme val="none"/>
      </font>
      <numFmt numFmtId="0" formatCode="General"/>
      <fill>
        <patternFill patternType="none">
          <fgColor indexed="64"/>
          <bgColor auto="1"/>
        </patternFill>
      </fill>
      <alignment horizontal="center" vertical="center" textRotation="0" wrapText="0" indent="0" justifyLastLine="0" shrinkToFit="0" readingOrder="0"/>
    </dxf>
    <dxf>
      <font>
        <strike val="0"/>
        <outline val="0"/>
        <shadow val="0"/>
        <u val="none"/>
        <vertAlign val="baseline"/>
        <sz val="12"/>
        <color theme="1"/>
        <name val="Georgia"/>
        <family val="1"/>
        <scheme val="none"/>
      </font>
      <numFmt numFmtId="0" formatCode="General"/>
      <fill>
        <patternFill patternType="none">
          <fgColor indexed="64"/>
          <bgColor auto="1"/>
        </patternFill>
      </fill>
      <alignment horizontal="center" vertical="center" textRotation="0" wrapText="0" indent="0" justifyLastLine="0" shrinkToFit="0" readingOrder="0"/>
    </dxf>
    <dxf>
      <font>
        <strike val="0"/>
        <outline val="0"/>
        <shadow val="0"/>
        <u val="none"/>
        <vertAlign val="baseline"/>
        <sz val="12"/>
        <color theme="1"/>
        <name val="Georgia"/>
        <family val="1"/>
        <scheme val="none"/>
      </font>
      <numFmt numFmtId="167" formatCode="0000"/>
      <fill>
        <patternFill patternType="none">
          <fgColor indexed="64"/>
          <bgColor auto="1"/>
        </patternFill>
      </fill>
      <alignment horizontal="center" vertical="center" textRotation="0" wrapText="0" indent="0" justifyLastLine="0" shrinkToFit="0" readingOrder="0"/>
    </dxf>
    <dxf>
      <font>
        <strike val="0"/>
        <outline val="0"/>
        <shadow val="0"/>
        <u val="none"/>
        <vertAlign val="baseline"/>
        <sz val="12"/>
        <color theme="1"/>
        <name val="Georgia"/>
        <family val="1"/>
        <scheme val="none"/>
      </font>
      <numFmt numFmtId="0" formatCode="General"/>
      <fill>
        <patternFill patternType="none">
          <fgColor indexed="64"/>
          <bgColor auto="1"/>
        </patternFill>
      </fill>
      <alignment horizontal="center" vertical="center" textRotation="0" wrapText="0" indent="0" justifyLastLine="0" shrinkToFit="0" readingOrder="0"/>
    </dxf>
    <dxf>
      <font>
        <strike val="0"/>
        <outline val="0"/>
        <shadow val="0"/>
        <u val="none"/>
        <vertAlign val="baseline"/>
        <sz val="12"/>
        <color theme="1"/>
        <name val="Georgia"/>
        <family val="1"/>
        <scheme val="none"/>
      </font>
      <numFmt numFmtId="0" formatCode="General"/>
      <fill>
        <patternFill patternType="none">
          <fgColor indexed="64"/>
          <bgColor auto="1"/>
        </patternFill>
      </fill>
      <alignment horizontal="center" vertical="center" textRotation="0" wrapText="0" indent="0" justifyLastLine="0" shrinkToFit="0" readingOrder="0"/>
    </dxf>
    <dxf>
      <font>
        <strike val="0"/>
        <outline val="0"/>
        <shadow val="0"/>
        <u val="none"/>
        <vertAlign val="baseline"/>
        <sz val="12"/>
        <color theme="1"/>
        <name val="Georgia"/>
        <family val="1"/>
        <scheme val="none"/>
      </font>
      <numFmt numFmtId="0" formatCode="General"/>
      <fill>
        <patternFill patternType="none">
          <fgColor indexed="64"/>
          <bgColor auto="1"/>
        </patternFill>
      </fill>
      <alignment horizontal="left" vertical="center" textRotation="0" wrapText="0" relativeIndent="1" justifyLastLine="0" shrinkToFit="0" readingOrder="0"/>
    </dxf>
    <dxf>
      <font>
        <b val="0"/>
        <i val="0"/>
        <strike val="0"/>
        <condense val="0"/>
        <extend val="0"/>
        <outline val="0"/>
        <shadow val="0"/>
        <u val="none"/>
        <vertAlign val="baseline"/>
        <sz val="12"/>
        <color theme="1"/>
        <name val="Georgia"/>
        <family val="1"/>
        <scheme val="none"/>
      </font>
      <fill>
        <patternFill patternType="none">
          <fgColor indexed="64"/>
          <bgColor auto="1"/>
        </patternFill>
      </fill>
      <alignment horizontal="left" vertical="center" textRotation="0" wrapText="0" relativeIndent="1" justifyLastLine="0" shrinkToFit="0" readingOrder="0"/>
    </dxf>
    <dxf>
      <font>
        <b val="0"/>
        <i val="0"/>
        <strike val="0"/>
        <condense val="0"/>
        <extend val="0"/>
        <outline val="0"/>
        <shadow val="0"/>
        <u val="none"/>
        <vertAlign val="baseline"/>
        <sz val="12"/>
        <color theme="1"/>
        <name val="Georgia"/>
        <family val="1"/>
        <scheme val="none"/>
      </font>
      <fill>
        <patternFill patternType="none">
          <fgColor indexed="64"/>
          <bgColor auto="1"/>
        </patternFill>
      </fill>
      <alignment horizontal="right" vertical="center" textRotation="0" wrapText="0" indent="0" justifyLastLine="0" shrinkToFit="0" readingOrder="0"/>
    </dxf>
    <dxf>
      <font>
        <b/>
        <i val="0"/>
        <strike val="0"/>
        <condense val="0"/>
        <extend val="0"/>
        <outline val="0"/>
        <shadow val="0"/>
        <u val="none"/>
        <vertAlign val="baseline"/>
        <sz val="12"/>
        <color theme="1"/>
        <name val="Georgia"/>
        <family val="1"/>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Georgia Pro"/>
        <family val="2"/>
        <scheme val="minor"/>
      </font>
      <numFmt numFmtId="167" formatCode="0000"/>
      <alignment horizontal="center" vertical="center" textRotation="0" wrapText="0" indent="0" justifyLastLine="0" shrinkToFit="0" readingOrder="0"/>
    </dxf>
    <dxf>
      <font>
        <b val="0"/>
        <i val="0"/>
        <strike val="0"/>
        <condense val="0"/>
        <extend val="0"/>
        <outline val="0"/>
        <shadow val="0"/>
        <u val="none"/>
        <vertAlign val="baseline"/>
        <sz val="12"/>
        <color theme="1"/>
        <name val="Georgia Pro"/>
        <family val="2"/>
        <scheme val="minor"/>
      </font>
      <alignment horizontal="center" vertical="center" textRotation="0" wrapText="0" indent="0" justifyLastLine="0" shrinkToFit="0" readingOrder="0"/>
    </dxf>
    <dxf>
      <font>
        <b val="0"/>
        <i val="0"/>
        <strike val="0"/>
        <condense val="0"/>
        <extend val="0"/>
        <outline val="0"/>
        <shadow val="0"/>
        <u val="none"/>
        <vertAlign val="baseline"/>
        <sz val="12"/>
        <color theme="1"/>
        <name val="Georgia Pro"/>
        <family val="2"/>
        <scheme val="minor"/>
      </font>
      <alignment horizontal="left" vertical="center" textRotation="0" wrapText="0" relativeIndent="1" justifyLastLine="0" shrinkToFit="0" readingOrder="0"/>
    </dxf>
    <dxf>
      <font>
        <b val="0"/>
        <i val="0"/>
        <strike val="0"/>
        <condense val="0"/>
        <extend val="0"/>
        <outline val="0"/>
        <shadow val="0"/>
        <u val="none"/>
        <vertAlign val="baseline"/>
        <sz val="12"/>
        <color theme="1"/>
        <name val="Georgia Pro"/>
        <family val="2"/>
        <scheme val="minor"/>
      </font>
      <alignment horizontal="left" vertical="center" textRotation="0" wrapText="0" relativeIndent="1" justifyLastLine="0" shrinkToFit="0" readingOrder="0"/>
    </dxf>
    <dxf>
      <font>
        <strike val="0"/>
        <outline val="0"/>
        <shadow val="0"/>
        <u val="none"/>
        <vertAlign val="baseline"/>
        <sz val="12"/>
        <name val="Segoe UI"/>
        <family val="2"/>
      </font>
      <alignment vertical="center" textRotation="0" indent="0" justifyLastLine="0" shrinkToFit="0" readingOrder="0"/>
    </dxf>
    <dxf>
      <font>
        <b/>
        <strike val="0"/>
        <outline val="0"/>
        <shadow val="0"/>
        <u val="none"/>
        <vertAlign val="baseline"/>
        <sz val="12"/>
        <color theme="1"/>
        <name val="Georgia Pro"/>
        <family val="2"/>
        <scheme val="minor"/>
      </font>
      <alignment vertical="center" textRotation="0" indent="0" justifyLastLine="0" shrinkToFit="0" readingOrder="0"/>
    </dxf>
    <dxf>
      <font>
        <b/>
        <i val="0"/>
        <strike val="0"/>
        <condense val="0"/>
        <extend val="0"/>
        <outline val="0"/>
        <shadow val="0"/>
        <u val="none"/>
        <vertAlign val="baseline"/>
        <sz val="12"/>
        <color theme="1"/>
        <name val="Georgia"/>
        <family val="1"/>
        <scheme val="none"/>
      </font>
      <numFmt numFmtId="3" formatCode="#,##0"/>
      <alignment horizontal="right" vertical="center" textRotation="0" wrapText="0" indent="1" justifyLastLine="0" shrinkToFit="0" readingOrder="0"/>
      <border diagonalUp="0" diagonalDown="0">
        <left/>
        <right/>
        <top style="medium">
          <color theme="4"/>
        </top>
        <bottom style="thin">
          <color theme="4"/>
        </bottom>
      </border>
    </dxf>
    <dxf>
      <font>
        <strike val="0"/>
        <outline val="0"/>
        <shadow val="0"/>
        <u val="none"/>
        <vertAlign val="baseline"/>
        <sz val="12"/>
        <color theme="1"/>
        <name val="Georgia"/>
        <family val="1"/>
        <scheme val="none"/>
      </font>
      <numFmt numFmtId="3" formatCode="#,##0"/>
      <fill>
        <patternFill patternType="none">
          <fgColor indexed="64"/>
          <bgColor indexed="65"/>
        </patternFill>
      </fill>
      <alignment horizontal="right" vertical="center" textRotation="0" wrapText="0" indent="1" justifyLastLine="0" shrinkToFit="0" readingOrder="0"/>
      <protection locked="1" hidden="0"/>
    </dxf>
    <dxf>
      <font>
        <b/>
        <i val="0"/>
        <strike val="0"/>
        <condense val="0"/>
        <extend val="0"/>
        <outline val="0"/>
        <shadow val="0"/>
        <u val="none"/>
        <vertAlign val="baseline"/>
        <sz val="12"/>
        <color theme="1"/>
        <name val="Georgia"/>
        <family val="1"/>
        <scheme val="none"/>
      </font>
      <numFmt numFmtId="3" formatCode="#,##0"/>
      <alignment horizontal="right" vertical="center" textRotation="0" wrapText="0" indent="1" justifyLastLine="0" shrinkToFit="0" readingOrder="0"/>
      <border diagonalUp="0" diagonalDown="0">
        <left/>
        <right/>
        <top style="medium">
          <color theme="4"/>
        </top>
        <bottom style="thin">
          <color theme="4"/>
        </bottom>
      </border>
    </dxf>
    <dxf>
      <font>
        <strike val="0"/>
        <outline val="0"/>
        <shadow val="0"/>
        <u val="none"/>
        <vertAlign val="baseline"/>
        <sz val="12"/>
        <color theme="1"/>
        <name val="Arial"/>
        <family val="2"/>
        <scheme val="none"/>
      </font>
      <numFmt numFmtId="3" formatCode="#,##0"/>
      <fill>
        <patternFill patternType="none">
          <fgColor indexed="64"/>
          <bgColor indexed="65"/>
        </patternFill>
      </fill>
      <alignment horizontal="right" vertical="center" textRotation="0" wrapText="0" indent="1" justifyLastLine="0" shrinkToFit="0" readingOrder="0"/>
      <protection locked="1" hidden="0"/>
    </dxf>
    <dxf>
      <font>
        <b/>
        <i val="0"/>
        <strike val="0"/>
        <condense val="0"/>
        <extend val="0"/>
        <outline val="0"/>
        <shadow val="0"/>
        <u val="none"/>
        <vertAlign val="baseline"/>
        <sz val="12"/>
        <color theme="1"/>
        <name val="Georgia"/>
        <family val="1"/>
        <scheme val="none"/>
      </font>
      <numFmt numFmtId="3" formatCode="#,##0"/>
      <alignment horizontal="right" vertical="center" textRotation="0" wrapText="0" indent="1" justifyLastLine="0" shrinkToFit="0" readingOrder="0"/>
      <border diagonalUp="0" diagonalDown="0">
        <left/>
        <right/>
        <top style="medium">
          <color theme="4"/>
        </top>
        <bottom style="thin">
          <color theme="4"/>
        </bottom>
      </border>
    </dxf>
    <dxf>
      <font>
        <strike val="0"/>
        <outline val="0"/>
        <shadow val="0"/>
        <u val="none"/>
        <vertAlign val="baseline"/>
        <sz val="12"/>
        <color theme="1"/>
        <name val="Arial"/>
        <family val="2"/>
        <scheme val="none"/>
      </font>
      <numFmt numFmtId="3" formatCode="#,##0"/>
      <fill>
        <patternFill patternType="none">
          <fgColor indexed="64"/>
          <bgColor indexed="65"/>
        </patternFill>
      </fill>
      <alignment horizontal="right" vertical="center" textRotation="0" wrapText="0" indent="1" justifyLastLine="0" shrinkToFit="0" readingOrder="0"/>
      <protection locked="1" hidden="0"/>
    </dxf>
    <dxf>
      <font>
        <b/>
        <i val="0"/>
        <strike val="0"/>
        <condense val="0"/>
        <extend val="0"/>
        <outline val="0"/>
        <shadow val="0"/>
        <u val="none"/>
        <vertAlign val="baseline"/>
        <sz val="12"/>
        <color theme="1"/>
        <name val="Georgia"/>
        <family val="1"/>
        <scheme val="none"/>
      </font>
      <numFmt numFmtId="3" formatCode="#,##0"/>
      <alignment horizontal="right" vertical="center" textRotation="0" wrapText="0" indent="1" justifyLastLine="0" shrinkToFit="0" readingOrder="0"/>
      <border diagonalUp="0" diagonalDown="0">
        <left/>
        <right/>
        <top style="medium">
          <color theme="4"/>
        </top>
        <bottom style="thin">
          <color theme="4"/>
        </bottom>
      </border>
    </dxf>
    <dxf>
      <font>
        <strike val="0"/>
        <outline val="0"/>
        <shadow val="0"/>
        <u val="none"/>
        <vertAlign val="baseline"/>
        <sz val="12"/>
        <color theme="1"/>
        <name val="Arial"/>
        <family val="2"/>
        <scheme val="none"/>
      </font>
      <numFmt numFmtId="3" formatCode="#,##0"/>
      <fill>
        <patternFill patternType="none">
          <fgColor indexed="64"/>
          <bgColor indexed="65"/>
        </patternFill>
      </fill>
      <alignment horizontal="right" vertical="center" textRotation="0" wrapText="0" indent="1" justifyLastLine="0" shrinkToFit="0" readingOrder="0"/>
      <protection locked="1" hidden="0"/>
    </dxf>
    <dxf>
      <font>
        <b/>
        <i val="0"/>
        <strike val="0"/>
        <condense val="0"/>
        <extend val="0"/>
        <outline val="0"/>
        <shadow val="0"/>
        <u val="none"/>
        <vertAlign val="baseline"/>
        <sz val="12"/>
        <color theme="1"/>
        <name val="Georgia"/>
        <family val="1"/>
        <scheme val="none"/>
      </font>
      <numFmt numFmtId="3" formatCode="#,##0"/>
      <alignment horizontal="right" vertical="center" textRotation="0" wrapText="0" indent="1" justifyLastLine="0" shrinkToFit="0" readingOrder="0"/>
      <border diagonalUp="0" diagonalDown="0">
        <left/>
        <right/>
        <top style="medium">
          <color theme="4"/>
        </top>
        <bottom style="thin">
          <color theme="4"/>
        </bottom>
      </border>
    </dxf>
    <dxf>
      <font>
        <strike val="0"/>
        <outline val="0"/>
        <shadow val="0"/>
        <u val="none"/>
        <vertAlign val="baseline"/>
        <sz val="12"/>
        <color theme="1"/>
        <name val="Arial"/>
        <family val="2"/>
        <scheme val="none"/>
      </font>
      <numFmt numFmtId="3" formatCode="#,##0"/>
      <fill>
        <patternFill patternType="none">
          <fgColor indexed="64"/>
          <bgColor indexed="65"/>
        </patternFill>
      </fill>
      <alignment horizontal="right" vertical="center" textRotation="0" wrapText="0" indent="1" justifyLastLine="0" shrinkToFit="0" readingOrder="0"/>
      <protection locked="1" hidden="0"/>
    </dxf>
    <dxf>
      <font>
        <b/>
        <i val="0"/>
        <strike val="0"/>
        <condense val="0"/>
        <extend val="0"/>
        <outline val="0"/>
        <shadow val="0"/>
        <u val="none"/>
        <vertAlign val="baseline"/>
        <sz val="12"/>
        <color theme="1"/>
        <name val="Georgia"/>
        <family val="1"/>
        <scheme val="none"/>
      </font>
      <numFmt numFmtId="3" formatCode="#,##0"/>
      <alignment horizontal="right" vertical="center" textRotation="0" wrapText="0" indent="1" justifyLastLine="0" shrinkToFit="0" readingOrder="0"/>
      <border diagonalUp="0" diagonalDown="0">
        <left/>
        <right/>
        <top style="medium">
          <color theme="4"/>
        </top>
        <bottom style="thin">
          <color theme="4"/>
        </bottom>
      </border>
    </dxf>
    <dxf>
      <font>
        <strike val="0"/>
        <outline val="0"/>
        <shadow val="0"/>
        <u val="none"/>
        <vertAlign val="baseline"/>
        <sz val="12"/>
        <color theme="1"/>
        <name val="Arial"/>
        <family val="2"/>
        <scheme val="none"/>
      </font>
      <numFmt numFmtId="3" formatCode="#,##0"/>
      <fill>
        <patternFill patternType="none">
          <fgColor indexed="64"/>
          <bgColor indexed="65"/>
        </patternFill>
      </fill>
      <alignment horizontal="right" vertical="center" textRotation="0" wrapText="0" indent="1" justifyLastLine="0" shrinkToFit="0" readingOrder="0"/>
      <protection locked="1" hidden="0"/>
    </dxf>
    <dxf>
      <font>
        <b/>
        <i val="0"/>
        <strike val="0"/>
        <condense val="0"/>
        <extend val="0"/>
        <outline val="0"/>
        <shadow val="0"/>
        <u val="none"/>
        <vertAlign val="baseline"/>
        <sz val="12"/>
        <color theme="1"/>
        <name val="Georgia"/>
        <family val="1"/>
        <scheme val="none"/>
      </font>
      <numFmt numFmtId="3" formatCode="#,##0"/>
      <alignment horizontal="right" vertical="center" textRotation="0" wrapText="0" indent="1" justifyLastLine="0" shrinkToFit="0" readingOrder="0"/>
      <border diagonalUp="0" diagonalDown="0">
        <left/>
        <right/>
        <top style="medium">
          <color theme="4"/>
        </top>
        <bottom style="thin">
          <color theme="4"/>
        </bottom>
      </border>
    </dxf>
    <dxf>
      <font>
        <strike val="0"/>
        <outline val="0"/>
        <shadow val="0"/>
        <u val="none"/>
        <vertAlign val="baseline"/>
        <sz val="12"/>
        <color theme="1"/>
        <name val="Arial"/>
        <family val="2"/>
        <scheme val="none"/>
      </font>
      <numFmt numFmtId="3" formatCode="#,##0"/>
      <fill>
        <patternFill patternType="none">
          <fgColor indexed="64"/>
          <bgColor indexed="65"/>
        </patternFill>
      </fill>
      <alignment horizontal="right" vertical="center" textRotation="0" wrapText="0" indent="1" justifyLastLine="0" shrinkToFit="0" readingOrder="0"/>
      <protection locked="1" hidden="0"/>
    </dxf>
    <dxf>
      <font>
        <b/>
        <i val="0"/>
        <strike val="0"/>
        <condense val="0"/>
        <extend val="0"/>
        <outline val="0"/>
        <shadow val="0"/>
        <u val="none"/>
        <vertAlign val="baseline"/>
        <sz val="12"/>
        <color theme="1"/>
        <name val="Georgia"/>
        <family val="1"/>
        <scheme val="none"/>
      </font>
      <numFmt numFmtId="3" formatCode="#,##0"/>
      <alignment horizontal="right" vertical="center" textRotation="0" wrapText="0" indent="1" justifyLastLine="0" shrinkToFit="0" readingOrder="0"/>
      <border diagonalUp="0" diagonalDown="0">
        <left/>
        <right/>
        <top style="medium">
          <color theme="4"/>
        </top>
        <bottom style="thin">
          <color theme="4"/>
        </bottom>
      </border>
    </dxf>
    <dxf>
      <font>
        <strike val="0"/>
        <outline val="0"/>
        <shadow val="0"/>
        <u val="none"/>
        <vertAlign val="baseline"/>
        <sz val="12"/>
        <color theme="1"/>
        <name val="Arial"/>
        <family val="2"/>
        <scheme val="none"/>
      </font>
      <numFmt numFmtId="3" formatCode="#,##0"/>
      <fill>
        <patternFill patternType="none">
          <fgColor indexed="64"/>
          <bgColor indexed="65"/>
        </patternFill>
      </fill>
      <alignment horizontal="right" vertical="center" textRotation="0" wrapText="0" indent="1" justifyLastLine="0" shrinkToFit="0" readingOrder="0"/>
      <protection locked="1" hidden="0"/>
    </dxf>
    <dxf>
      <font>
        <b val="0"/>
        <i val="0"/>
        <strike val="0"/>
        <condense val="0"/>
        <extend val="0"/>
        <outline val="0"/>
        <shadow val="0"/>
        <u val="none"/>
        <vertAlign val="baseline"/>
        <sz val="12"/>
        <color theme="1"/>
        <name val="Georgia"/>
        <family val="1"/>
        <scheme val="none"/>
      </font>
      <numFmt numFmtId="164" formatCode="000000"/>
      <border diagonalUp="0" diagonalDown="0">
        <left/>
        <right/>
        <top style="medium">
          <color theme="4"/>
        </top>
        <bottom style="thin">
          <color theme="4"/>
        </bottom>
      </border>
    </dxf>
    <dxf>
      <font>
        <b val="0"/>
        <i val="0"/>
        <strike val="0"/>
        <condense val="0"/>
        <extend val="0"/>
        <outline val="0"/>
        <shadow val="0"/>
        <u val="none"/>
        <vertAlign val="baseline"/>
        <sz val="12"/>
        <color theme="1"/>
        <name val="Georgia"/>
        <family val="1"/>
        <scheme val="none"/>
      </font>
      <fill>
        <patternFill patternType="none">
          <fgColor indexed="64"/>
          <bgColor auto="1"/>
        </patternFill>
      </fill>
      <alignment horizontal="center" vertical="center" textRotation="0" wrapText="0" indent="0" justifyLastLine="0" shrinkToFit="0" readingOrder="0"/>
      <protection locked="1" hidden="0"/>
    </dxf>
    <dxf>
      <font>
        <b val="0"/>
        <i val="0"/>
        <strike val="0"/>
        <condense val="0"/>
        <extend val="0"/>
        <outline val="0"/>
        <shadow val="0"/>
        <u val="none"/>
        <vertAlign val="baseline"/>
        <sz val="12"/>
        <color theme="1"/>
        <name val="Georgia"/>
        <family val="1"/>
        <scheme val="none"/>
      </font>
      <alignment horizontal="left" vertical="center" textRotation="0" wrapText="0" indent="0" justifyLastLine="0" shrinkToFit="0" readingOrder="0"/>
      <border diagonalUp="0" diagonalDown="0">
        <left/>
        <right/>
        <top style="medium">
          <color theme="4"/>
        </top>
        <bottom style="thin">
          <color theme="4"/>
        </bottom>
      </border>
    </dxf>
    <dxf>
      <font>
        <strike val="0"/>
        <outline val="0"/>
        <shadow val="0"/>
        <u val="none"/>
        <vertAlign val="baseline"/>
        <sz val="12"/>
        <color theme="1"/>
        <name val="Georgia"/>
        <family val="1"/>
        <scheme val="none"/>
      </font>
      <fill>
        <patternFill patternType="none">
          <fgColor indexed="64"/>
          <bgColor auto="1"/>
        </patternFill>
      </fill>
      <alignment horizontal="left" vertical="center" textRotation="0" wrapText="0" relativeIndent="1" justifyLastLine="0" shrinkToFit="0" readingOrder="0"/>
      <protection locked="1" hidden="0"/>
    </dxf>
    <dxf>
      <border>
        <top style="medium">
          <color theme="4"/>
        </top>
      </border>
    </dxf>
    <dxf>
      <font>
        <strike val="0"/>
        <outline val="0"/>
        <shadow val="0"/>
        <u val="none"/>
        <vertAlign val="baseline"/>
        <sz val="12"/>
        <color theme="1"/>
        <name val="Georgia"/>
        <family val="1"/>
        <scheme val="none"/>
      </font>
      <alignment vertical="center" textRotation="0" indent="0" justifyLastLine="0" shrinkToFit="0" readingOrder="0"/>
    </dxf>
    <dxf>
      <border outline="0">
        <top style="thin">
          <color theme="4"/>
        </top>
      </border>
    </dxf>
    <dxf>
      <font>
        <strike val="0"/>
        <outline val="0"/>
        <shadow val="0"/>
        <u val="none"/>
        <vertAlign val="baseline"/>
        <sz val="12"/>
        <color theme="1"/>
        <name val="Georgia"/>
        <family val="1"/>
        <scheme val="none"/>
      </font>
      <fill>
        <patternFill patternType="none">
          <fgColor indexed="64"/>
          <bgColor auto="1"/>
        </patternFill>
      </fill>
      <alignment horizontal="right" vertical="center" textRotation="0" wrapText="0" indent="0" justifyLastLine="0" shrinkToFit="0" readingOrder="0"/>
      <protection locked="1" hidden="0"/>
    </dxf>
    <dxf>
      <border>
        <bottom style="medium">
          <color theme="4"/>
        </bottom>
      </border>
    </dxf>
    <dxf>
      <font>
        <b/>
        <i val="0"/>
        <strike val="0"/>
        <condense val="0"/>
        <extend val="0"/>
        <outline val="0"/>
        <shadow val="0"/>
        <u val="none"/>
        <vertAlign val="baseline"/>
        <sz val="12"/>
        <color theme="1"/>
        <name val="Georgia"/>
        <family val="1"/>
        <scheme val="none"/>
      </font>
      <fill>
        <patternFill patternType="none">
          <fgColor indexed="64"/>
          <bgColor auto="1"/>
        </patternFill>
      </fill>
      <alignment horizontal="center" vertical="bottom" textRotation="0" wrapText="1" indent="0" justifyLastLine="0" shrinkToFit="0" readingOrder="0"/>
      <protection locked="1" hidden="0"/>
    </dxf>
    <dxf>
      <font>
        <b/>
        <i val="0"/>
        <strike val="0"/>
        <condense val="0"/>
        <extend val="0"/>
        <outline val="0"/>
        <shadow val="0"/>
        <u val="none"/>
        <vertAlign val="baseline"/>
        <sz val="12"/>
        <color theme="1"/>
        <name val="Georgia"/>
        <family val="1"/>
        <scheme val="none"/>
      </font>
      <numFmt numFmtId="3" formatCode="#,##0"/>
      <alignment horizontal="right" vertical="center" textRotation="0" wrapText="0" indent="1" justifyLastLine="0" shrinkToFit="0" readingOrder="0"/>
      <border diagonalUp="0" diagonalDown="0">
        <left/>
        <right/>
        <top style="medium">
          <color theme="4"/>
        </top>
        <bottom style="thin">
          <color theme="4"/>
        </bottom>
      </border>
    </dxf>
    <dxf>
      <font>
        <b val="0"/>
        <strike val="0"/>
        <outline val="0"/>
        <shadow val="0"/>
        <u val="none"/>
        <vertAlign val="baseline"/>
        <sz val="12"/>
        <color theme="1"/>
        <name val="Georgia"/>
        <family val="1"/>
        <scheme val="none"/>
      </font>
      <numFmt numFmtId="4" formatCode="#,##0.00"/>
      <fill>
        <patternFill patternType="none">
          <fgColor indexed="64"/>
          <bgColor auto="1"/>
        </patternFill>
      </fill>
      <alignment horizontal="right" vertical="center" textRotation="0" wrapText="0" indent="1" justifyLastLine="0" shrinkToFit="0" readingOrder="0"/>
      <protection locked="1" hidden="0"/>
    </dxf>
    <dxf>
      <font>
        <b/>
        <i val="0"/>
        <strike val="0"/>
        <condense val="0"/>
        <extend val="0"/>
        <outline val="0"/>
        <shadow val="0"/>
        <u val="none"/>
        <vertAlign val="baseline"/>
        <sz val="12"/>
        <color theme="1"/>
        <name val="Georgia"/>
        <family val="1"/>
        <scheme val="none"/>
      </font>
      <numFmt numFmtId="4" formatCode="#,##0.00"/>
      <alignment horizontal="right" vertical="center" textRotation="0" wrapText="0" indent="1" justifyLastLine="0" shrinkToFit="0" readingOrder="0"/>
      <border diagonalUp="0" diagonalDown="0">
        <left/>
        <right/>
        <top style="medium">
          <color theme="4"/>
        </top>
        <bottom style="thin">
          <color theme="4"/>
        </bottom>
      </border>
    </dxf>
    <dxf>
      <font>
        <b val="0"/>
        <i val="0"/>
        <strike val="0"/>
        <condense val="0"/>
        <extend val="0"/>
        <outline val="0"/>
        <shadow val="0"/>
        <u val="none"/>
        <vertAlign val="baseline"/>
        <sz val="12"/>
        <color theme="1"/>
        <name val="Georgia"/>
        <family val="1"/>
        <scheme val="none"/>
      </font>
      <numFmt numFmtId="3" formatCode="#,##0"/>
      <fill>
        <patternFill patternType="none">
          <fgColor indexed="64"/>
          <bgColor auto="1"/>
        </patternFill>
      </fill>
      <alignment horizontal="right" vertical="center" textRotation="0" wrapText="0" indent="1" justifyLastLine="0" shrinkToFit="0" readingOrder="0"/>
      <protection locked="1" hidden="0"/>
    </dxf>
    <dxf>
      <font>
        <b/>
        <i val="0"/>
        <strike val="0"/>
        <condense val="0"/>
        <extend val="0"/>
        <outline val="0"/>
        <shadow val="0"/>
        <u val="none"/>
        <vertAlign val="baseline"/>
        <sz val="12"/>
        <color theme="1"/>
        <name val="Georgia"/>
        <family val="1"/>
        <scheme val="none"/>
      </font>
      <numFmt numFmtId="4" formatCode="#,##0.00"/>
      <alignment horizontal="right" vertical="center" textRotation="0" wrapText="0" indent="1" justifyLastLine="0" shrinkToFit="0" readingOrder="0"/>
      <border diagonalUp="0" diagonalDown="0">
        <left/>
        <right/>
        <top style="medium">
          <color theme="4"/>
        </top>
        <bottom style="thin">
          <color theme="4"/>
        </bottom>
      </border>
    </dxf>
    <dxf>
      <font>
        <strike val="0"/>
        <outline val="0"/>
        <shadow val="0"/>
        <u val="none"/>
        <vertAlign val="baseline"/>
        <sz val="12"/>
        <color theme="1"/>
        <name val="Georgia"/>
        <family val="1"/>
        <scheme val="none"/>
      </font>
      <numFmt numFmtId="3" formatCode="#,##0"/>
      <fill>
        <patternFill patternType="none">
          <fgColor indexed="64"/>
          <bgColor auto="1"/>
        </patternFill>
      </fill>
      <alignment horizontal="right" vertical="center" textRotation="0" wrapText="0" indent="1" justifyLastLine="0" shrinkToFit="0" readingOrder="0"/>
      <protection locked="1" hidden="0"/>
    </dxf>
    <dxf>
      <font>
        <b/>
        <i val="0"/>
        <strike val="0"/>
        <condense val="0"/>
        <extend val="0"/>
        <outline val="0"/>
        <shadow val="0"/>
        <u val="none"/>
        <vertAlign val="baseline"/>
        <sz val="12"/>
        <color theme="1"/>
        <name val="Georgia"/>
        <family val="1"/>
        <scheme val="none"/>
      </font>
      <numFmt numFmtId="3" formatCode="#,##0"/>
      <alignment horizontal="right" vertical="center" textRotation="0" wrapText="0" indent="1" justifyLastLine="0" shrinkToFit="0" readingOrder="0"/>
      <border diagonalUp="0" diagonalDown="0">
        <left/>
        <right/>
        <top style="medium">
          <color theme="4"/>
        </top>
        <bottom style="thin">
          <color theme="4"/>
        </bottom>
      </border>
    </dxf>
    <dxf>
      <font>
        <strike val="0"/>
        <outline val="0"/>
        <shadow val="0"/>
        <u val="none"/>
        <vertAlign val="baseline"/>
        <sz val="12"/>
        <color theme="1"/>
        <name val="Georgia"/>
        <family val="1"/>
        <scheme val="none"/>
      </font>
      <numFmt numFmtId="3" formatCode="#,##0"/>
      <fill>
        <patternFill patternType="none">
          <fgColor indexed="64"/>
          <bgColor auto="1"/>
        </patternFill>
      </fill>
      <alignment horizontal="right" vertical="center" textRotation="0" wrapText="0" indent="1" justifyLastLine="0" shrinkToFit="0" readingOrder="0"/>
      <protection locked="1" hidden="0"/>
    </dxf>
    <dxf>
      <font>
        <b/>
        <i val="0"/>
        <strike val="0"/>
        <condense val="0"/>
        <extend val="0"/>
        <outline val="0"/>
        <shadow val="0"/>
        <u val="none"/>
        <vertAlign val="baseline"/>
        <sz val="12"/>
        <color theme="1"/>
        <name val="Georgia"/>
        <family val="1"/>
        <scheme val="none"/>
      </font>
      <numFmt numFmtId="3" formatCode="#,##0"/>
      <alignment horizontal="right" vertical="center" textRotation="0" wrapText="0" indent="1" justifyLastLine="0" shrinkToFit="0" readingOrder="0"/>
      <border diagonalUp="0" diagonalDown="0">
        <left/>
        <right/>
        <top style="medium">
          <color theme="4"/>
        </top>
        <bottom style="thin">
          <color theme="4"/>
        </bottom>
      </border>
    </dxf>
    <dxf>
      <font>
        <strike val="0"/>
        <outline val="0"/>
        <shadow val="0"/>
        <u val="none"/>
        <vertAlign val="baseline"/>
        <sz val="12"/>
        <color theme="1"/>
        <name val="Georgia"/>
        <family val="1"/>
        <scheme val="none"/>
      </font>
      <numFmt numFmtId="3" formatCode="#,##0"/>
      <fill>
        <patternFill patternType="none">
          <fgColor indexed="64"/>
          <bgColor auto="1"/>
        </patternFill>
      </fill>
      <alignment horizontal="right" vertical="center" textRotation="0" wrapText="0" indent="1" justifyLastLine="0" shrinkToFit="0" readingOrder="0"/>
      <protection locked="1" hidden="0"/>
    </dxf>
    <dxf>
      <font>
        <b/>
        <i val="0"/>
        <strike val="0"/>
        <condense val="0"/>
        <extend val="0"/>
        <outline val="0"/>
        <shadow val="0"/>
        <u val="none"/>
        <vertAlign val="baseline"/>
        <sz val="12"/>
        <color theme="1"/>
        <name val="Georgia"/>
        <family val="1"/>
        <scheme val="none"/>
      </font>
      <numFmt numFmtId="3" formatCode="#,##0"/>
      <alignment horizontal="right" vertical="center" textRotation="0" wrapText="0" indent="1" justifyLastLine="0" shrinkToFit="0" readingOrder="0"/>
      <border diagonalUp="0" diagonalDown="0">
        <left/>
        <right/>
        <top style="medium">
          <color theme="4"/>
        </top>
        <bottom style="thin">
          <color theme="4"/>
        </bottom>
      </border>
    </dxf>
    <dxf>
      <font>
        <strike val="0"/>
        <outline val="0"/>
        <shadow val="0"/>
        <u val="none"/>
        <vertAlign val="baseline"/>
        <sz val="12"/>
        <color theme="1"/>
        <name val="Georgia"/>
        <family val="1"/>
        <scheme val="none"/>
      </font>
      <numFmt numFmtId="3" formatCode="#,##0"/>
      <fill>
        <patternFill patternType="none">
          <fgColor indexed="64"/>
          <bgColor auto="1"/>
        </patternFill>
      </fill>
      <alignment horizontal="right" vertical="center" textRotation="0" wrapText="0" indent="1" justifyLastLine="0" shrinkToFit="0" readingOrder="0"/>
      <protection locked="1" hidden="0"/>
    </dxf>
    <dxf>
      <font>
        <b/>
        <i val="0"/>
        <strike val="0"/>
        <condense val="0"/>
        <extend val="0"/>
        <outline val="0"/>
        <shadow val="0"/>
        <u val="none"/>
        <vertAlign val="baseline"/>
        <sz val="12"/>
        <color theme="1"/>
        <name val="Georgia"/>
        <family val="1"/>
        <scheme val="none"/>
      </font>
      <numFmt numFmtId="3" formatCode="#,##0"/>
      <alignment horizontal="right" vertical="center" textRotation="0" wrapText="0" indent="1" justifyLastLine="0" shrinkToFit="0" readingOrder="0"/>
      <border diagonalUp="0" diagonalDown="0">
        <left/>
        <right/>
        <top style="medium">
          <color theme="4"/>
        </top>
        <bottom style="thin">
          <color theme="4"/>
        </bottom>
      </border>
    </dxf>
    <dxf>
      <font>
        <strike val="0"/>
        <outline val="0"/>
        <shadow val="0"/>
        <u val="none"/>
        <vertAlign val="baseline"/>
        <sz val="12"/>
        <color theme="1"/>
        <name val="Georgia"/>
        <family val="1"/>
        <scheme val="none"/>
      </font>
      <numFmt numFmtId="3" formatCode="#,##0"/>
      <fill>
        <patternFill patternType="none">
          <fgColor indexed="64"/>
          <bgColor auto="1"/>
        </patternFill>
      </fill>
      <alignment horizontal="right" vertical="center" textRotation="0" wrapText="0" indent="1" justifyLastLine="0" shrinkToFit="0" readingOrder="0"/>
      <protection locked="1" hidden="0"/>
    </dxf>
    <dxf>
      <font>
        <b/>
        <i val="0"/>
        <strike val="0"/>
        <condense val="0"/>
        <extend val="0"/>
        <outline val="0"/>
        <shadow val="0"/>
        <u val="none"/>
        <vertAlign val="baseline"/>
        <sz val="12"/>
        <color theme="1"/>
        <name val="Georgia"/>
        <family val="1"/>
        <scheme val="none"/>
      </font>
      <border diagonalUp="0" diagonalDown="0">
        <left/>
        <right/>
        <top style="medium">
          <color theme="4"/>
        </top>
        <bottom style="thin">
          <color theme="4"/>
        </bottom>
      </border>
      <protection locked="1" hidden="1"/>
    </dxf>
    <dxf>
      <font>
        <strike val="0"/>
        <outline val="0"/>
        <shadow val="0"/>
        <u val="none"/>
        <vertAlign val="baseline"/>
        <sz val="12"/>
        <color theme="1"/>
        <name val="Georgia"/>
        <family val="1"/>
        <scheme val="none"/>
      </font>
      <numFmt numFmtId="1" formatCode="0"/>
      <fill>
        <patternFill patternType="none">
          <fgColor indexed="64"/>
          <bgColor auto="1"/>
        </patternFill>
      </fill>
      <alignment horizontal="center" vertical="center" textRotation="0" wrapText="0" indent="0" justifyLastLine="0" shrinkToFit="0" readingOrder="0"/>
      <protection locked="1" hidden="1"/>
    </dxf>
    <dxf>
      <font>
        <b/>
        <i val="0"/>
        <strike val="0"/>
        <condense val="0"/>
        <extend val="0"/>
        <outline val="0"/>
        <shadow val="0"/>
        <u val="none"/>
        <vertAlign val="baseline"/>
        <sz val="12"/>
        <color theme="1"/>
        <name val="Georgia"/>
        <family val="1"/>
        <scheme val="none"/>
      </font>
      <numFmt numFmtId="6" formatCode="#,##0_);[Red]\(#,##0\)"/>
      <alignment horizontal="left" vertical="center" textRotation="0" wrapText="0" indent="0" justifyLastLine="0" shrinkToFit="0" readingOrder="0"/>
      <border diagonalUp="0" diagonalDown="0">
        <left/>
        <right/>
        <top style="medium">
          <color theme="4"/>
        </top>
        <bottom style="thin">
          <color theme="4"/>
        </bottom>
      </border>
      <protection locked="1" hidden="1"/>
    </dxf>
    <dxf>
      <font>
        <strike val="0"/>
        <outline val="0"/>
        <shadow val="0"/>
        <u val="none"/>
        <vertAlign val="baseline"/>
        <sz val="12"/>
        <color theme="1"/>
        <name val="Georgia"/>
        <family val="1"/>
        <scheme val="none"/>
      </font>
      <fill>
        <patternFill patternType="none">
          <fgColor indexed="64"/>
          <bgColor auto="1"/>
        </patternFill>
      </fill>
      <alignment horizontal="left" vertical="center" textRotation="0" wrapText="0" relativeIndent="1" justifyLastLine="0" shrinkToFit="0" readingOrder="0"/>
      <protection locked="1" hidden="1"/>
    </dxf>
    <dxf>
      <border>
        <top style="medium">
          <color theme="4"/>
        </top>
      </border>
    </dxf>
    <dxf>
      <font>
        <strike val="0"/>
        <outline val="0"/>
        <shadow val="0"/>
        <u val="none"/>
        <sz val="12"/>
        <color theme="1"/>
        <name val="Georgia"/>
        <family val="1"/>
        <scheme val="none"/>
      </font>
      <fill>
        <patternFill patternType="none">
          <fgColor indexed="64"/>
          <bgColor auto="1"/>
        </patternFill>
      </fill>
      <alignment vertical="center" textRotation="0" indent="0" justifyLastLine="0" shrinkToFit="0" readingOrder="0"/>
      <protection locked="1" hidden="1"/>
    </dxf>
    <dxf>
      <font>
        <strike val="0"/>
        <outline val="0"/>
        <shadow val="0"/>
        <u val="none"/>
        <sz val="12"/>
        <color theme="1"/>
        <name val="Georgia"/>
        <family val="1"/>
        <scheme val="none"/>
      </font>
      <fill>
        <patternFill patternType="none">
          <fgColor indexed="64"/>
          <bgColor auto="1"/>
        </patternFill>
      </fill>
      <alignment vertical="center" textRotation="0" indent="0" justifyLastLine="0" shrinkToFit="0" readingOrder="0"/>
      <protection locked="1" hidden="1"/>
    </dxf>
    <dxf>
      <border>
        <bottom style="medium">
          <color theme="4"/>
        </bottom>
      </border>
    </dxf>
    <dxf>
      <font>
        <b val="0"/>
        <i val="0"/>
        <strike val="0"/>
        <condense val="0"/>
        <extend val="0"/>
        <outline val="0"/>
        <shadow val="0"/>
        <u val="none"/>
        <vertAlign val="baseline"/>
        <sz val="12"/>
        <color theme="1"/>
        <name val="Georgia"/>
        <family val="1"/>
        <scheme val="none"/>
      </font>
      <fill>
        <patternFill patternType="none">
          <fgColor indexed="64"/>
          <bgColor auto="1"/>
        </patternFill>
      </fill>
      <alignment horizontal="center" vertical="bottom" textRotation="0" wrapText="1" indent="0" justifyLastLine="0" shrinkToFit="0" readingOrder="0"/>
      <protection locked="1" hidden="1"/>
    </dxf>
    <dxf>
      <font>
        <b/>
        <i val="0"/>
        <strike val="0"/>
        <condense val="0"/>
        <extend val="0"/>
        <outline val="0"/>
        <shadow val="0"/>
        <u val="none"/>
        <vertAlign val="baseline"/>
        <sz val="12"/>
        <color theme="1"/>
        <name val="Georgia"/>
        <family val="1"/>
        <scheme val="none"/>
      </font>
      <numFmt numFmtId="3" formatCode="#,##0"/>
      <alignment horizontal="right" vertical="center" textRotation="0" wrapText="0" indent="1" justifyLastLine="0" shrinkToFit="0" readingOrder="0"/>
      <border diagonalUp="0" diagonalDown="0">
        <left/>
        <right/>
        <top style="medium">
          <color theme="4"/>
        </top>
        <bottom/>
      </border>
    </dxf>
    <dxf>
      <font>
        <b/>
        <strike val="0"/>
        <outline val="0"/>
        <shadow val="0"/>
        <u val="none"/>
        <vertAlign val="baseline"/>
        <sz val="12"/>
        <color theme="0"/>
        <name val="Georgia"/>
        <family val="1"/>
        <scheme val="none"/>
      </font>
      <numFmt numFmtId="4" formatCode="#,##0.00"/>
      <fill>
        <patternFill patternType="solid">
          <fgColor indexed="64"/>
          <bgColor theme="4"/>
        </patternFill>
      </fill>
      <alignment horizontal="right" vertical="center" textRotation="0" wrapText="0" indent="2" justifyLastLine="0" shrinkToFit="0" readingOrder="0"/>
      <protection locked="1" hidden="0"/>
    </dxf>
    <dxf>
      <font>
        <b/>
        <i val="0"/>
        <strike val="0"/>
        <condense val="0"/>
        <extend val="0"/>
        <outline val="0"/>
        <shadow val="0"/>
        <u val="none"/>
        <vertAlign val="baseline"/>
        <sz val="12"/>
        <color theme="1"/>
        <name val="Georgia"/>
        <family val="1"/>
        <scheme val="none"/>
      </font>
      <numFmt numFmtId="3" formatCode="#,##0"/>
      <alignment horizontal="right" vertical="center" textRotation="0" wrapText="0" indent="1" justifyLastLine="0" shrinkToFit="0" readingOrder="0"/>
      <border diagonalUp="0" diagonalDown="0">
        <left/>
        <right/>
        <top style="medium">
          <color theme="4"/>
        </top>
        <bottom/>
      </border>
    </dxf>
    <dxf>
      <font>
        <b/>
        <i val="0"/>
        <strike val="0"/>
        <condense val="0"/>
        <extend val="0"/>
        <outline val="0"/>
        <shadow val="0"/>
        <u val="none"/>
        <vertAlign val="baseline"/>
        <sz val="12"/>
        <color theme="0"/>
        <name val="Georgia"/>
        <family val="1"/>
        <scheme val="none"/>
      </font>
      <numFmt numFmtId="3" formatCode="#,##0"/>
      <fill>
        <patternFill patternType="solid">
          <fgColor indexed="64"/>
          <bgColor theme="4"/>
        </patternFill>
      </fill>
      <alignment horizontal="right" vertical="center" textRotation="0" wrapText="0" indent="1" justifyLastLine="0" shrinkToFit="0" readingOrder="0"/>
      <protection locked="1" hidden="1"/>
    </dxf>
    <dxf>
      <font>
        <b/>
        <i val="0"/>
        <strike val="0"/>
        <condense val="0"/>
        <extend val="0"/>
        <outline val="0"/>
        <shadow val="0"/>
        <u val="none"/>
        <vertAlign val="baseline"/>
        <sz val="12"/>
        <color theme="1"/>
        <name val="Georgia"/>
        <family val="1"/>
        <scheme val="none"/>
      </font>
      <numFmt numFmtId="3" formatCode="#,##0"/>
      <alignment horizontal="right" vertical="center" textRotation="0" wrapText="0" indent="1" justifyLastLine="0" shrinkToFit="0" readingOrder="0"/>
      <border diagonalUp="0" diagonalDown="0">
        <left/>
        <right/>
        <top style="medium">
          <color theme="4"/>
        </top>
        <bottom/>
      </border>
    </dxf>
    <dxf>
      <font>
        <b/>
        <strike val="0"/>
        <outline val="0"/>
        <shadow val="0"/>
        <u val="none"/>
        <vertAlign val="baseline"/>
        <sz val="12"/>
        <color theme="0"/>
        <name val="Georgia"/>
        <family val="1"/>
        <scheme val="none"/>
      </font>
      <numFmt numFmtId="3" formatCode="#,##0"/>
      <fill>
        <patternFill patternType="solid">
          <fgColor indexed="64"/>
          <bgColor theme="4"/>
        </patternFill>
      </fill>
      <alignment horizontal="right" vertical="center" textRotation="0" wrapText="0" indent="1" justifyLastLine="0" shrinkToFit="0" readingOrder="0"/>
      <protection locked="1" hidden="1"/>
    </dxf>
    <dxf>
      <font>
        <b/>
        <i val="0"/>
        <strike val="0"/>
        <condense val="0"/>
        <extend val="0"/>
        <outline val="0"/>
        <shadow val="0"/>
        <u val="none"/>
        <vertAlign val="baseline"/>
        <sz val="12"/>
        <color theme="1"/>
        <name val="Georgia"/>
        <family val="1"/>
        <scheme val="none"/>
      </font>
      <numFmt numFmtId="3" formatCode="#,##0"/>
      <alignment horizontal="right" vertical="center" textRotation="0" wrapText="0" indent="1" justifyLastLine="0" shrinkToFit="0" readingOrder="0"/>
      <border diagonalUp="0" diagonalDown="0">
        <left/>
        <right/>
        <top style="medium">
          <color theme="4"/>
        </top>
        <bottom/>
      </border>
    </dxf>
    <dxf>
      <font>
        <b/>
        <strike val="0"/>
        <outline val="0"/>
        <shadow val="0"/>
        <u val="none"/>
        <vertAlign val="baseline"/>
        <sz val="12"/>
        <color theme="0"/>
        <name val="Georgia"/>
        <family val="1"/>
        <scheme val="none"/>
      </font>
      <numFmt numFmtId="3" formatCode="#,##0"/>
      <fill>
        <patternFill patternType="solid">
          <fgColor indexed="64"/>
          <bgColor theme="4"/>
        </patternFill>
      </fill>
      <alignment horizontal="right" vertical="center" textRotation="0" wrapText="0" indent="1" justifyLastLine="0" shrinkToFit="0" readingOrder="0"/>
      <protection locked="1" hidden="1"/>
    </dxf>
    <dxf>
      <font>
        <b/>
        <i val="0"/>
        <strike val="0"/>
        <condense val="0"/>
        <extend val="0"/>
        <outline val="0"/>
        <shadow val="0"/>
        <u val="none"/>
        <vertAlign val="baseline"/>
        <sz val="12"/>
        <color theme="1"/>
        <name val="Georgia"/>
        <family val="1"/>
        <scheme val="none"/>
      </font>
      <numFmt numFmtId="3" formatCode="#,##0"/>
      <alignment horizontal="right" vertical="center" textRotation="0" wrapText="0" indent="1" justifyLastLine="0" shrinkToFit="0" readingOrder="0"/>
      <border diagonalUp="0" diagonalDown="0">
        <left/>
        <right/>
        <top style="medium">
          <color theme="4"/>
        </top>
        <bottom/>
      </border>
    </dxf>
    <dxf>
      <font>
        <b/>
        <strike val="0"/>
        <outline val="0"/>
        <shadow val="0"/>
        <u val="none"/>
        <vertAlign val="baseline"/>
        <sz val="12"/>
        <color theme="0"/>
        <name val="Georgia"/>
        <family val="1"/>
        <scheme val="none"/>
      </font>
      <numFmt numFmtId="3" formatCode="#,##0"/>
      <fill>
        <patternFill patternType="solid">
          <fgColor indexed="64"/>
          <bgColor theme="4"/>
        </patternFill>
      </fill>
      <alignment horizontal="right" vertical="center" textRotation="0" wrapText="0" indent="1" justifyLastLine="0" shrinkToFit="0" readingOrder="0"/>
      <protection locked="1" hidden="1"/>
    </dxf>
    <dxf>
      <font>
        <b/>
        <i val="0"/>
        <strike val="0"/>
        <condense val="0"/>
        <extend val="0"/>
        <outline val="0"/>
        <shadow val="0"/>
        <u val="none"/>
        <vertAlign val="baseline"/>
        <sz val="12"/>
        <color theme="1"/>
        <name val="Georgia"/>
        <family val="1"/>
        <scheme val="none"/>
      </font>
      <numFmt numFmtId="3" formatCode="#,##0"/>
      <alignment horizontal="right" vertical="center" textRotation="0" wrapText="0" indent="1" justifyLastLine="0" shrinkToFit="0" readingOrder="0"/>
      <border diagonalUp="0" diagonalDown="0">
        <left/>
        <right/>
        <top style="medium">
          <color theme="4"/>
        </top>
        <bottom/>
      </border>
    </dxf>
    <dxf>
      <font>
        <b/>
        <strike val="0"/>
        <outline val="0"/>
        <shadow val="0"/>
        <u val="none"/>
        <vertAlign val="baseline"/>
        <sz val="12"/>
        <color theme="0"/>
        <name val="Georgia"/>
        <family val="1"/>
        <scheme val="none"/>
      </font>
      <numFmt numFmtId="3" formatCode="#,##0"/>
      <fill>
        <patternFill patternType="solid">
          <fgColor indexed="64"/>
          <bgColor theme="4"/>
        </patternFill>
      </fill>
      <alignment horizontal="right" vertical="center" textRotation="0" wrapText="0" indent="1" justifyLastLine="0" shrinkToFit="0" readingOrder="0"/>
      <protection locked="1" hidden="1"/>
    </dxf>
    <dxf>
      <font>
        <b/>
        <i val="0"/>
        <strike val="0"/>
        <condense val="0"/>
        <extend val="0"/>
        <outline val="0"/>
        <shadow val="0"/>
        <u val="none"/>
        <vertAlign val="baseline"/>
        <sz val="12"/>
        <color theme="1"/>
        <name val="Georgia"/>
        <family val="1"/>
        <scheme val="none"/>
      </font>
      <numFmt numFmtId="3" formatCode="#,##0"/>
      <alignment horizontal="right" vertical="center" textRotation="0" wrapText="0" indent="1" justifyLastLine="0" shrinkToFit="0" readingOrder="0"/>
      <border diagonalUp="0" diagonalDown="0">
        <left/>
        <right/>
        <top style="medium">
          <color theme="4"/>
        </top>
        <bottom/>
      </border>
    </dxf>
    <dxf>
      <font>
        <b/>
        <strike val="0"/>
        <outline val="0"/>
        <shadow val="0"/>
        <u val="none"/>
        <vertAlign val="baseline"/>
        <sz val="12"/>
        <color theme="0"/>
        <name val="Georgia"/>
        <family val="1"/>
        <scheme val="none"/>
      </font>
      <numFmt numFmtId="3" formatCode="#,##0"/>
      <fill>
        <patternFill patternType="solid">
          <fgColor indexed="64"/>
          <bgColor theme="4"/>
        </patternFill>
      </fill>
      <alignment horizontal="right" vertical="center" textRotation="0" wrapText="0" indent="1" justifyLastLine="0" shrinkToFit="0" readingOrder="0"/>
      <protection locked="1" hidden="1"/>
    </dxf>
    <dxf>
      <font>
        <b/>
        <i val="0"/>
        <strike val="0"/>
        <condense val="0"/>
        <extend val="0"/>
        <outline val="0"/>
        <shadow val="0"/>
        <u val="none"/>
        <vertAlign val="baseline"/>
        <sz val="12"/>
        <color theme="1"/>
        <name val="Georgia"/>
        <family val="1"/>
        <scheme val="none"/>
      </font>
      <numFmt numFmtId="3" formatCode="#,##0"/>
      <alignment horizontal="right" vertical="center" textRotation="0" wrapText="0" indent="1" justifyLastLine="0" shrinkToFit="0" readingOrder="0"/>
      <border diagonalUp="0" diagonalDown="0">
        <left/>
        <right/>
        <top style="medium">
          <color theme="4"/>
        </top>
        <bottom/>
      </border>
    </dxf>
    <dxf>
      <font>
        <b/>
        <strike val="0"/>
        <outline val="0"/>
        <shadow val="0"/>
        <u val="none"/>
        <vertAlign val="baseline"/>
        <sz val="12"/>
        <color theme="0"/>
        <name val="Georgia"/>
        <family val="1"/>
        <scheme val="none"/>
      </font>
      <numFmt numFmtId="3" formatCode="#,##0"/>
      <fill>
        <patternFill patternType="solid">
          <fgColor indexed="64"/>
          <bgColor theme="4"/>
        </patternFill>
      </fill>
      <alignment horizontal="right" vertical="center" textRotation="0" wrapText="0" indent="1" justifyLastLine="0" shrinkToFit="0" readingOrder="0"/>
      <protection locked="1" hidden="1"/>
    </dxf>
    <dxf>
      <font>
        <b/>
        <i val="0"/>
        <strike val="0"/>
        <condense val="0"/>
        <extend val="0"/>
        <outline val="0"/>
        <shadow val="0"/>
        <u val="none"/>
        <vertAlign val="baseline"/>
        <sz val="12"/>
        <color theme="1"/>
        <name val="Georgia"/>
        <family val="1"/>
        <scheme val="none"/>
      </font>
      <numFmt numFmtId="6" formatCode="#,##0_);[Red]\(#,##0\)"/>
      <alignment horizontal="right" vertical="center" textRotation="0" wrapText="0" indent="0" justifyLastLine="0" shrinkToFit="0" readingOrder="0"/>
      <border diagonalUp="0" diagonalDown="0">
        <left/>
        <right/>
        <top style="medium">
          <color theme="4"/>
        </top>
        <bottom/>
      </border>
      <protection locked="1" hidden="1"/>
    </dxf>
    <dxf>
      <font>
        <b val="0"/>
        <strike val="0"/>
        <outline val="0"/>
        <shadow val="0"/>
        <u val="none"/>
        <vertAlign val="baseline"/>
        <sz val="12"/>
        <color theme="4"/>
        <name val="Georgia"/>
        <family val="1"/>
        <scheme val="none"/>
      </font>
      <numFmt numFmtId="164" formatCode="000000"/>
      <fill>
        <patternFill patternType="none">
          <fgColor indexed="64"/>
          <bgColor auto="1"/>
        </patternFill>
      </fill>
      <alignment horizontal="center" vertical="center" textRotation="0" wrapText="0" indent="0" justifyLastLine="0" shrinkToFit="0" readingOrder="0"/>
      <protection locked="1" hidden="1"/>
    </dxf>
    <dxf>
      <font>
        <b/>
        <i val="0"/>
        <strike val="0"/>
        <condense val="0"/>
        <extend val="0"/>
        <outline val="0"/>
        <shadow val="0"/>
        <u val="none"/>
        <vertAlign val="baseline"/>
        <sz val="12"/>
        <color theme="1"/>
        <name val="Georgia"/>
        <family val="1"/>
        <scheme val="none"/>
      </font>
      <numFmt numFmtId="6" formatCode="#,##0_);[Red]\(#,##0\)"/>
      <alignment horizontal="right" vertical="center" textRotation="0" wrapText="0" indent="0" justifyLastLine="0" shrinkToFit="0" readingOrder="0"/>
      <border diagonalUp="0" diagonalDown="0">
        <left/>
        <right/>
        <top style="medium">
          <color theme="4"/>
        </top>
        <bottom/>
      </border>
      <protection locked="1" hidden="1"/>
    </dxf>
    <dxf>
      <font>
        <b val="0"/>
        <strike val="0"/>
        <outline val="0"/>
        <shadow val="0"/>
        <u val="none"/>
        <vertAlign val="baseline"/>
        <sz val="12"/>
        <color theme="4"/>
        <name val="Georgia"/>
        <family val="1"/>
        <scheme val="none"/>
      </font>
      <fill>
        <patternFill patternType="none">
          <fgColor indexed="64"/>
          <bgColor auto="1"/>
        </patternFill>
      </fill>
      <alignment horizontal="left" vertical="center" textRotation="0" wrapText="0" relativeIndent="1" justifyLastLine="0" shrinkToFit="0" readingOrder="0"/>
      <protection locked="1" hidden="1"/>
    </dxf>
    <dxf>
      <border>
        <top style="medium">
          <color theme="4"/>
        </top>
      </border>
    </dxf>
    <dxf>
      <font>
        <strike val="0"/>
        <outline val="0"/>
        <shadow val="0"/>
        <u val="none"/>
        <vertAlign val="baseline"/>
        <sz val="12"/>
        <name val="Georgia"/>
        <family val="1"/>
        <scheme val="none"/>
      </font>
      <alignment vertical="center" textRotation="0" indent="0" justifyLastLine="0" shrinkToFit="0" readingOrder="0"/>
      <protection locked="1" hidden="1"/>
    </dxf>
    <dxf>
      <border diagonalUp="0" diagonalDown="0">
        <left style="thin">
          <color theme="4"/>
        </left>
        <right style="thin">
          <color theme="4"/>
        </right>
        <top style="thin">
          <color theme="4"/>
        </top>
        <bottom style="thin">
          <color theme="4"/>
        </bottom>
      </border>
    </dxf>
    <dxf>
      <font>
        <b val="0"/>
        <strike val="0"/>
        <outline val="0"/>
        <shadow val="0"/>
        <u val="none"/>
        <vertAlign val="baseline"/>
        <sz val="12"/>
        <color theme="4"/>
        <name val="Georgia"/>
        <family val="1"/>
        <scheme val="none"/>
      </font>
      <fill>
        <patternFill patternType="none">
          <fgColor indexed="64"/>
          <bgColor auto="1"/>
        </patternFill>
      </fill>
      <alignment vertical="center" textRotation="0" indent="0" justifyLastLine="0" shrinkToFit="0" readingOrder="0"/>
      <protection locked="1" hidden="1"/>
    </dxf>
    <dxf>
      <border>
        <bottom style="medium">
          <color theme="4"/>
        </bottom>
      </border>
    </dxf>
    <dxf>
      <font>
        <b/>
        <i val="0"/>
        <strike val="0"/>
        <condense val="0"/>
        <extend val="0"/>
        <outline val="0"/>
        <shadow val="0"/>
        <u val="none"/>
        <vertAlign val="baseline"/>
        <sz val="12"/>
        <color theme="1"/>
        <name val="Georgia"/>
        <family val="1"/>
        <scheme val="none"/>
      </font>
      <fill>
        <patternFill patternType="none">
          <fgColor indexed="64"/>
          <bgColor auto="1"/>
        </patternFill>
      </fill>
      <alignment horizontal="center" vertical="bottom" textRotation="0" wrapText="1" indent="0" justifyLastLine="0" shrinkToFit="0" readingOrder="0"/>
      <protection locked="1" hidden="1"/>
    </dxf>
    <dxf>
      <font>
        <b val="0"/>
        <i val="0"/>
        <strike val="0"/>
        <condense val="0"/>
        <extend val="0"/>
        <outline val="0"/>
        <shadow val="0"/>
        <u val="none"/>
        <vertAlign val="baseline"/>
        <sz val="12"/>
        <color theme="1"/>
        <name val="Georgia"/>
        <family val="1"/>
        <scheme val="none"/>
      </font>
      <numFmt numFmtId="0" formatCode="General"/>
      <fill>
        <patternFill patternType="solid">
          <fgColor indexed="64"/>
          <bgColor theme="0"/>
        </patternFill>
      </fill>
      <alignment horizontal="left" vertical="center" textRotation="0" wrapText="0" relativeIndent="1" justifyLastLine="0" shrinkToFit="0" readingOrder="0"/>
    </dxf>
    <dxf>
      <font>
        <b val="0"/>
        <i val="0"/>
        <strike val="0"/>
        <condense val="0"/>
        <extend val="0"/>
        <outline val="0"/>
        <shadow val="0"/>
        <u val="none"/>
        <vertAlign val="baseline"/>
        <sz val="12"/>
        <color theme="1"/>
        <name val="Georgia"/>
        <family val="1"/>
        <scheme val="none"/>
      </font>
      <numFmt numFmtId="165" formatCode="[&lt;=9999999]###\-####;\(###\)\ ###\-####"/>
      <fill>
        <patternFill patternType="solid">
          <fgColor indexed="64"/>
          <bgColor theme="0"/>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Georgia"/>
        <family val="1"/>
        <scheme val="none"/>
      </font>
      <numFmt numFmtId="0" formatCode="General"/>
      <fill>
        <patternFill patternType="solid">
          <fgColor indexed="64"/>
          <bgColor theme="0"/>
        </patternFill>
      </fill>
      <alignment horizontal="left" vertical="center" textRotation="0" wrapText="0" relativeIndent="1" justifyLastLine="0" shrinkToFit="0" readingOrder="0"/>
    </dxf>
    <dxf>
      <font>
        <b val="0"/>
        <i val="0"/>
        <strike val="0"/>
        <condense val="0"/>
        <extend val="0"/>
        <outline val="0"/>
        <shadow val="0"/>
        <u val="none"/>
        <vertAlign val="baseline"/>
        <sz val="12"/>
        <color theme="1"/>
        <name val="Georgia"/>
        <family val="1"/>
        <scheme val="none"/>
      </font>
      <numFmt numFmtId="0" formatCode="General"/>
      <fill>
        <patternFill patternType="solid">
          <fgColor indexed="64"/>
          <bgColor theme="0"/>
        </patternFill>
      </fill>
      <alignment horizontal="left" vertical="center" textRotation="0" wrapText="0" relativeIndent="1" justifyLastLine="0" shrinkToFit="0" readingOrder="0"/>
    </dxf>
    <dxf>
      <font>
        <b val="0"/>
        <i val="0"/>
        <strike val="0"/>
        <condense val="0"/>
        <extend val="0"/>
        <outline val="0"/>
        <shadow val="0"/>
        <u val="none"/>
        <vertAlign val="baseline"/>
        <sz val="12"/>
        <color theme="1"/>
        <name val="Georgia"/>
        <family val="1"/>
        <scheme val="none"/>
      </font>
      <numFmt numFmtId="165" formatCode="[&lt;=9999999]###\-####;\(###\)\ ###\-####"/>
      <fill>
        <patternFill patternType="solid">
          <fgColor indexed="64"/>
          <bgColor theme="0"/>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Georgia"/>
        <family val="1"/>
        <scheme val="none"/>
      </font>
      <numFmt numFmtId="0" formatCode="General"/>
      <fill>
        <patternFill patternType="solid">
          <fgColor indexed="64"/>
          <bgColor theme="0"/>
        </patternFill>
      </fill>
      <alignment horizontal="left" vertical="center" textRotation="0" wrapText="0" relativeIndent="1" justifyLastLine="0" shrinkToFit="0" readingOrder="0"/>
    </dxf>
    <dxf>
      <font>
        <b val="0"/>
        <i val="0"/>
        <strike val="0"/>
        <condense val="0"/>
        <extend val="0"/>
        <outline val="0"/>
        <shadow val="0"/>
        <u val="none"/>
        <vertAlign val="baseline"/>
        <sz val="12"/>
        <color theme="1"/>
        <name val="Georgia"/>
        <family val="1"/>
        <scheme val="none"/>
      </font>
      <fill>
        <patternFill patternType="solid">
          <fgColor indexed="64"/>
          <bgColor theme="0"/>
        </patternFill>
      </fill>
      <alignment horizontal="left" vertical="center" textRotation="0" wrapText="0" relativeIndent="1" justifyLastLine="0" shrinkToFit="0" readingOrder="0"/>
    </dxf>
    <dxf>
      <font>
        <b val="0"/>
        <i val="0"/>
        <strike val="0"/>
        <condense val="0"/>
        <extend val="0"/>
        <outline val="0"/>
        <shadow val="0"/>
        <u val="none"/>
        <vertAlign val="baseline"/>
        <sz val="12"/>
        <color theme="1"/>
        <name val="Georgia"/>
        <family val="1"/>
        <scheme val="none"/>
      </font>
      <fill>
        <patternFill patternType="solid">
          <fgColor indexed="64"/>
          <bgColor theme="0"/>
        </patternFill>
      </fill>
      <alignment horizontal="left" vertical="center" textRotation="0" wrapText="0" indent="0" justifyLastLine="0" shrinkToFit="0" readingOrder="0"/>
    </dxf>
    <dxf>
      <font>
        <b/>
        <strike val="0"/>
        <outline val="0"/>
        <shadow val="0"/>
        <u val="none"/>
        <vertAlign val="baseline"/>
        <sz val="14"/>
        <color theme="0"/>
        <name val="Georgia"/>
        <family val="1"/>
        <scheme val="none"/>
      </font>
      <fill>
        <patternFill patternType="none">
          <fgColor indexed="64"/>
          <bgColor auto="1"/>
        </patternFill>
      </fill>
      <alignment horizontal="left" vertical="center" textRotation="0" wrapText="0" relativeIndent="1" justifyLastLine="0" shrinkToFit="0" readingOrder="0"/>
    </dxf>
    <dxf>
      <fill>
        <patternFill>
          <bgColor theme="0"/>
        </patternFill>
      </fill>
      <border diagonalUp="0" diagonalDown="0">
        <left/>
        <right/>
        <top/>
        <bottom/>
        <vertical/>
        <horizontal/>
      </border>
    </dxf>
    <dxf>
      <fill>
        <patternFill>
          <bgColor theme="5" tint="0.79998168889431442"/>
        </patternFill>
      </fill>
      <border diagonalUp="0" diagonalDown="0">
        <left/>
        <right/>
        <top/>
        <bottom/>
        <vertical/>
        <horizontal/>
      </border>
    </dxf>
    <dxf>
      <font>
        <b/>
        <i val="0"/>
      </font>
      <fill>
        <patternFill>
          <bgColor theme="8"/>
        </patternFill>
      </fill>
      <border>
        <left/>
        <right/>
        <top style="double">
          <color theme="4"/>
        </top>
        <bottom style="thin">
          <color theme="4"/>
        </bottom>
        <vertical/>
        <horizontal/>
      </border>
    </dxf>
    <dxf>
      <font>
        <b/>
        <i val="0"/>
      </font>
      <fill>
        <patternFill>
          <bgColor theme="0"/>
        </patternFill>
      </fill>
      <border diagonalUp="0" diagonalDown="0">
        <left/>
        <right/>
        <top style="thin">
          <color theme="4"/>
        </top>
        <bottom style="thin">
          <color theme="4"/>
        </bottom>
        <vertical/>
        <horizontal/>
      </border>
    </dxf>
    <dxf>
      <fill>
        <patternFill>
          <bgColor theme="0"/>
        </patternFill>
      </fill>
      <border>
        <left style="thin">
          <color theme="4"/>
        </left>
        <right style="thin">
          <color theme="4"/>
        </right>
        <top style="thin">
          <color theme="4"/>
        </top>
        <bottom style="thin">
          <color theme="4"/>
        </bottom>
        <vertical/>
        <horizontal style="thin">
          <color theme="4"/>
        </horizontal>
      </border>
    </dxf>
    <dxf>
      <fill>
        <patternFill patternType="solid">
          <fgColor theme="4" tint="0.79995117038483843"/>
          <bgColor theme="6"/>
        </patternFill>
      </fill>
      <border>
        <left style="thin">
          <color theme="4"/>
        </left>
        <right style="thin">
          <color theme="4"/>
        </right>
        <top style="thin">
          <color theme="4"/>
        </top>
        <bottom style="thin">
          <color theme="4"/>
        </bottom>
        <vertical/>
        <horizontal style="thin">
          <color theme="4"/>
        </horizontal>
      </border>
    </dxf>
    <dxf>
      <font>
        <b/>
        <color theme="1"/>
      </font>
    </dxf>
    <dxf>
      <font>
        <b/>
        <color theme="1"/>
      </font>
    </dxf>
    <dxf>
      <font>
        <b/>
        <i val="0"/>
        <color theme="1"/>
      </font>
      <fill>
        <patternFill>
          <bgColor theme="8"/>
        </patternFill>
      </fill>
      <border diagonalUp="0" diagonalDown="0">
        <left style="thin">
          <color theme="4"/>
        </left>
        <right style="thin">
          <color theme="4"/>
        </right>
        <top style="double">
          <color theme="4"/>
        </top>
        <bottom style="thin">
          <color theme="4"/>
        </bottom>
        <vertical/>
        <horizontal/>
      </border>
    </dxf>
    <dxf>
      <font>
        <b/>
        <i val="0"/>
        <color theme="0"/>
      </font>
      <fill>
        <patternFill patternType="solid">
          <fgColor theme="4"/>
          <bgColor theme="4"/>
        </patternFill>
      </fill>
      <border>
        <left style="thin">
          <color theme="4"/>
        </left>
        <right style="thin">
          <color theme="4"/>
        </right>
        <top style="thin">
          <color theme="4"/>
        </top>
        <bottom style="thin">
          <color theme="4"/>
        </bottom>
        <vertical style="thin">
          <color theme="4"/>
        </vertical>
        <horizontal style="thin">
          <color theme="4"/>
        </horizontal>
      </border>
    </dxf>
    <dxf>
      <font>
        <color theme="1"/>
      </font>
      <border>
        <left style="thin">
          <color theme="4" tint="0.39997558519241921"/>
        </left>
        <right style="thin">
          <color theme="4" tint="0.39997558519241921"/>
        </right>
        <top style="thin">
          <color theme="4" tint="0.39997558519241921"/>
        </top>
        <bottom style="thin">
          <color theme="4" tint="0.39997558519241921"/>
        </bottom>
        <horizontal style="thin">
          <color theme="4" tint="0.39997558519241921"/>
        </horizontal>
      </border>
    </dxf>
    <dxf>
      <fill>
        <patternFill>
          <bgColor theme="0" tint="-4.9989318521683403E-2"/>
        </patternFill>
      </fill>
    </dxf>
    <dxf>
      <fill>
        <patternFill>
          <bgColor theme="6"/>
        </patternFill>
      </fill>
    </dxf>
    <dxf>
      <fill>
        <patternFill>
          <bgColor theme="8"/>
        </patternFill>
      </fill>
    </dxf>
    <dxf>
      <font>
        <color theme="0"/>
      </font>
      <fill>
        <patternFill>
          <bgColor theme="5"/>
        </patternFill>
      </fill>
    </dxf>
  </dxfs>
  <tableStyles count="3" defaultTableStyle="Default" defaultPivotStyle="PivotStyleLight16">
    <tableStyle name="Default" pivot="0" count="4" xr9:uid="{FEDEB452-13FD-44CB-93A1-269D737EC65C}">
      <tableStyleElement type="headerRow" dxfId="317"/>
      <tableStyleElement type="totalRow" dxfId="316"/>
      <tableStyleElement type="firstRowStripe" dxfId="315"/>
      <tableStyleElement type="secondRowStripe" dxfId="314"/>
    </tableStyle>
    <tableStyle name="Input" pivot="0" count="7" xr9:uid="{0FA39C60-2AAA-4BEA-99CB-F513E27238C9}">
      <tableStyleElement type="wholeTable" dxfId="313"/>
      <tableStyleElement type="headerRow" dxfId="312"/>
      <tableStyleElement type="totalRow" dxfId="311"/>
      <tableStyleElement type="firstColumn" dxfId="310"/>
      <tableStyleElement type="lastColumn" dxfId="309"/>
      <tableStyleElement type="firstRowStripe" dxfId="308"/>
      <tableStyleElement type="secondRowStripe" dxfId="307"/>
    </tableStyle>
    <tableStyle name="Standard" pivot="0" count="4" xr9:uid="{56DA5985-F605-461B-BC4A-ADF1824AA609}">
      <tableStyleElement type="headerRow" dxfId="306"/>
      <tableStyleElement type="totalRow" dxfId="305"/>
      <tableStyleElement type="firstRowStripe" dxfId="304"/>
      <tableStyleElement type="secondRowStripe" dxfId="303"/>
    </tableStyle>
  </tableStyles>
  <colors>
    <mruColors>
      <color rgb="FFFFFFCC"/>
      <color rgb="FFAF211A"/>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8" Type="http://schemas.openxmlformats.org/officeDocument/2006/relationships/hyperlink" Target="#'Summary (by System)'!A1"/><Relationship Id="rId13" Type="http://schemas.openxmlformats.org/officeDocument/2006/relationships/image" Target="../media/image3.png"/><Relationship Id="rId18" Type="http://schemas.openxmlformats.org/officeDocument/2006/relationships/image" Target="../media/image8.svg"/><Relationship Id="rId26" Type="http://schemas.openxmlformats.org/officeDocument/2006/relationships/image" Target="../media/image16.svg"/><Relationship Id="rId3" Type="http://schemas.openxmlformats.org/officeDocument/2006/relationships/hyperlink" Target="#'Research Guidance'!A1"/><Relationship Id="rId21" Type="http://schemas.openxmlformats.org/officeDocument/2006/relationships/image" Target="../media/image11.png"/><Relationship Id="rId7" Type="http://schemas.openxmlformats.org/officeDocument/2006/relationships/hyperlink" Target="#'Research (by Institution)'!A1"/><Relationship Id="rId12" Type="http://schemas.openxmlformats.org/officeDocument/2006/relationships/image" Target="../media/image2.svg"/><Relationship Id="rId17" Type="http://schemas.openxmlformats.org/officeDocument/2006/relationships/image" Target="../media/image7.png"/><Relationship Id="rId25" Type="http://schemas.openxmlformats.org/officeDocument/2006/relationships/image" Target="../media/image15.png"/><Relationship Id="rId2" Type="http://schemas.openxmlformats.org/officeDocument/2006/relationships/hyperlink" Target="#'Campus Contact Information'!A1"/><Relationship Id="rId16" Type="http://schemas.openxmlformats.org/officeDocument/2006/relationships/image" Target="../media/image6.svg"/><Relationship Id="rId20" Type="http://schemas.openxmlformats.org/officeDocument/2006/relationships/image" Target="../media/image10.svg"/><Relationship Id="rId29" Type="http://schemas.openxmlformats.org/officeDocument/2006/relationships/image" Target="../media/image19.png"/><Relationship Id="rId1" Type="http://schemas.openxmlformats.org/officeDocument/2006/relationships/hyperlink" Target="#'Table of Contents'!A1"/><Relationship Id="rId6" Type="http://schemas.openxmlformats.org/officeDocument/2006/relationships/hyperlink" Target="#'Academic Space Model'!A1"/><Relationship Id="rId11" Type="http://schemas.openxmlformats.org/officeDocument/2006/relationships/image" Target="../media/image1.png"/><Relationship Id="rId24" Type="http://schemas.openxmlformats.org/officeDocument/2006/relationships/image" Target="../media/image14.svg"/><Relationship Id="rId5" Type="http://schemas.openxmlformats.org/officeDocument/2006/relationships/hyperlink" Target="#'FTSE | FTFE'!A1"/><Relationship Id="rId15" Type="http://schemas.openxmlformats.org/officeDocument/2006/relationships/image" Target="../media/image5.png"/><Relationship Id="rId23" Type="http://schemas.openxmlformats.org/officeDocument/2006/relationships/image" Target="../media/image13.png"/><Relationship Id="rId28" Type="http://schemas.openxmlformats.org/officeDocument/2006/relationships/image" Target="../media/image18.svg"/><Relationship Id="rId10" Type="http://schemas.openxmlformats.org/officeDocument/2006/relationships/hyperlink" Target="#'Source of Funds'!A1"/><Relationship Id="rId19" Type="http://schemas.openxmlformats.org/officeDocument/2006/relationships/image" Target="../media/image9.png"/><Relationship Id="rId4" Type="http://schemas.openxmlformats.org/officeDocument/2006/relationships/hyperlink" Target="#Almanac!A1"/><Relationship Id="rId9" Type="http://schemas.openxmlformats.org/officeDocument/2006/relationships/hyperlink" Target="#'Summary (by Institution Type)'!A1"/><Relationship Id="rId14" Type="http://schemas.openxmlformats.org/officeDocument/2006/relationships/image" Target="../media/image4.svg"/><Relationship Id="rId22" Type="http://schemas.openxmlformats.org/officeDocument/2006/relationships/image" Target="../media/image12.svg"/><Relationship Id="rId27" Type="http://schemas.openxmlformats.org/officeDocument/2006/relationships/image" Target="../media/image17.png"/><Relationship Id="rId30" Type="http://schemas.openxmlformats.org/officeDocument/2006/relationships/image" Target="../media/image20.svg"/></Relationships>
</file>

<file path=xl/drawings/_rels/drawing10.xml.rels><?xml version="1.0" encoding="UTF-8" standalone="yes"?>
<Relationships xmlns="http://schemas.openxmlformats.org/package/2006/relationships"><Relationship Id="rId8" Type="http://schemas.openxmlformats.org/officeDocument/2006/relationships/hyperlink" Target="#'Summary (by System)'!A1"/><Relationship Id="rId13" Type="http://schemas.openxmlformats.org/officeDocument/2006/relationships/image" Target="../media/image3.png"/><Relationship Id="rId18" Type="http://schemas.openxmlformats.org/officeDocument/2006/relationships/image" Target="../media/image8.svg"/><Relationship Id="rId26" Type="http://schemas.openxmlformats.org/officeDocument/2006/relationships/image" Target="../media/image16.svg"/><Relationship Id="rId3" Type="http://schemas.openxmlformats.org/officeDocument/2006/relationships/hyperlink" Target="#'Research Guidance'!A1"/><Relationship Id="rId21" Type="http://schemas.openxmlformats.org/officeDocument/2006/relationships/image" Target="../media/image11.png"/><Relationship Id="rId7" Type="http://schemas.openxmlformats.org/officeDocument/2006/relationships/hyperlink" Target="#'Research (by Institution)'!A1"/><Relationship Id="rId12" Type="http://schemas.openxmlformats.org/officeDocument/2006/relationships/image" Target="../media/image22.svg"/><Relationship Id="rId17" Type="http://schemas.openxmlformats.org/officeDocument/2006/relationships/image" Target="../media/image7.png"/><Relationship Id="rId25" Type="http://schemas.openxmlformats.org/officeDocument/2006/relationships/image" Target="../media/image15.png"/><Relationship Id="rId2" Type="http://schemas.openxmlformats.org/officeDocument/2006/relationships/hyperlink" Target="#'Campus Contact Information'!A1"/><Relationship Id="rId16" Type="http://schemas.openxmlformats.org/officeDocument/2006/relationships/image" Target="../media/image6.svg"/><Relationship Id="rId20" Type="http://schemas.openxmlformats.org/officeDocument/2006/relationships/image" Target="../media/image40.svg"/><Relationship Id="rId29" Type="http://schemas.openxmlformats.org/officeDocument/2006/relationships/image" Target="../media/image19.png"/><Relationship Id="rId1" Type="http://schemas.openxmlformats.org/officeDocument/2006/relationships/hyperlink" Target="#'Table of Contents'!A1"/><Relationship Id="rId6" Type="http://schemas.openxmlformats.org/officeDocument/2006/relationships/hyperlink" Target="#'Academic Space Model'!A1"/><Relationship Id="rId11" Type="http://schemas.openxmlformats.org/officeDocument/2006/relationships/image" Target="../media/image21.png"/><Relationship Id="rId24" Type="http://schemas.openxmlformats.org/officeDocument/2006/relationships/image" Target="../media/image14.svg"/><Relationship Id="rId5" Type="http://schemas.openxmlformats.org/officeDocument/2006/relationships/hyperlink" Target="#'FTSE | FTFE'!A1"/><Relationship Id="rId15" Type="http://schemas.openxmlformats.org/officeDocument/2006/relationships/image" Target="../media/image5.png"/><Relationship Id="rId23" Type="http://schemas.openxmlformats.org/officeDocument/2006/relationships/image" Target="../media/image13.png"/><Relationship Id="rId28" Type="http://schemas.openxmlformats.org/officeDocument/2006/relationships/image" Target="../media/image18.svg"/><Relationship Id="rId10" Type="http://schemas.openxmlformats.org/officeDocument/2006/relationships/hyperlink" Target="#'Source of Funds'!A1"/><Relationship Id="rId19" Type="http://schemas.openxmlformats.org/officeDocument/2006/relationships/image" Target="../media/image39.png"/><Relationship Id="rId4" Type="http://schemas.openxmlformats.org/officeDocument/2006/relationships/hyperlink" Target="#Almanac!A1"/><Relationship Id="rId9" Type="http://schemas.openxmlformats.org/officeDocument/2006/relationships/hyperlink" Target="#'Summary (by Institution Type)'!A1"/><Relationship Id="rId14" Type="http://schemas.openxmlformats.org/officeDocument/2006/relationships/image" Target="../media/image4.svg"/><Relationship Id="rId22" Type="http://schemas.openxmlformats.org/officeDocument/2006/relationships/image" Target="../media/image12.svg"/><Relationship Id="rId27" Type="http://schemas.openxmlformats.org/officeDocument/2006/relationships/image" Target="../media/image17.png"/><Relationship Id="rId30" Type="http://schemas.openxmlformats.org/officeDocument/2006/relationships/image" Target="../media/image20.svg"/></Relationships>
</file>

<file path=xl/drawings/_rels/drawing2.xml.rels><?xml version="1.0" encoding="UTF-8" standalone="yes"?>
<Relationships xmlns="http://schemas.openxmlformats.org/package/2006/relationships"><Relationship Id="rId8" Type="http://schemas.openxmlformats.org/officeDocument/2006/relationships/hyperlink" Target="#'Summary (by System)'!A1"/><Relationship Id="rId13" Type="http://schemas.openxmlformats.org/officeDocument/2006/relationships/image" Target="../media/image23.png"/><Relationship Id="rId18" Type="http://schemas.openxmlformats.org/officeDocument/2006/relationships/image" Target="../media/image8.svg"/><Relationship Id="rId26" Type="http://schemas.openxmlformats.org/officeDocument/2006/relationships/image" Target="../media/image16.svg"/><Relationship Id="rId3" Type="http://schemas.openxmlformats.org/officeDocument/2006/relationships/hyperlink" Target="#'Research Guidance'!A1"/><Relationship Id="rId21" Type="http://schemas.openxmlformats.org/officeDocument/2006/relationships/image" Target="../media/image11.png"/><Relationship Id="rId7" Type="http://schemas.openxmlformats.org/officeDocument/2006/relationships/hyperlink" Target="#'Research (by Institution)'!A1"/><Relationship Id="rId12" Type="http://schemas.openxmlformats.org/officeDocument/2006/relationships/image" Target="../media/image22.svg"/><Relationship Id="rId17" Type="http://schemas.openxmlformats.org/officeDocument/2006/relationships/image" Target="../media/image7.png"/><Relationship Id="rId25" Type="http://schemas.openxmlformats.org/officeDocument/2006/relationships/image" Target="../media/image15.png"/><Relationship Id="rId2" Type="http://schemas.openxmlformats.org/officeDocument/2006/relationships/hyperlink" Target="#'Campus Contact Information'!A1"/><Relationship Id="rId16" Type="http://schemas.openxmlformats.org/officeDocument/2006/relationships/image" Target="../media/image6.svg"/><Relationship Id="rId20" Type="http://schemas.openxmlformats.org/officeDocument/2006/relationships/image" Target="../media/image10.svg"/><Relationship Id="rId29" Type="http://schemas.openxmlformats.org/officeDocument/2006/relationships/image" Target="../media/image19.png"/><Relationship Id="rId1" Type="http://schemas.openxmlformats.org/officeDocument/2006/relationships/hyperlink" Target="#'Table of Contents'!A1"/><Relationship Id="rId6" Type="http://schemas.openxmlformats.org/officeDocument/2006/relationships/hyperlink" Target="#'Academic Space Model'!A1"/><Relationship Id="rId11" Type="http://schemas.openxmlformats.org/officeDocument/2006/relationships/image" Target="../media/image21.png"/><Relationship Id="rId24" Type="http://schemas.openxmlformats.org/officeDocument/2006/relationships/image" Target="../media/image14.svg"/><Relationship Id="rId5" Type="http://schemas.openxmlformats.org/officeDocument/2006/relationships/hyperlink" Target="#'FTSE | FTFE'!A1"/><Relationship Id="rId15" Type="http://schemas.openxmlformats.org/officeDocument/2006/relationships/image" Target="../media/image5.png"/><Relationship Id="rId23" Type="http://schemas.openxmlformats.org/officeDocument/2006/relationships/image" Target="../media/image13.png"/><Relationship Id="rId28" Type="http://schemas.openxmlformats.org/officeDocument/2006/relationships/image" Target="../media/image18.svg"/><Relationship Id="rId10" Type="http://schemas.openxmlformats.org/officeDocument/2006/relationships/hyperlink" Target="#'Source of Funds'!A1"/><Relationship Id="rId19" Type="http://schemas.openxmlformats.org/officeDocument/2006/relationships/image" Target="../media/image9.png"/><Relationship Id="rId4" Type="http://schemas.openxmlformats.org/officeDocument/2006/relationships/hyperlink" Target="#Almanac!A1"/><Relationship Id="rId9" Type="http://schemas.openxmlformats.org/officeDocument/2006/relationships/hyperlink" Target="#'Summary (by Institution Type)'!A1"/><Relationship Id="rId14" Type="http://schemas.openxmlformats.org/officeDocument/2006/relationships/image" Target="../media/image24.svg"/><Relationship Id="rId22" Type="http://schemas.openxmlformats.org/officeDocument/2006/relationships/image" Target="../media/image12.svg"/><Relationship Id="rId27" Type="http://schemas.openxmlformats.org/officeDocument/2006/relationships/image" Target="../media/image17.png"/><Relationship Id="rId30" Type="http://schemas.openxmlformats.org/officeDocument/2006/relationships/image" Target="../media/image20.svg"/></Relationships>
</file>

<file path=xl/drawings/_rels/drawing3.xml.rels><?xml version="1.0" encoding="UTF-8" standalone="yes"?>
<Relationships xmlns="http://schemas.openxmlformats.org/package/2006/relationships"><Relationship Id="rId8" Type="http://schemas.openxmlformats.org/officeDocument/2006/relationships/hyperlink" Target="#'Summary (by System)'!A1"/><Relationship Id="rId13" Type="http://schemas.openxmlformats.org/officeDocument/2006/relationships/image" Target="../media/image3.png"/><Relationship Id="rId18" Type="http://schemas.openxmlformats.org/officeDocument/2006/relationships/image" Target="../media/image8.svg"/><Relationship Id="rId26" Type="http://schemas.openxmlformats.org/officeDocument/2006/relationships/image" Target="../media/image16.svg"/><Relationship Id="rId3" Type="http://schemas.openxmlformats.org/officeDocument/2006/relationships/hyperlink" Target="#'Research Guidance'!A1"/><Relationship Id="rId21" Type="http://schemas.openxmlformats.org/officeDocument/2006/relationships/image" Target="../media/image11.png"/><Relationship Id="rId7" Type="http://schemas.openxmlformats.org/officeDocument/2006/relationships/hyperlink" Target="#'Research (by Institution)'!A1"/><Relationship Id="rId12" Type="http://schemas.openxmlformats.org/officeDocument/2006/relationships/image" Target="../media/image22.svg"/><Relationship Id="rId17" Type="http://schemas.openxmlformats.org/officeDocument/2006/relationships/image" Target="../media/image7.png"/><Relationship Id="rId25" Type="http://schemas.openxmlformats.org/officeDocument/2006/relationships/image" Target="../media/image15.png"/><Relationship Id="rId2" Type="http://schemas.openxmlformats.org/officeDocument/2006/relationships/hyperlink" Target="#'Campus Contact Information'!A1"/><Relationship Id="rId16" Type="http://schemas.openxmlformats.org/officeDocument/2006/relationships/image" Target="../media/image26.svg"/><Relationship Id="rId20" Type="http://schemas.openxmlformats.org/officeDocument/2006/relationships/image" Target="../media/image10.svg"/><Relationship Id="rId29" Type="http://schemas.openxmlformats.org/officeDocument/2006/relationships/image" Target="../media/image19.png"/><Relationship Id="rId1" Type="http://schemas.openxmlformats.org/officeDocument/2006/relationships/hyperlink" Target="#'Table of Contents'!A1"/><Relationship Id="rId6" Type="http://schemas.openxmlformats.org/officeDocument/2006/relationships/hyperlink" Target="#'Academic Space Model'!A1"/><Relationship Id="rId11" Type="http://schemas.openxmlformats.org/officeDocument/2006/relationships/image" Target="../media/image21.png"/><Relationship Id="rId24" Type="http://schemas.openxmlformats.org/officeDocument/2006/relationships/image" Target="../media/image14.svg"/><Relationship Id="rId5" Type="http://schemas.openxmlformats.org/officeDocument/2006/relationships/hyperlink" Target="#'FTSE | FTFE'!A1"/><Relationship Id="rId15" Type="http://schemas.openxmlformats.org/officeDocument/2006/relationships/image" Target="../media/image25.png"/><Relationship Id="rId23" Type="http://schemas.openxmlformats.org/officeDocument/2006/relationships/image" Target="../media/image13.png"/><Relationship Id="rId28" Type="http://schemas.openxmlformats.org/officeDocument/2006/relationships/image" Target="../media/image18.svg"/><Relationship Id="rId10" Type="http://schemas.openxmlformats.org/officeDocument/2006/relationships/hyperlink" Target="#'Source of Funds'!A1"/><Relationship Id="rId19" Type="http://schemas.openxmlformats.org/officeDocument/2006/relationships/image" Target="../media/image9.png"/><Relationship Id="rId4" Type="http://schemas.openxmlformats.org/officeDocument/2006/relationships/hyperlink" Target="#Almanac!A1"/><Relationship Id="rId9" Type="http://schemas.openxmlformats.org/officeDocument/2006/relationships/hyperlink" Target="#'Summary (by Institution Type)'!A1"/><Relationship Id="rId14" Type="http://schemas.openxmlformats.org/officeDocument/2006/relationships/image" Target="../media/image4.svg"/><Relationship Id="rId22" Type="http://schemas.openxmlformats.org/officeDocument/2006/relationships/image" Target="../media/image12.svg"/><Relationship Id="rId27" Type="http://schemas.openxmlformats.org/officeDocument/2006/relationships/image" Target="../media/image17.png"/><Relationship Id="rId30" Type="http://schemas.openxmlformats.org/officeDocument/2006/relationships/image" Target="../media/image20.svg"/></Relationships>
</file>

<file path=xl/drawings/_rels/drawing4.xml.rels><?xml version="1.0" encoding="UTF-8" standalone="yes"?>
<Relationships xmlns="http://schemas.openxmlformats.org/package/2006/relationships"><Relationship Id="rId8" Type="http://schemas.openxmlformats.org/officeDocument/2006/relationships/hyperlink" Target="#'Summary (by System)'!A1"/><Relationship Id="rId13" Type="http://schemas.openxmlformats.org/officeDocument/2006/relationships/image" Target="../media/image3.png"/><Relationship Id="rId18" Type="http://schemas.openxmlformats.org/officeDocument/2006/relationships/image" Target="../media/image8.svg"/><Relationship Id="rId26" Type="http://schemas.openxmlformats.org/officeDocument/2006/relationships/image" Target="../media/image16.svg"/><Relationship Id="rId3" Type="http://schemas.openxmlformats.org/officeDocument/2006/relationships/hyperlink" Target="#'Research Guidance'!A1"/><Relationship Id="rId21" Type="http://schemas.openxmlformats.org/officeDocument/2006/relationships/image" Target="../media/image11.png"/><Relationship Id="rId7" Type="http://schemas.openxmlformats.org/officeDocument/2006/relationships/hyperlink" Target="#'Research (by Institution)'!A1"/><Relationship Id="rId12" Type="http://schemas.openxmlformats.org/officeDocument/2006/relationships/image" Target="../media/image22.svg"/><Relationship Id="rId17" Type="http://schemas.openxmlformats.org/officeDocument/2006/relationships/image" Target="../media/image7.png"/><Relationship Id="rId25" Type="http://schemas.openxmlformats.org/officeDocument/2006/relationships/image" Target="../media/image15.png"/><Relationship Id="rId2" Type="http://schemas.openxmlformats.org/officeDocument/2006/relationships/hyperlink" Target="#'Campus Contact Information'!A1"/><Relationship Id="rId16" Type="http://schemas.openxmlformats.org/officeDocument/2006/relationships/image" Target="../media/image6.svg"/><Relationship Id="rId20" Type="http://schemas.openxmlformats.org/officeDocument/2006/relationships/image" Target="../media/image10.svg"/><Relationship Id="rId29" Type="http://schemas.openxmlformats.org/officeDocument/2006/relationships/image" Target="../media/image19.png"/><Relationship Id="rId1" Type="http://schemas.openxmlformats.org/officeDocument/2006/relationships/hyperlink" Target="#'Table of Contents'!A1"/><Relationship Id="rId6" Type="http://schemas.openxmlformats.org/officeDocument/2006/relationships/hyperlink" Target="#'Academic Space Model'!A1"/><Relationship Id="rId11" Type="http://schemas.openxmlformats.org/officeDocument/2006/relationships/image" Target="../media/image21.png"/><Relationship Id="rId24" Type="http://schemas.openxmlformats.org/officeDocument/2006/relationships/image" Target="../media/image28.svg"/><Relationship Id="rId5" Type="http://schemas.openxmlformats.org/officeDocument/2006/relationships/hyperlink" Target="#'FTSE | FTFE'!A1"/><Relationship Id="rId15" Type="http://schemas.openxmlformats.org/officeDocument/2006/relationships/image" Target="../media/image5.png"/><Relationship Id="rId23" Type="http://schemas.openxmlformats.org/officeDocument/2006/relationships/image" Target="../media/image27.png"/><Relationship Id="rId28" Type="http://schemas.openxmlformats.org/officeDocument/2006/relationships/image" Target="../media/image18.svg"/><Relationship Id="rId10" Type="http://schemas.openxmlformats.org/officeDocument/2006/relationships/hyperlink" Target="#'Source of Funds'!A1"/><Relationship Id="rId19" Type="http://schemas.openxmlformats.org/officeDocument/2006/relationships/image" Target="../media/image9.png"/><Relationship Id="rId4" Type="http://schemas.openxmlformats.org/officeDocument/2006/relationships/hyperlink" Target="#Almanac!A1"/><Relationship Id="rId9" Type="http://schemas.openxmlformats.org/officeDocument/2006/relationships/hyperlink" Target="#'Summary (by Institution Type)'!A1"/><Relationship Id="rId14" Type="http://schemas.openxmlformats.org/officeDocument/2006/relationships/image" Target="../media/image4.svg"/><Relationship Id="rId22" Type="http://schemas.openxmlformats.org/officeDocument/2006/relationships/image" Target="../media/image12.svg"/><Relationship Id="rId27" Type="http://schemas.openxmlformats.org/officeDocument/2006/relationships/image" Target="../media/image17.png"/><Relationship Id="rId30" Type="http://schemas.openxmlformats.org/officeDocument/2006/relationships/image" Target="../media/image20.svg"/></Relationships>
</file>

<file path=xl/drawings/_rels/drawing5.xml.rels><?xml version="1.0" encoding="UTF-8" standalone="yes"?>
<Relationships xmlns="http://schemas.openxmlformats.org/package/2006/relationships"><Relationship Id="rId8" Type="http://schemas.openxmlformats.org/officeDocument/2006/relationships/hyperlink" Target="#'Summary (by System)'!A1"/><Relationship Id="rId13" Type="http://schemas.openxmlformats.org/officeDocument/2006/relationships/image" Target="../media/image3.png"/><Relationship Id="rId18" Type="http://schemas.openxmlformats.org/officeDocument/2006/relationships/image" Target="../media/image8.svg"/><Relationship Id="rId26" Type="http://schemas.openxmlformats.org/officeDocument/2006/relationships/image" Target="../media/image30.svg"/><Relationship Id="rId3" Type="http://schemas.openxmlformats.org/officeDocument/2006/relationships/hyperlink" Target="#'Research Guidance'!A1"/><Relationship Id="rId21" Type="http://schemas.openxmlformats.org/officeDocument/2006/relationships/image" Target="../media/image11.png"/><Relationship Id="rId7" Type="http://schemas.openxmlformats.org/officeDocument/2006/relationships/hyperlink" Target="#'Research (by Institution)'!A1"/><Relationship Id="rId12" Type="http://schemas.openxmlformats.org/officeDocument/2006/relationships/image" Target="../media/image22.svg"/><Relationship Id="rId17" Type="http://schemas.openxmlformats.org/officeDocument/2006/relationships/image" Target="../media/image7.png"/><Relationship Id="rId25" Type="http://schemas.openxmlformats.org/officeDocument/2006/relationships/image" Target="../media/image29.png"/><Relationship Id="rId2" Type="http://schemas.openxmlformats.org/officeDocument/2006/relationships/hyperlink" Target="#'Campus Contact Information'!A1"/><Relationship Id="rId16" Type="http://schemas.openxmlformats.org/officeDocument/2006/relationships/image" Target="../media/image6.svg"/><Relationship Id="rId20" Type="http://schemas.openxmlformats.org/officeDocument/2006/relationships/image" Target="../media/image10.svg"/><Relationship Id="rId29" Type="http://schemas.openxmlformats.org/officeDocument/2006/relationships/image" Target="../media/image19.png"/><Relationship Id="rId1" Type="http://schemas.openxmlformats.org/officeDocument/2006/relationships/hyperlink" Target="#'Table of Contents'!A1"/><Relationship Id="rId6" Type="http://schemas.openxmlformats.org/officeDocument/2006/relationships/hyperlink" Target="#'Academic Space Model'!A1"/><Relationship Id="rId11" Type="http://schemas.openxmlformats.org/officeDocument/2006/relationships/image" Target="../media/image21.png"/><Relationship Id="rId24" Type="http://schemas.openxmlformats.org/officeDocument/2006/relationships/image" Target="../media/image14.svg"/><Relationship Id="rId5" Type="http://schemas.openxmlformats.org/officeDocument/2006/relationships/hyperlink" Target="#'FTSE | FTFE'!A1"/><Relationship Id="rId15" Type="http://schemas.openxmlformats.org/officeDocument/2006/relationships/image" Target="../media/image5.png"/><Relationship Id="rId23" Type="http://schemas.openxmlformats.org/officeDocument/2006/relationships/image" Target="../media/image13.png"/><Relationship Id="rId28" Type="http://schemas.openxmlformats.org/officeDocument/2006/relationships/image" Target="../media/image18.svg"/><Relationship Id="rId10" Type="http://schemas.openxmlformats.org/officeDocument/2006/relationships/hyperlink" Target="#'Source of Funds'!A1"/><Relationship Id="rId19" Type="http://schemas.openxmlformats.org/officeDocument/2006/relationships/image" Target="../media/image9.png"/><Relationship Id="rId4" Type="http://schemas.openxmlformats.org/officeDocument/2006/relationships/hyperlink" Target="#Almanac!A1"/><Relationship Id="rId9" Type="http://schemas.openxmlformats.org/officeDocument/2006/relationships/hyperlink" Target="#'Summary (by Institution Type)'!A1"/><Relationship Id="rId14" Type="http://schemas.openxmlformats.org/officeDocument/2006/relationships/image" Target="../media/image4.svg"/><Relationship Id="rId22" Type="http://schemas.openxmlformats.org/officeDocument/2006/relationships/image" Target="../media/image12.svg"/><Relationship Id="rId27" Type="http://schemas.openxmlformats.org/officeDocument/2006/relationships/image" Target="../media/image17.png"/><Relationship Id="rId30" Type="http://schemas.openxmlformats.org/officeDocument/2006/relationships/image" Target="../media/image20.svg"/></Relationships>
</file>

<file path=xl/drawings/_rels/drawing6.xml.rels><?xml version="1.0" encoding="UTF-8" standalone="yes"?>
<Relationships xmlns="http://schemas.openxmlformats.org/package/2006/relationships"><Relationship Id="rId8" Type="http://schemas.openxmlformats.org/officeDocument/2006/relationships/hyperlink" Target="#'Summary (by System)'!A1"/><Relationship Id="rId13" Type="http://schemas.openxmlformats.org/officeDocument/2006/relationships/image" Target="../media/image3.png"/><Relationship Id="rId18" Type="http://schemas.openxmlformats.org/officeDocument/2006/relationships/image" Target="../media/image8.svg"/><Relationship Id="rId26" Type="http://schemas.openxmlformats.org/officeDocument/2006/relationships/image" Target="../media/image16.svg"/><Relationship Id="rId3" Type="http://schemas.openxmlformats.org/officeDocument/2006/relationships/hyperlink" Target="#'Research Guidance'!A1"/><Relationship Id="rId21" Type="http://schemas.openxmlformats.org/officeDocument/2006/relationships/image" Target="../media/image11.png"/><Relationship Id="rId7" Type="http://schemas.openxmlformats.org/officeDocument/2006/relationships/hyperlink" Target="#'Research (by Institution)'!A1"/><Relationship Id="rId12" Type="http://schemas.openxmlformats.org/officeDocument/2006/relationships/image" Target="../media/image22.svg"/><Relationship Id="rId17" Type="http://schemas.openxmlformats.org/officeDocument/2006/relationships/image" Target="../media/image7.png"/><Relationship Id="rId25" Type="http://schemas.openxmlformats.org/officeDocument/2006/relationships/image" Target="../media/image15.png"/><Relationship Id="rId2" Type="http://schemas.openxmlformats.org/officeDocument/2006/relationships/hyperlink" Target="#'Campus Contact Information'!A1"/><Relationship Id="rId16" Type="http://schemas.openxmlformats.org/officeDocument/2006/relationships/image" Target="../media/image6.svg"/><Relationship Id="rId20" Type="http://schemas.openxmlformats.org/officeDocument/2006/relationships/image" Target="../media/image10.svg"/><Relationship Id="rId29" Type="http://schemas.openxmlformats.org/officeDocument/2006/relationships/image" Target="../media/image19.png"/><Relationship Id="rId1" Type="http://schemas.openxmlformats.org/officeDocument/2006/relationships/hyperlink" Target="#'Table of Contents'!A1"/><Relationship Id="rId6" Type="http://schemas.openxmlformats.org/officeDocument/2006/relationships/hyperlink" Target="#'Academic Space Model'!A1"/><Relationship Id="rId11" Type="http://schemas.openxmlformats.org/officeDocument/2006/relationships/image" Target="../media/image21.png"/><Relationship Id="rId24" Type="http://schemas.openxmlformats.org/officeDocument/2006/relationships/image" Target="../media/image14.svg"/><Relationship Id="rId5" Type="http://schemas.openxmlformats.org/officeDocument/2006/relationships/hyperlink" Target="#'FTSE | FTFE'!A1"/><Relationship Id="rId15" Type="http://schemas.openxmlformats.org/officeDocument/2006/relationships/image" Target="../media/image5.png"/><Relationship Id="rId23" Type="http://schemas.openxmlformats.org/officeDocument/2006/relationships/image" Target="../media/image13.png"/><Relationship Id="rId28" Type="http://schemas.openxmlformats.org/officeDocument/2006/relationships/image" Target="../media/image32.svg"/><Relationship Id="rId10" Type="http://schemas.openxmlformats.org/officeDocument/2006/relationships/hyperlink" Target="#'Source of Funds'!A1"/><Relationship Id="rId19" Type="http://schemas.openxmlformats.org/officeDocument/2006/relationships/image" Target="../media/image9.png"/><Relationship Id="rId4" Type="http://schemas.openxmlformats.org/officeDocument/2006/relationships/hyperlink" Target="#Almanac!A1"/><Relationship Id="rId9" Type="http://schemas.openxmlformats.org/officeDocument/2006/relationships/hyperlink" Target="#'Summary (by Institution Type)'!A1"/><Relationship Id="rId14" Type="http://schemas.openxmlformats.org/officeDocument/2006/relationships/image" Target="../media/image4.svg"/><Relationship Id="rId22" Type="http://schemas.openxmlformats.org/officeDocument/2006/relationships/image" Target="../media/image12.svg"/><Relationship Id="rId27" Type="http://schemas.openxmlformats.org/officeDocument/2006/relationships/image" Target="../media/image31.png"/><Relationship Id="rId30" Type="http://schemas.openxmlformats.org/officeDocument/2006/relationships/image" Target="../media/image20.svg"/></Relationships>
</file>

<file path=xl/drawings/_rels/drawing7.xml.rels><?xml version="1.0" encoding="UTF-8" standalone="yes"?>
<Relationships xmlns="http://schemas.openxmlformats.org/package/2006/relationships"><Relationship Id="rId8" Type="http://schemas.openxmlformats.org/officeDocument/2006/relationships/hyperlink" Target="#'Summary (by System)'!A1"/><Relationship Id="rId13" Type="http://schemas.openxmlformats.org/officeDocument/2006/relationships/image" Target="../media/image3.png"/><Relationship Id="rId18" Type="http://schemas.openxmlformats.org/officeDocument/2006/relationships/image" Target="../media/image34.svg"/><Relationship Id="rId26" Type="http://schemas.openxmlformats.org/officeDocument/2006/relationships/image" Target="../media/image16.svg"/><Relationship Id="rId3" Type="http://schemas.openxmlformats.org/officeDocument/2006/relationships/hyperlink" Target="#'Research Guidance'!A1"/><Relationship Id="rId21" Type="http://schemas.openxmlformats.org/officeDocument/2006/relationships/image" Target="../media/image11.png"/><Relationship Id="rId7" Type="http://schemas.openxmlformats.org/officeDocument/2006/relationships/hyperlink" Target="#'Research (by Institution)'!A1"/><Relationship Id="rId12" Type="http://schemas.openxmlformats.org/officeDocument/2006/relationships/image" Target="../media/image22.svg"/><Relationship Id="rId17" Type="http://schemas.openxmlformats.org/officeDocument/2006/relationships/image" Target="../media/image33.png"/><Relationship Id="rId25" Type="http://schemas.openxmlformats.org/officeDocument/2006/relationships/image" Target="../media/image15.png"/><Relationship Id="rId2" Type="http://schemas.openxmlformats.org/officeDocument/2006/relationships/hyperlink" Target="#'Campus Contact Information'!A1"/><Relationship Id="rId16" Type="http://schemas.openxmlformats.org/officeDocument/2006/relationships/image" Target="../media/image6.svg"/><Relationship Id="rId20" Type="http://schemas.openxmlformats.org/officeDocument/2006/relationships/image" Target="../media/image10.svg"/><Relationship Id="rId29" Type="http://schemas.openxmlformats.org/officeDocument/2006/relationships/image" Target="../media/image19.png"/><Relationship Id="rId1" Type="http://schemas.openxmlformats.org/officeDocument/2006/relationships/hyperlink" Target="#'Table of Contents'!A1"/><Relationship Id="rId6" Type="http://schemas.openxmlformats.org/officeDocument/2006/relationships/hyperlink" Target="#'Academic Space Model'!A1"/><Relationship Id="rId11" Type="http://schemas.openxmlformats.org/officeDocument/2006/relationships/image" Target="../media/image21.png"/><Relationship Id="rId24" Type="http://schemas.openxmlformats.org/officeDocument/2006/relationships/image" Target="../media/image14.svg"/><Relationship Id="rId5" Type="http://schemas.openxmlformats.org/officeDocument/2006/relationships/hyperlink" Target="#'FTSE | FTFE'!A1"/><Relationship Id="rId15" Type="http://schemas.openxmlformats.org/officeDocument/2006/relationships/image" Target="../media/image5.png"/><Relationship Id="rId23" Type="http://schemas.openxmlformats.org/officeDocument/2006/relationships/image" Target="../media/image13.png"/><Relationship Id="rId28" Type="http://schemas.openxmlformats.org/officeDocument/2006/relationships/image" Target="../media/image18.svg"/><Relationship Id="rId10" Type="http://schemas.openxmlformats.org/officeDocument/2006/relationships/hyperlink" Target="#'Source of Funds'!A1"/><Relationship Id="rId19" Type="http://schemas.openxmlformats.org/officeDocument/2006/relationships/image" Target="../media/image9.png"/><Relationship Id="rId4" Type="http://schemas.openxmlformats.org/officeDocument/2006/relationships/hyperlink" Target="#Almanac!A1"/><Relationship Id="rId9" Type="http://schemas.openxmlformats.org/officeDocument/2006/relationships/hyperlink" Target="#'Summary (by Institution Type)'!A1"/><Relationship Id="rId14" Type="http://schemas.openxmlformats.org/officeDocument/2006/relationships/image" Target="../media/image4.svg"/><Relationship Id="rId22" Type="http://schemas.openxmlformats.org/officeDocument/2006/relationships/image" Target="../media/image12.svg"/><Relationship Id="rId27" Type="http://schemas.openxmlformats.org/officeDocument/2006/relationships/image" Target="../media/image17.png"/><Relationship Id="rId30" Type="http://schemas.openxmlformats.org/officeDocument/2006/relationships/image" Target="../media/image20.svg"/></Relationships>
</file>

<file path=xl/drawings/_rels/drawing8.xml.rels><?xml version="1.0" encoding="UTF-8" standalone="yes"?>
<Relationships xmlns="http://schemas.openxmlformats.org/package/2006/relationships"><Relationship Id="rId8" Type="http://schemas.openxmlformats.org/officeDocument/2006/relationships/hyperlink" Target="#'Summary (by System)'!A1"/><Relationship Id="rId13" Type="http://schemas.openxmlformats.org/officeDocument/2006/relationships/image" Target="../media/image3.png"/><Relationship Id="rId18" Type="http://schemas.openxmlformats.org/officeDocument/2006/relationships/image" Target="../media/image8.svg"/><Relationship Id="rId26" Type="http://schemas.openxmlformats.org/officeDocument/2006/relationships/image" Target="../media/image16.svg"/><Relationship Id="rId3" Type="http://schemas.openxmlformats.org/officeDocument/2006/relationships/hyperlink" Target="#'Research Guidance'!A1"/><Relationship Id="rId21" Type="http://schemas.openxmlformats.org/officeDocument/2006/relationships/image" Target="../media/image11.png"/><Relationship Id="rId7" Type="http://schemas.openxmlformats.org/officeDocument/2006/relationships/hyperlink" Target="#'Research (by Institution)'!A1"/><Relationship Id="rId12" Type="http://schemas.openxmlformats.org/officeDocument/2006/relationships/image" Target="../media/image22.svg"/><Relationship Id="rId17" Type="http://schemas.openxmlformats.org/officeDocument/2006/relationships/image" Target="../media/image7.png"/><Relationship Id="rId25" Type="http://schemas.openxmlformats.org/officeDocument/2006/relationships/image" Target="../media/image15.png"/><Relationship Id="rId2" Type="http://schemas.openxmlformats.org/officeDocument/2006/relationships/hyperlink" Target="#'Campus Contact Information'!A1"/><Relationship Id="rId16" Type="http://schemas.openxmlformats.org/officeDocument/2006/relationships/image" Target="../media/image6.svg"/><Relationship Id="rId20" Type="http://schemas.openxmlformats.org/officeDocument/2006/relationships/image" Target="../media/image10.svg"/><Relationship Id="rId29" Type="http://schemas.openxmlformats.org/officeDocument/2006/relationships/image" Target="../media/image35.png"/><Relationship Id="rId1" Type="http://schemas.openxmlformats.org/officeDocument/2006/relationships/hyperlink" Target="#'Table of Contents'!A1"/><Relationship Id="rId6" Type="http://schemas.openxmlformats.org/officeDocument/2006/relationships/hyperlink" Target="#'Academic Space Model'!A1"/><Relationship Id="rId11" Type="http://schemas.openxmlformats.org/officeDocument/2006/relationships/image" Target="../media/image21.png"/><Relationship Id="rId24" Type="http://schemas.openxmlformats.org/officeDocument/2006/relationships/image" Target="../media/image14.svg"/><Relationship Id="rId5" Type="http://schemas.openxmlformats.org/officeDocument/2006/relationships/hyperlink" Target="#'FTSE | FTFE'!A1"/><Relationship Id="rId15" Type="http://schemas.openxmlformats.org/officeDocument/2006/relationships/image" Target="../media/image5.png"/><Relationship Id="rId23" Type="http://schemas.openxmlformats.org/officeDocument/2006/relationships/image" Target="../media/image13.png"/><Relationship Id="rId28" Type="http://schemas.openxmlformats.org/officeDocument/2006/relationships/image" Target="../media/image18.svg"/><Relationship Id="rId10" Type="http://schemas.openxmlformats.org/officeDocument/2006/relationships/hyperlink" Target="#'Source of Funds'!A1"/><Relationship Id="rId19" Type="http://schemas.openxmlformats.org/officeDocument/2006/relationships/image" Target="../media/image9.png"/><Relationship Id="rId4" Type="http://schemas.openxmlformats.org/officeDocument/2006/relationships/hyperlink" Target="#Almanac!A1"/><Relationship Id="rId9" Type="http://schemas.openxmlformats.org/officeDocument/2006/relationships/hyperlink" Target="#'Summary (by Institution Type)'!A1"/><Relationship Id="rId14" Type="http://schemas.openxmlformats.org/officeDocument/2006/relationships/image" Target="../media/image4.svg"/><Relationship Id="rId22" Type="http://schemas.openxmlformats.org/officeDocument/2006/relationships/image" Target="../media/image12.svg"/><Relationship Id="rId27" Type="http://schemas.openxmlformats.org/officeDocument/2006/relationships/image" Target="../media/image17.png"/><Relationship Id="rId30" Type="http://schemas.openxmlformats.org/officeDocument/2006/relationships/image" Target="../media/image36.svg"/></Relationships>
</file>

<file path=xl/drawings/_rels/drawing9.xml.rels><?xml version="1.0" encoding="UTF-8" standalone="yes"?>
<Relationships xmlns="http://schemas.openxmlformats.org/package/2006/relationships"><Relationship Id="rId8" Type="http://schemas.openxmlformats.org/officeDocument/2006/relationships/hyperlink" Target="#'Source of Funds'!A1"/><Relationship Id="rId13" Type="http://schemas.openxmlformats.org/officeDocument/2006/relationships/image" Target="../media/image5.png"/><Relationship Id="rId18" Type="http://schemas.openxmlformats.org/officeDocument/2006/relationships/image" Target="../media/image38.svg"/><Relationship Id="rId26" Type="http://schemas.openxmlformats.org/officeDocument/2006/relationships/hyperlink" Target="#'Summary (by System)'!A1"/><Relationship Id="rId3" Type="http://schemas.openxmlformats.org/officeDocument/2006/relationships/hyperlink" Target="#'Research Guidance'!A1"/><Relationship Id="rId21" Type="http://schemas.openxmlformats.org/officeDocument/2006/relationships/image" Target="../media/image17.png"/><Relationship Id="rId7" Type="http://schemas.openxmlformats.org/officeDocument/2006/relationships/hyperlink" Target="#'Summary (by Institution Type)'!A1"/><Relationship Id="rId12" Type="http://schemas.openxmlformats.org/officeDocument/2006/relationships/image" Target="../media/image4.svg"/><Relationship Id="rId17" Type="http://schemas.openxmlformats.org/officeDocument/2006/relationships/image" Target="../media/image37.png"/><Relationship Id="rId25" Type="http://schemas.openxmlformats.org/officeDocument/2006/relationships/hyperlink" Target="#Almanac!A1"/><Relationship Id="rId2" Type="http://schemas.openxmlformats.org/officeDocument/2006/relationships/hyperlink" Target="#'Campus Contact Information'!A1"/><Relationship Id="rId16" Type="http://schemas.openxmlformats.org/officeDocument/2006/relationships/image" Target="../media/image10.svg"/><Relationship Id="rId20" Type="http://schemas.openxmlformats.org/officeDocument/2006/relationships/image" Target="../media/image14.svg"/><Relationship Id="rId29" Type="http://schemas.openxmlformats.org/officeDocument/2006/relationships/image" Target="../media/image15.png"/><Relationship Id="rId1" Type="http://schemas.openxmlformats.org/officeDocument/2006/relationships/hyperlink" Target="#'Table of Contents'!A1"/><Relationship Id="rId6" Type="http://schemas.openxmlformats.org/officeDocument/2006/relationships/hyperlink" Target="#'Research (by Institution)'!A1"/><Relationship Id="rId11" Type="http://schemas.openxmlformats.org/officeDocument/2006/relationships/image" Target="../media/image3.png"/><Relationship Id="rId24" Type="http://schemas.openxmlformats.org/officeDocument/2006/relationships/image" Target="../media/image20.svg"/><Relationship Id="rId5" Type="http://schemas.openxmlformats.org/officeDocument/2006/relationships/hyperlink" Target="#'Academic Space Model'!A1"/><Relationship Id="rId15" Type="http://schemas.openxmlformats.org/officeDocument/2006/relationships/image" Target="../media/image9.png"/><Relationship Id="rId23" Type="http://schemas.openxmlformats.org/officeDocument/2006/relationships/image" Target="../media/image19.png"/><Relationship Id="rId28" Type="http://schemas.openxmlformats.org/officeDocument/2006/relationships/image" Target="../media/image8.svg"/><Relationship Id="rId10" Type="http://schemas.openxmlformats.org/officeDocument/2006/relationships/image" Target="../media/image22.svg"/><Relationship Id="rId19" Type="http://schemas.openxmlformats.org/officeDocument/2006/relationships/image" Target="../media/image13.png"/><Relationship Id="rId4" Type="http://schemas.openxmlformats.org/officeDocument/2006/relationships/hyperlink" Target="#'FTSE | FTFE'!A1"/><Relationship Id="rId9" Type="http://schemas.openxmlformats.org/officeDocument/2006/relationships/image" Target="../media/image21.png"/><Relationship Id="rId14" Type="http://schemas.openxmlformats.org/officeDocument/2006/relationships/image" Target="../media/image6.svg"/><Relationship Id="rId22" Type="http://schemas.openxmlformats.org/officeDocument/2006/relationships/image" Target="../media/image18.svg"/><Relationship Id="rId27" Type="http://schemas.openxmlformats.org/officeDocument/2006/relationships/image" Target="../media/image7.png"/><Relationship Id="rId30" Type="http://schemas.openxmlformats.org/officeDocument/2006/relationships/image" Target="../media/image16.svg"/></Relationships>
</file>

<file path=xl/drawings/drawing1.xml><?xml version="1.0" encoding="utf-8"?>
<xdr:wsDr xmlns:xdr="http://schemas.openxmlformats.org/drawingml/2006/spreadsheetDrawing" xmlns:a="http://schemas.openxmlformats.org/drawingml/2006/main">
  <xdr:twoCellAnchor>
    <xdr:from>
      <xdr:col>0</xdr:col>
      <xdr:colOff>30481</xdr:colOff>
      <xdr:row>0</xdr:row>
      <xdr:rowOff>30831</xdr:rowOff>
    </xdr:from>
    <xdr:to>
      <xdr:col>5</xdr:col>
      <xdr:colOff>438150</xdr:colOff>
      <xdr:row>23</xdr:row>
      <xdr:rowOff>99060</xdr:rowOff>
    </xdr:to>
    <xdr:grpSp>
      <xdr:nvGrpSpPr>
        <xdr:cNvPr id="6" name="Group 5">
          <a:extLst>
            <a:ext uri="{FF2B5EF4-FFF2-40B4-BE49-F238E27FC236}">
              <a16:creationId xmlns:a16="http://schemas.microsoft.com/office/drawing/2014/main" id="{002B331A-5595-7035-DD53-9686A4B85942}"/>
            </a:ext>
          </a:extLst>
        </xdr:cNvPr>
        <xdr:cNvGrpSpPr/>
      </xdr:nvGrpSpPr>
      <xdr:grpSpPr>
        <a:xfrm>
          <a:off x="30481" y="30831"/>
          <a:ext cx="3169919" cy="8831229"/>
          <a:chOff x="30481" y="30831"/>
          <a:chExt cx="3183526" cy="8831229"/>
        </a:xfrm>
      </xdr:grpSpPr>
      <xdr:sp macro="" textlink="">
        <xdr:nvSpPr>
          <xdr:cNvPr id="102" name="Rectangle: Rounded Corners 101">
            <a:extLst>
              <a:ext uri="{FF2B5EF4-FFF2-40B4-BE49-F238E27FC236}">
                <a16:creationId xmlns:a16="http://schemas.microsoft.com/office/drawing/2014/main" id="{3F06824D-1D4E-3A45-D417-176737E69FD4}"/>
              </a:ext>
            </a:extLst>
          </xdr:cNvPr>
          <xdr:cNvSpPr/>
        </xdr:nvSpPr>
        <xdr:spPr>
          <a:xfrm>
            <a:off x="30481" y="30831"/>
            <a:ext cx="3183526" cy="8831229"/>
          </a:xfrm>
          <a:prstGeom prst="roundRect">
            <a:avLst>
              <a:gd name="adj" fmla="val 6618"/>
            </a:avLst>
          </a:prstGeom>
          <a:ln/>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t"/>
          <a:lstStyle/>
          <a:p>
            <a:pPr algn="l"/>
            <a:endParaRPr lang="en-US" sz="1100"/>
          </a:p>
        </xdr:txBody>
      </xdr:sp>
      <xdr:sp macro="" textlink="">
        <xdr:nvSpPr>
          <xdr:cNvPr id="130" name="Rectangle: Rounded Corners 129">
            <a:hlinkClick xmlns:r="http://schemas.openxmlformats.org/officeDocument/2006/relationships" r:id="rId1"/>
            <a:extLst>
              <a:ext uri="{FF2B5EF4-FFF2-40B4-BE49-F238E27FC236}">
                <a16:creationId xmlns:a16="http://schemas.microsoft.com/office/drawing/2014/main" id="{E58F2176-5EA8-2C98-4BA3-9FAA8BD0D9F7}"/>
              </a:ext>
            </a:extLst>
          </xdr:cNvPr>
          <xdr:cNvSpPr/>
        </xdr:nvSpPr>
        <xdr:spPr>
          <a:xfrm>
            <a:off x="163251" y="99695"/>
            <a:ext cx="2922878" cy="813319"/>
          </a:xfrm>
          <a:prstGeom prst="roundRect">
            <a:avLst/>
          </a:prstGeom>
          <a:solidFill>
            <a:schemeClr val="accent3"/>
          </a:solidFill>
          <a:ln w="9525">
            <a:solidFill>
              <a:schemeClr val="tx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lvl="0" algn="r"/>
            <a:r>
              <a:rPr lang="en-US" sz="1400" b="1">
                <a:solidFill>
                  <a:schemeClr val="tx1"/>
                </a:solidFill>
                <a:latin typeface="Georgia" panose="02040502050405020303" pitchFamily="18" charset="0"/>
              </a:rPr>
              <a:t>Table</a:t>
            </a:r>
            <a:r>
              <a:rPr lang="en-US" sz="1400" b="1" baseline="0">
                <a:solidFill>
                  <a:schemeClr val="tx1"/>
                </a:solidFill>
                <a:latin typeface="Georgia" panose="02040502050405020303" pitchFamily="18" charset="0"/>
              </a:rPr>
              <a:t> of Contents</a:t>
            </a:r>
            <a:endParaRPr lang="en-US" sz="1400" b="1">
              <a:solidFill>
                <a:schemeClr val="tx1"/>
              </a:solidFill>
              <a:latin typeface="Georgia" panose="02040502050405020303" pitchFamily="18" charset="0"/>
            </a:endParaRPr>
          </a:p>
        </xdr:txBody>
      </xdr:sp>
      <xdr:sp macro="" textlink="">
        <xdr:nvSpPr>
          <xdr:cNvPr id="104" name="Rectangle: Rounded Corners 103">
            <a:hlinkClick xmlns:r="http://schemas.openxmlformats.org/officeDocument/2006/relationships" r:id="rId2"/>
            <a:extLst>
              <a:ext uri="{FF2B5EF4-FFF2-40B4-BE49-F238E27FC236}">
                <a16:creationId xmlns:a16="http://schemas.microsoft.com/office/drawing/2014/main" id="{18CEF68F-06EC-895E-7FF2-B476F864788C}"/>
              </a:ext>
            </a:extLst>
          </xdr:cNvPr>
          <xdr:cNvSpPr/>
        </xdr:nvSpPr>
        <xdr:spPr>
          <a:xfrm>
            <a:off x="163251" y="976496"/>
            <a:ext cx="2922878" cy="813319"/>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lang="en-US" sz="1400" b="1">
                <a:solidFill>
                  <a:schemeClr val="bg1"/>
                </a:solidFill>
                <a:latin typeface="Georgia" panose="02040502050405020303" pitchFamily="18" charset="0"/>
                <a:ea typeface="+mn-ea"/>
                <a:cs typeface="+mn-cs"/>
              </a:rPr>
              <a:t>Contact Information</a:t>
            </a:r>
          </a:p>
        </xdr:txBody>
      </xdr:sp>
      <xdr:sp macro="" textlink="">
        <xdr:nvSpPr>
          <xdr:cNvPr id="128" name="Rectangle: Rounded Corners 127">
            <a:hlinkClick xmlns:r="http://schemas.openxmlformats.org/officeDocument/2006/relationships" r:id="rId3"/>
            <a:extLst>
              <a:ext uri="{FF2B5EF4-FFF2-40B4-BE49-F238E27FC236}">
                <a16:creationId xmlns:a16="http://schemas.microsoft.com/office/drawing/2014/main" id="{661166D5-37FE-2EC4-745A-522AB5F8B8E5}"/>
              </a:ext>
            </a:extLst>
          </xdr:cNvPr>
          <xdr:cNvSpPr/>
        </xdr:nvSpPr>
        <xdr:spPr>
          <a:xfrm>
            <a:off x="163251" y="1853298"/>
            <a:ext cx="2922878" cy="813319"/>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lang="en-US" sz="1400" b="1">
                <a:solidFill>
                  <a:schemeClr val="bg1"/>
                </a:solidFill>
                <a:latin typeface="Georgia" panose="02040502050405020303" pitchFamily="18" charset="0"/>
                <a:ea typeface="+mn-ea"/>
                <a:cs typeface="+mn-cs"/>
              </a:rPr>
              <a:t>Research </a:t>
            </a:r>
            <a:r>
              <a:rPr lang="en-US" sz="1400" b="1" baseline="0">
                <a:solidFill>
                  <a:schemeClr val="bg1"/>
                </a:solidFill>
                <a:latin typeface="Georgia" panose="02040502050405020303" pitchFamily="18" charset="0"/>
                <a:ea typeface="+mn-ea"/>
                <a:cs typeface="+mn-cs"/>
              </a:rPr>
              <a:t>Guidance</a:t>
            </a:r>
            <a:endParaRPr lang="en-US" sz="1400" b="1">
              <a:solidFill>
                <a:schemeClr val="bg1"/>
              </a:solidFill>
              <a:latin typeface="Georgia" panose="02040502050405020303" pitchFamily="18" charset="0"/>
              <a:ea typeface="+mn-ea"/>
              <a:cs typeface="+mn-cs"/>
            </a:endParaRPr>
          </a:p>
        </xdr:txBody>
      </xdr:sp>
      <xdr:sp macro="" textlink="">
        <xdr:nvSpPr>
          <xdr:cNvPr id="126" name="Rectangle: Rounded Corners 125">
            <a:hlinkClick xmlns:r="http://schemas.openxmlformats.org/officeDocument/2006/relationships" r:id="rId4"/>
            <a:extLst>
              <a:ext uri="{FF2B5EF4-FFF2-40B4-BE49-F238E27FC236}">
                <a16:creationId xmlns:a16="http://schemas.microsoft.com/office/drawing/2014/main" id="{32EB2EE5-FF5F-9C38-0B0F-22EEC7C913B7}"/>
              </a:ext>
            </a:extLst>
          </xdr:cNvPr>
          <xdr:cNvSpPr/>
        </xdr:nvSpPr>
        <xdr:spPr>
          <a:xfrm>
            <a:off x="163251" y="5352973"/>
            <a:ext cx="2922878" cy="813319"/>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lang="en-US" sz="1400" b="1">
                <a:solidFill>
                  <a:schemeClr val="bg1"/>
                </a:solidFill>
                <a:latin typeface="Georgia" panose="02040502050405020303" pitchFamily="18" charset="0"/>
                <a:ea typeface="+mn-ea"/>
                <a:cs typeface="+mn-cs"/>
              </a:rPr>
              <a:t>Almanac</a:t>
            </a:r>
          </a:p>
        </xdr:txBody>
      </xdr:sp>
      <xdr:sp macro="" textlink="">
        <xdr:nvSpPr>
          <xdr:cNvPr id="124" name="Rectangle: Rounded Corners 123">
            <a:hlinkClick xmlns:r="http://schemas.openxmlformats.org/officeDocument/2006/relationships" r:id="rId5"/>
            <a:extLst>
              <a:ext uri="{FF2B5EF4-FFF2-40B4-BE49-F238E27FC236}">
                <a16:creationId xmlns:a16="http://schemas.microsoft.com/office/drawing/2014/main" id="{CCF27180-EEAD-B486-3618-3F44D380B33D}"/>
              </a:ext>
            </a:extLst>
          </xdr:cNvPr>
          <xdr:cNvSpPr/>
        </xdr:nvSpPr>
        <xdr:spPr>
          <a:xfrm>
            <a:off x="163251" y="7983375"/>
            <a:ext cx="2922878" cy="813319"/>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lang="en-US" sz="1400" b="1">
                <a:solidFill>
                  <a:schemeClr val="bg1"/>
                </a:solidFill>
                <a:latin typeface="Georgia" panose="02040502050405020303" pitchFamily="18" charset="0"/>
                <a:ea typeface="+mn-ea"/>
                <a:cs typeface="+mn-cs"/>
              </a:rPr>
              <a:t>FTSE | FTFE</a:t>
            </a:r>
          </a:p>
        </xdr:txBody>
      </xdr:sp>
      <xdr:sp macro="" textlink="">
        <xdr:nvSpPr>
          <xdr:cNvPr id="122" name="Rectangle: Rounded Corners 121">
            <a:hlinkClick xmlns:r="http://schemas.openxmlformats.org/officeDocument/2006/relationships" r:id="rId6"/>
            <a:extLst>
              <a:ext uri="{FF2B5EF4-FFF2-40B4-BE49-F238E27FC236}">
                <a16:creationId xmlns:a16="http://schemas.microsoft.com/office/drawing/2014/main" id="{3D11E0C0-8DB2-F7AF-3DB5-4930E7A514D3}"/>
              </a:ext>
            </a:extLst>
          </xdr:cNvPr>
          <xdr:cNvSpPr/>
        </xdr:nvSpPr>
        <xdr:spPr>
          <a:xfrm>
            <a:off x="163251" y="7106576"/>
            <a:ext cx="2922878" cy="813319"/>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algn="r"/>
            <a:r>
              <a:rPr lang="en-US" sz="1400" b="1">
                <a:solidFill>
                  <a:schemeClr val="bg1"/>
                </a:solidFill>
                <a:latin typeface="Georgia" panose="02040502050405020303" pitchFamily="18" charset="0"/>
                <a:ea typeface="+mn-ea"/>
                <a:cs typeface="+mn-cs"/>
              </a:rPr>
              <a:t>Academic</a:t>
            </a:r>
          </a:p>
          <a:p>
            <a:pPr algn="r"/>
            <a:r>
              <a:rPr lang="en-US" sz="1400" b="1">
                <a:solidFill>
                  <a:schemeClr val="bg1"/>
                </a:solidFill>
                <a:latin typeface="Georgia" panose="02040502050405020303" pitchFamily="18" charset="0"/>
                <a:ea typeface="+mn-ea"/>
                <a:cs typeface="+mn-cs"/>
              </a:rPr>
              <a:t>Space Model</a:t>
            </a:r>
          </a:p>
        </xdr:txBody>
      </xdr:sp>
      <xdr:sp macro="" textlink="">
        <xdr:nvSpPr>
          <xdr:cNvPr id="120" name="Rectangle: Rounded Corners 119">
            <a:hlinkClick xmlns:r="http://schemas.openxmlformats.org/officeDocument/2006/relationships" r:id="rId7"/>
            <a:extLst>
              <a:ext uri="{FF2B5EF4-FFF2-40B4-BE49-F238E27FC236}">
                <a16:creationId xmlns:a16="http://schemas.microsoft.com/office/drawing/2014/main" id="{5A71250D-8B95-85D2-AB5E-CE41DA11E60F}"/>
              </a:ext>
            </a:extLst>
          </xdr:cNvPr>
          <xdr:cNvSpPr/>
        </xdr:nvSpPr>
        <xdr:spPr>
          <a:xfrm>
            <a:off x="163251" y="2730099"/>
            <a:ext cx="2922878" cy="813319"/>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lang="en-US" sz="1400" b="1">
                <a:solidFill>
                  <a:schemeClr val="bg1"/>
                </a:solidFill>
                <a:latin typeface="Georgia" panose="02040502050405020303" pitchFamily="18" charset="0"/>
                <a:ea typeface="+mn-ea"/>
                <a:cs typeface="+mn-cs"/>
              </a:rPr>
              <a:t>Research</a:t>
            </a:r>
          </a:p>
          <a:p>
            <a:pPr marL="0" marR="0" lvl="0" indent="0" algn="r" defTabSz="914400" eaLnBrk="1" fontAlgn="auto" latinLnBrk="0" hangingPunct="1">
              <a:lnSpc>
                <a:spcPct val="100000"/>
              </a:lnSpc>
              <a:spcBef>
                <a:spcPts val="0"/>
              </a:spcBef>
              <a:spcAft>
                <a:spcPts val="0"/>
              </a:spcAft>
              <a:buClrTx/>
              <a:buSzTx/>
              <a:buFontTx/>
              <a:buNone/>
              <a:tabLst/>
              <a:defRPr/>
            </a:pPr>
            <a:r>
              <a:rPr lang="en-US" sz="1400" b="1">
                <a:solidFill>
                  <a:schemeClr val="bg1"/>
                </a:solidFill>
                <a:latin typeface="Georgia" panose="02040502050405020303" pitchFamily="18" charset="0"/>
                <a:ea typeface="+mn-ea"/>
                <a:cs typeface="+mn-cs"/>
              </a:rPr>
              <a:t>(by</a:t>
            </a:r>
            <a:r>
              <a:rPr lang="en-US" sz="1400" b="1" baseline="0">
                <a:solidFill>
                  <a:schemeClr val="bg1"/>
                </a:solidFill>
                <a:latin typeface="Georgia" panose="02040502050405020303" pitchFamily="18" charset="0"/>
                <a:ea typeface="+mn-ea"/>
                <a:cs typeface="+mn-cs"/>
              </a:rPr>
              <a:t> Institution)</a:t>
            </a:r>
            <a:endParaRPr lang="en-US" sz="1400" b="1">
              <a:solidFill>
                <a:schemeClr val="bg1"/>
              </a:solidFill>
              <a:latin typeface="Georgia" panose="02040502050405020303" pitchFamily="18" charset="0"/>
              <a:ea typeface="+mn-ea"/>
              <a:cs typeface="+mn-cs"/>
            </a:endParaRPr>
          </a:p>
        </xdr:txBody>
      </xdr:sp>
      <xdr:sp macro="" textlink="">
        <xdr:nvSpPr>
          <xdr:cNvPr id="118" name="Rectangle: Rounded Corners 117">
            <a:hlinkClick xmlns:r="http://schemas.openxmlformats.org/officeDocument/2006/relationships" r:id="rId8"/>
            <a:extLst>
              <a:ext uri="{FF2B5EF4-FFF2-40B4-BE49-F238E27FC236}">
                <a16:creationId xmlns:a16="http://schemas.microsoft.com/office/drawing/2014/main" id="{D8E49932-49B3-254E-D36B-3AB57BE365D6}"/>
              </a:ext>
            </a:extLst>
          </xdr:cNvPr>
          <xdr:cNvSpPr/>
        </xdr:nvSpPr>
        <xdr:spPr>
          <a:xfrm>
            <a:off x="163251" y="3606901"/>
            <a:ext cx="2922878" cy="813319"/>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algn="r"/>
            <a:r>
              <a:rPr lang="en-US" sz="1400" b="1">
                <a:solidFill>
                  <a:schemeClr val="bg1"/>
                </a:solidFill>
                <a:latin typeface="Georgia" panose="02040502050405020303" pitchFamily="18" charset="0"/>
                <a:ea typeface="+mn-ea"/>
                <a:cs typeface="+mn-cs"/>
              </a:rPr>
              <a:t>Summary</a:t>
            </a:r>
          </a:p>
          <a:p>
            <a:pPr algn="r"/>
            <a:r>
              <a:rPr lang="en-US" sz="1400" b="1">
                <a:solidFill>
                  <a:schemeClr val="bg1"/>
                </a:solidFill>
                <a:latin typeface="Georgia" panose="02040502050405020303" pitchFamily="18" charset="0"/>
                <a:ea typeface="+mn-ea"/>
                <a:cs typeface="+mn-cs"/>
              </a:rPr>
              <a:t>(by</a:t>
            </a:r>
            <a:r>
              <a:rPr lang="en-US" sz="1400" b="1" baseline="0">
                <a:solidFill>
                  <a:schemeClr val="bg1"/>
                </a:solidFill>
                <a:latin typeface="Georgia" panose="02040502050405020303" pitchFamily="18" charset="0"/>
                <a:ea typeface="+mn-ea"/>
                <a:cs typeface="+mn-cs"/>
              </a:rPr>
              <a:t> System)</a:t>
            </a:r>
            <a:endParaRPr lang="en-US" sz="1400" b="1">
              <a:solidFill>
                <a:schemeClr val="bg1"/>
              </a:solidFill>
              <a:latin typeface="Georgia" panose="02040502050405020303" pitchFamily="18" charset="0"/>
              <a:ea typeface="+mn-ea"/>
              <a:cs typeface="+mn-cs"/>
            </a:endParaRPr>
          </a:p>
        </xdr:txBody>
      </xdr:sp>
      <xdr:sp macro="" textlink="">
        <xdr:nvSpPr>
          <xdr:cNvPr id="116" name="Rectangle: Rounded Corners 115">
            <a:hlinkClick xmlns:r="http://schemas.openxmlformats.org/officeDocument/2006/relationships" r:id="rId9"/>
            <a:extLst>
              <a:ext uri="{FF2B5EF4-FFF2-40B4-BE49-F238E27FC236}">
                <a16:creationId xmlns:a16="http://schemas.microsoft.com/office/drawing/2014/main" id="{F1D57C38-9185-1F6A-4181-06049935F85D}"/>
              </a:ext>
            </a:extLst>
          </xdr:cNvPr>
          <xdr:cNvSpPr/>
        </xdr:nvSpPr>
        <xdr:spPr>
          <a:xfrm>
            <a:off x="163251" y="4483702"/>
            <a:ext cx="2922878" cy="813319"/>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algn="r"/>
            <a:r>
              <a:rPr lang="en-US" sz="1400" b="1">
                <a:solidFill>
                  <a:schemeClr val="bg1"/>
                </a:solidFill>
                <a:latin typeface="Georgia" panose="02040502050405020303" pitchFamily="18" charset="0"/>
                <a:ea typeface="+mn-ea"/>
                <a:cs typeface="+mn-cs"/>
              </a:rPr>
              <a:t>Summary </a:t>
            </a:r>
          </a:p>
          <a:p>
            <a:pPr algn="r"/>
            <a:r>
              <a:rPr lang="en-US" sz="1400" b="1">
                <a:solidFill>
                  <a:schemeClr val="bg1"/>
                </a:solidFill>
                <a:latin typeface="Georgia" panose="02040502050405020303" pitchFamily="18" charset="0"/>
                <a:ea typeface="+mn-ea"/>
                <a:cs typeface="+mn-cs"/>
              </a:rPr>
              <a:t>(by Institution Type)</a:t>
            </a:r>
          </a:p>
        </xdr:txBody>
      </xdr:sp>
      <xdr:sp macro="" textlink="">
        <xdr:nvSpPr>
          <xdr:cNvPr id="114" name="Rectangle: Rounded Corners 113">
            <a:hlinkClick xmlns:r="http://schemas.openxmlformats.org/officeDocument/2006/relationships" r:id="rId10"/>
            <a:extLst>
              <a:ext uri="{FF2B5EF4-FFF2-40B4-BE49-F238E27FC236}">
                <a16:creationId xmlns:a16="http://schemas.microsoft.com/office/drawing/2014/main" id="{0CF6B0D1-1D35-5DBD-0E5B-A88A9A4C1093}"/>
              </a:ext>
            </a:extLst>
          </xdr:cNvPr>
          <xdr:cNvSpPr/>
        </xdr:nvSpPr>
        <xdr:spPr>
          <a:xfrm>
            <a:off x="163251" y="6229774"/>
            <a:ext cx="2922878" cy="813319"/>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algn="r"/>
            <a:r>
              <a:rPr lang="en-US" sz="1400" b="1">
                <a:solidFill>
                  <a:schemeClr val="bg1"/>
                </a:solidFill>
                <a:latin typeface="Georgia" panose="02040502050405020303" pitchFamily="18" charset="0"/>
                <a:ea typeface="+mn-ea"/>
                <a:cs typeface="+mn-cs"/>
              </a:rPr>
              <a:t>Source of Funds</a:t>
            </a:r>
          </a:p>
        </xdr:txBody>
      </xdr:sp>
      <xdr:pic>
        <xdr:nvPicPr>
          <xdr:cNvPr id="131" name="Graphic 130" descr="Home with solid fill">
            <a:hlinkClick xmlns:r="http://schemas.openxmlformats.org/officeDocument/2006/relationships" r:id="rId1"/>
            <a:extLst>
              <a:ext uri="{FF2B5EF4-FFF2-40B4-BE49-F238E27FC236}">
                <a16:creationId xmlns:a16="http://schemas.microsoft.com/office/drawing/2014/main" id="{08369B07-D849-D256-E352-9BD6B03EC626}"/>
              </a:ext>
            </a:extLst>
          </xdr:cNvPr>
          <xdr:cNvPicPr>
            <a:picLocks noChangeAspect="1"/>
          </xdr:cNvPicPr>
        </xdr:nvPicPr>
        <xdr:blipFill>
          <a:blip xmlns:r="http://schemas.openxmlformats.org/officeDocument/2006/relationships" r:embed="rId11">
            <a:extLst>
              <a:ext uri="{96DAC541-7B7A-43D3-8B79-37D633B846F1}">
                <asvg:svgBlip xmlns:asvg="http://schemas.microsoft.com/office/drawing/2016/SVG/main" r:embed="rId12"/>
              </a:ext>
            </a:extLst>
          </a:blip>
          <a:stretch>
            <a:fillRect/>
          </a:stretch>
        </xdr:blipFill>
        <xdr:spPr>
          <a:xfrm>
            <a:off x="265495" y="99352"/>
            <a:ext cx="775800" cy="755704"/>
          </a:xfrm>
          <a:prstGeom prst="rect">
            <a:avLst/>
          </a:prstGeom>
        </xdr:spPr>
      </xdr:pic>
      <xdr:pic>
        <xdr:nvPicPr>
          <xdr:cNvPr id="105" name="Graphic 104" descr="Address Book with solid fill">
            <a:hlinkClick xmlns:r="http://schemas.openxmlformats.org/officeDocument/2006/relationships" r:id="rId2"/>
            <a:extLst>
              <a:ext uri="{FF2B5EF4-FFF2-40B4-BE49-F238E27FC236}">
                <a16:creationId xmlns:a16="http://schemas.microsoft.com/office/drawing/2014/main" id="{316A1733-2589-7B47-5509-292D212D6F00}"/>
              </a:ext>
            </a:extLst>
          </xdr:cNvPr>
          <xdr:cNvPicPr>
            <a:picLocks noChangeAspect="1"/>
          </xdr:cNvPicPr>
        </xdr:nvPicPr>
        <xdr:blipFill>
          <a:blip xmlns:r="http://schemas.openxmlformats.org/officeDocument/2006/relationships" r:embed="rId13">
            <a:extLst>
              <a:ext uri="{96DAC541-7B7A-43D3-8B79-37D633B846F1}">
                <asvg:svgBlip xmlns:asvg="http://schemas.microsoft.com/office/drawing/2016/SVG/main" r:embed="rId14"/>
              </a:ext>
            </a:extLst>
          </a:blip>
          <a:stretch>
            <a:fillRect/>
          </a:stretch>
        </xdr:blipFill>
        <xdr:spPr>
          <a:xfrm>
            <a:off x="265495" y="992270"/>
            <a:ext cx="755922" cy="759464"/>
          </a:xfrm>
          <a:prstGeom prst="rect">
            <a:avLst/>
          </a:prstGeom>
        </xdr:spPr>
      </xdr:pic>
      <xdr:pic>
        <xdr:nvPicPr>
          <xdr:cNvPr id="129" name="Graphic 128" descr="Closed book with solid fill">
            <a:hlinkClick xmlns:r="http://schemas.openxmlformats.org/officeDocument/2006/relationships" r:id="rId3"/>
            <a:extLst>
              <a:ext uri="{FF2B5EF4-FFF2-40B4-BE49-F238E27FC236}">
                <a16:creationId xmlns:a16="http://schemas.microsoft.com/office/drawing/2014/main" id="{369F855C-18F1-37A8-E320-B3A2C8F91406}"/>
              </a:ext>
            </a:extLst>
          </xdr:cNvPr>
          <xdr:cNvPicPr>
            <a:picLocks noChangeAspect="1"/>
          </xdr:cNvPicPr>
        </xdr:nvPicPr>
        <xdr:blipFill>
          <a:blip xmlns:r="http://schemas.openxmlformats.org/officeDocument/2006/relationships" r:embed="rId15">
            <a:extLst>
              <a:ext uri="{96DAC541-7B7A-43D3-8B79-37D633B846F1}">
                <asvg:svgBlip xmlns:asvg="http://schemas.microsoft.com/office/drawing/2016/SVG/main" r:embed="rId16"/>
              </a:ext>
            </a:extLst>
          </a:blip>
          <a:stretch>
            <a:fillRect/>
          </a:stretch>
        </xdr:blipFill>
        <xdr:spPr>
          <a:xfrm>
            <a:off x="265495" y="1871227"/>
            <a:ext cx="755922" cy="751085"/>
          </a:xfrm>
          <a:prstGeom prst="rect">
            <a:avLst/>
          </a:prstGeom>
        </xdr:spPr>
      </xdr:pic>
      <xdr:pic>
        <xdr:nvPicPr>
          <xdr:cNvPr id="127" name="Graphic 126" descr="Books on shelf with solid fill">
            <a:hlinkClick xmlns:r="http://schemas.openxmlformats.org/officeDocument/2006/relationships" r:id="rId4"/>
            <a:extLst>
              <a:ext uri="{FF2B5EF4-FFF2-40B4-BE49-F238E27FC236}">
                <a16:creationId xmlns:a16="http://schemas.microsoft.com/office/drawing/2014/main" id="{F1DFA164-04CE-B4D4-83E1-4F62221017D0}"/>
              </a:ext>
            </a:extLst>
          </xdr:cNvPr>
          <xdr:cNvPicPr>
            <a:picLocks noChangeAspect="1"/>
          </xdr:cNvPicPr>
        </xdr:nvPicPr>
        <xdr:blipFill>
          <a:blip xmlns:r="http://schemas.openxmlformats.org/officeDocument/2006/relationships" r:embed="rId17">
            <a:extLst>
              <a:ext uri="{96DAC541-7B7A-43D3-8B79-37D633B846F1}">
                <asvg:svgBlip xmlns:asvg="http://schemas.microsoft.com/office/drawing/2016/SVG/main" r:embed="rId18"/>
              </a:ext>
            </a:extLst>
          </a:blip>
          <a:stretch>
            <a:fillRect/>
          </a:stretch>
        </xdr:blipFill>
        <xdr:spPr>
          <a:xfrm>
            <a:off x="265495" y="5377372"/>
            <a:ext cx="765965" cy="759543"/>
          </a:xfrm>
          <a:prstGeom prst="rect">
            <a:avLst/>
          </a:prstGeom>
        </xdr:spPr>
      </xdr:pic>
      <xdr:pic>
        <xdr:nvPicPr>
          <xdr:cNvPr id="125" name="Graphic 124" descr="Users with solid fill">
            <a:hlinkClick xmlns:r="http://schemas.openxmlformats.org/officeDocument/2006/relationships" r:id="rId5"/>
            <a:extLst>
              <a:ext uri="{FF2B5EF4-FFF2-40B4-BE49-F238E27FC236}">
                <a16:creationId xmlns:a16="http://schemas.microsoft.com/office/drawing/2014/main" id="{80C759FB-9778-362B-5F25-49E910AA006A}"/>
              </a:ext>
            </a:extLst>
          </xdr:cNvPr>
          <xdr:cNvPicPr>
            <a:picLocks noChangeAspect="1"/>
          </xdr:cNvPicPr>
        </xdr:nvPicPr>
        <xdr:blipFill>
          <a:blip xmlns:r="http://schemas.openxmlformats.org/officeDocument/2006/relationships" r:embed="rId19">
            <a:extLst>
              <a:ext uri="{96DAC541-7B7A-43D3-8B79-37D633B846F1}">
                <asvg:svgBlip xmlns:asvg="http://schemas.microsoft.com/office/drawing/2016/SVG/main" r:embed="rId20"/>
              </a:ext>
            </a:extLst>
          </a:blip>
          <a:stretch>
            <a:fillRect/>
          </a:stretch>
        </xdr:blipFill>
        <xdr:spPr>
          <a:xfrm>
            <a:off x="265495" y="8038959"/>
            <a:ext cx="765668" cy="756332"/>
          </a:xfrm>
          <a:prstGeom prst="rect">
            <a:avLst/>
          </a:prstGeom>
        </xdr:spPr>
      </xdr:pic>
      <xdr:pic>
        <xdr:nvPicPr>
          <xdr:cNvPr id="123" name="Graphic 122" descr="Document with solid fill">
            <a:hlinkClick xmlns:r="http://schemas.openxmlformats.org/officeDocument/2006/relationships" r:id="rId6"/>
            <a:extLst>
              <a:ext uri="{FF2B5EF4-FFF2-40B4-BE49-F238E27FC236}">
                <a16:creationId xmlns:a16="http://schemas.microsoft.com/office/drawing/2014/main" id="{A6FDE5AC-F4D0-1014-984F-2CF47A44C0CC}"/>
              </a:ext>
            </a:extLst>
          </xdr:cNvPr>
          <xdr:cNvPicPr>
            <a:picLocks noChangeAspect="1"/>
          </xdr:cNvPicPr>
        </xdr:nvPicPr>
        <xdr:blipFill>
          <a:blip xmlns:r="http://schemas.openxmlformats.org/officeDocument/2006/relationships" r:embed="rId21">
            <a:extLst>
              <a:ext uri="{96DAC541-7B7A-43D3-8B79-37D633B846F1}">
                <asvg:svgBlip xmlns:asvg="http://schemas.microsoft.com/office/drawing/2016/SVG/main" r:embed="rId22"/>
              </a:ext>
            </a:extLst>
          </a:blip>
          <a:stretch>
            <a:fillRect/>
          </a:stretch>
        </xdr:blipFill>
        <xdr:spPr>
          <a:xfrm>
            <a:off x="265495" y="7124365"/>
            <a:ext cx="760294" cy="756331"/>
          </a:xfrm>
          <a:prstGeom prst="rect">
            <a:avLst/>
          </a:prstGeom>
        </xdr:spPr>
      </xdr:pic>
      <xdr:pic>
        <xdr:nvPicPr>
          <xdr:cNvPr id="121" name="Graphic 120" descr="Research with solid fill">
            <a:hlinkClick xmlns:r="http://schemas.openxmlformats.org/officeDocument/2006/relationships" r:id="rId7"/>
            <a:extLst>
              <a:ext uri="{FF2B5EF4-FFF2-40B4-BE49-F238E27FC236}">
                <a16:creationId xmlns:a16="http://schemas.microsoft.com/office/drawing/2014/main" id="{D0FA3CA6-6B92-1A64-A821-877588CAB564}"/>
              </a:ext>
            </a:extLst>
          </xdr:cNvPr>
          <xdr:cNvPicPr>
            <a:picLocks noChangeAspect="1"/>
          </xdr:cNvPicPr>
        </xdr:nvPicPr>
        <xdr:blipFill>
          <a:blip xmlns:r="http://schemas.openxmlformats.org/officeDocument/2006/relationships" r:embed="rId23">
            <a:extLst>
              <a:ext uri="{96DAC541-7B7A-43D3-8B79-37D633B846F1}">
                <asvg:svgBlip xmlns:asvg="http://schemas.microsoft.com/office/drawing/2016/SVG/main" r:embed="rId24"/>
              </a:ext>
            </a:extLst>
          </a:blip>
          <a:srcRect/>
          <a:stretch/>
        </xdr:blipFill>
        <xdr:spPr>
          <a:xfrm>
            <a:off x="265495" y="2759526"/>
            <a:ext cx="759821" cy="727528"/>
          </a:xfrm>
          <a:prstGeom prst="rect">
            <a:avLst/>
          </a:prstGeom>
        </xdr:spPr>
      </xdr:pic>
      <xdr:pic>
        <xdr:nvPicPr>
          <xdr:cNvPr id="119" name="Graphic 118" descr="Hierarchy with solid fill">
            <a:hlinkClick xmlns:r="http://schemas.openxmlformats.org/officeDocument/2006/relationships" r:id="rId8"/>
            <a:extLst>
              <a:ext uri="{FF2B5EF4-FFF2-40B4-BE49-F238E27FC236}">
                <a16:creationId xmlns:a16="http://schemas.microsoft.com/office/drawing/2014/main" id="{EF6EF096-DF63-8043-49CF-2946F968A420}"/>
              </a:ext>
            </a:extLst>
          </xdr:cNvPr>
          <xdr:cNvPicPr>
            <a:picLocks noChangeAspect="1"/>
          </xdr:cNvPicPr>
        </xdr:nvPicPr>
        <xdr:blipFill>
          <a:blip xmlns:r="http://schemas.openxmlformats.org/officeDocument/2006/relationships" r:embed="rId25">
            <a:extLst>
              <a:ext uri="{96DAC541-7B7A-43D3-8B79-37D633B846F1}">
                <asvg:svgBlip xmlns:asvg="http://schemas.microsoft.com/office/drawing/2016/SVG/main" r:embed="rId26"/>
              </a:ext>
            </a:extLst>
          </a:blip>
          <a:stretch>
            <a:fillRect/>
          </a:stretch>
        </xdr:blipFill>
        <xdr:spPr>
          <a:xfrm>
            <a:off x="265495" y="3597687"/>
            <a:ext cx="753677" cy="755701"/>
          </a:xfrm>
          <a:prstGeom prst="rect">
            <a:avLst/>
          </a:prstGeom>
        </xdr:spPr>
      </xdr:pic>
      <xdr:pic>
        <xdr:nvPicPr>
          <xdr:cNvPr id="117" name="Graphic 116" descr="Postit Notes with solid fill">
            <a:hlinkClick xmlns:r="http://schemas.openxmlformats.org/officeDocument/2006/relationships" r:id="rId9"/>
            <a:extLst>
              <a:ext uri="{FF2B5EF4-FFF2-40B4-BE49-F238E27FC236}">
                <a16:creationId xmlns:a16="http://schemas.microsoft.com/office/drawing/2014/main" id="{DF1F86ED-058C-AEFF-A3C1-ABE051EC7660}"/>
              </a:ext>
            </a:extLst>
          </xdr:cNvPr>
          <xdr:cNvPicPr>
            <a:picLocks noChangeAspect="1"/>
          </xdr:cNvPicPr>
        </xdr:nvPicPr>
        <xdr:blipFill>
          <a:blip xmlns:r="http://schemas.openxmlformats.org/officeDocument/2006/relationships" r:embed="rId27">
            <a:extLst>
              <a:ext uri="{96DAC541-7B7A-43D3-8B79-37D633B846F1}">
                <asvg:svgBlip xmlns:asvg="http://schemas.microsoft.com/office/drawing/2016/SVG/main" r:embed="rId28"/>
              </a:ext>
            </a:extLst>
          </a:blip>
          <a:stretch>
            <a:fillRect/>
          </a:stretch>
        </xdr:blipFill>
        <xdr:spPr>
          <a:xfrm>
            <a:off x="265495" y="4499461"/>
            <a:ext cx="753677" cy="755754"/>
          </a:xfrm>
          <a:prstGeom prst="rect">
            <a:avLst/>
          </a:prstGeom>
        </xdr:spPr>
      </xdr:pic>
      <xdr:pic>
        <xdr:nvPicPr>
          <xdr:cNvPr id="115" name="Graphic 114" descr="Money with solid fill">
            <a:hlinkClick xmlns:r="http://schemas.openxmlformats.org/officeDocument/2006/relationships" r:id="rId10"/>
            <a:extLst>
              <a:ext uri="{FF2B5EF4-FFF2-40B4-BE49-F238E27FC236}">
                <a16:creationId xmlns:a16="http://schemas.microsoft.com/office/drawing/2014/main" id="{2F58C39C-0B83-1A74-1ED7-2029E6386480}"/>
              </a:ext>
            </a:extLst>
          </xdr:cNvPr>
          <xdr:cNvPicPr>
            <a:picLocks noChangeAspect="1"/>
          </xdr:cNvPicPr>
        </xdr:nvPicPr>
        <xdr:blipFill>
          <a:blip xmlns:r="http://schemas.openxmlformats.org/officeDocument/2006/relationships" r:embed="rId29">
            <a:extLst>
              <a:ext uri="{96DAC541-7B7A-43D3-8B79-37D633B846F1}">
                <asvg:svgBlip xmlns:asvg="http://schemas.microsoft.com/office/drawing/2016/SVG/main" r:embed="rId30"/>
              </a:ext>
            </a:extLst>
          </a:blip>
          <a:srcRect/>
          <a:stretch/>
        </xdr:blipFill>
        <xdr:spPr>
          <a:xfrm>
            <a:off x="265495" y="6236027"/>
            <a:ext cx="765965" cy="733405"/>
          </a:xfrm>
          <a:prstGeom prst="rect">
            <a:avLst/>
          </a:prstGeom>
        </xdr:spPr>
      </xdr:pic>
    </xdr:grp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40821</xdr:colOff>
      <xdr:row>0</xdr:row>
      <xdr:rowOff>30479</xdr:rowOff>
    </xdr:from>
    <xdr:to>
      <xdr:col>5</xdr:col>
      <xdr:colOff>448490</xdr:colOff>
      <xdr:row>22</xdr:row>
      <xdr:rowOff>289208</xdr:rowOff>
    </xdr:to>
    <xdr:grpSp>
      <xdr:nvGrpSpPr>
        <xdr:cNvPr id="48" name="Group 47">
          <a:extLst>
            <a:ext uri="{FF2B5EF4-FFF2-40B4-BE49-F238E27FC236}">
              <a16:creationId xmlns:a16="http://schemas.microsoft.com/office/drawing/2014/main" id="{F078976E-9870-084F-D1F2-0B06FB35BE55}"/>
            </a:ext>
          </a:extLst>
        </xdr:cNvPr>
        <xdr:cNvGrpSpPr/>
      </xdr:nvGrpSpPr>
      <xdr:grpSpPr>
        <a:xfrm>
          <a:off x="40821" y="30479"/>
          <a:ext cx="3169919" cy="8831229"/>
          <a:chOff x="30480" y="30480"/>
          <a:chExt cx="3188969" cy="8831229"/>
        </a:xfrm>
      </xdr:grpSpPr>
      <xdr:sp macro="" textlink="">
        <xdr:nvSpPr>
          <xdr:cNvPr id="26" name="Rectangle: Rounded Corners 25">
            <a:extLst>
              <a:ext uri="{FF2B5EF4-FFF2-40B4-BE49-F238E27FC236}">
                <a16:creationId xmlns:a16="http://schemas.microsoft.com/office/drawing/2014/main" id="{8AF2E35E-993F-3795-82EC-CEA18FD898B8}"/>
              </a:ext>
            </a:extLst>
          </xdr:cNvPr>
          <xdr:cNvSpPr/>
        </xdr:nvSpPr>
        <xdr:spPr>
          <a:xfrm>
            <a:off x="30480" y="30480"/>
            <a:ext cx="3188969" cy="8831229"/>
          </a:xfrm>
          <a:prstGeom prst="roundRect">
            <a:avLst>
              <a:gd name="adj" fmla="val 6618"/>
            </a:avLst>
          </a:prstGeom>
          <a:ln/>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t"/>
          <a:lstStyle/>
          <a:p>
            <a:pPr algn="l"/>
            <a:endParaRPr lang="en-US" sz="1100"/>
          </a:p>
        </xdr:txBody>
      </xdr:sp>
      <xdr:sp macro="" textlink="">
        <xdr:nvSpPr>
          <xdr:cNvPr id="28" name="Rectangle: Rounded Corners 27">
            <a:hlinkClick xmlns:r="http://schemas.openxmlformats.org/officeDocument/2006/relationships" r:id="rId1"/>
            <a:extLst>
              <a:ext uri="{FF2B5EF4-FFF2-40B4-BE49-F238E27FC236}">
                <a16:creationId xmlns:a16="http://schemas.microsoft.com/office/drawing/2014/main" id="{1ECB4220-E64A-8162-02A5-84556EB5FF0A}"/>
              </a:ext>
            </a:extLst>
          </xdr:cNvPr>
          <xdr:cNvSpPr/>
        </xdr:nvSpPr>
        <xdr:spPr>
          <a:xfrm>
            <a:off x="163250" y="99344"/>
            <a:ext cx="2928321" cy="813319"/>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lvl="0" algn="r"/>
            <a:r>
              <a:rPr lang="en-US" sz="1400" b="1">
                <a:solidFill>
                  <a:schemeClr val="bg1"/>
                </a:solidFill>
                <a:latin typeface="Georgia" panose="02040502050405020303" pitchFamily="18" charset="0"/>
              </a:rPr>
              <a:t>Table</a:t>
            </a:r>
            <a:r>
              <a:rPr lang="en-US" sz="1400" b="1" baseline="0">
                <a:solidFill>
                  <a:schemeClr val="bg1"/>
                </a:solidFill>
                <a:latin typeface="Georgia" panose="02040502050405020303" pitchFamily="18" charset="0"/>
              </a:rPr>
              <a:t> of Contents</a:t>
            </a:r>
            <a:endParaRPr lang="en-US" sz="1400" b="1">
              <a:solidFill>
                <a:schemeClr val="bg1"/>
              </a:solidFill>
              <a:latin typeface="Georgia" panose="02040502050405020303" pitchFamily="18" charset="0"/>
            </a:endParaRPr>
          </a:p>
        </xdr:txBody>
      </xdr:sp>
      <xdr:sp macro="" textlink="">
        <xdr:nvSpPr>
          <xdr:cNvPr id="29" name="Rectangle: Rounded Corners 28">
            <a:hlinkClick xmlns:r="http://schemas.openxmlformats.org/officeDocument/2006/relationships" r:id="rId2"/>
            <a:extLst>
              <a:ext uri="{FF2B5EF4-FFF2-40B4-BE49-F238E27FC236}">
                <a16:creationId xmlns:a16="http://schemas.microsoft.com/office/drawing/2014/main" id="{AC603DAF-3CA3-DACD-16C7-B2B04A2D5A09}"/>
              </a:ext>
            </a:extLst>
          </xdr:cNvPr>
          <xdr:cNvSpPr/>
        </xdr:nvSpPr>
        <xdr:spPr>
          <a:xfrm>
            <a:off x="163250" y="976145"/>
            <a:ext cx="2928321" cy="813319"/>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lang="en-US" sz="1400" b="1">
                <a:solidFill>
                  <a:schemeClr val="bg1"/>
                </a:solidFill>
                <a:latin typeface="Georgia" panose="02040502050405020303" pitchFamily="18" charset="0"/>
                <a:ea typeface="+mn-ea"/>
                <a:cs typeface="+mn-cs"/>
              </a:rPr>
              <a:t>Contact Information</a:t>
            </a:r>
          </a:p>
        </xdr:txBody>
      </xdr:sp>
      <xdr:sp macro="" textlink="">
        <xdr:nvSpPr>
          <xdr:cNvPr id="30" name="Rectangle: Rounded Corners 29">
            <a:hlinkClick xmlns:r="http://schemas.openxmlformats.org/officeDocument/2006/relationships" r:id="rId3"/>
            <a:extLst>
              <a:ext uri="{FF2B5EF4-FFF2-40B4-BE49-F238E27FC236}">
                <a16:creationId xmlns:a16="http://schemas.microsoft.com/office/drawing/2014/main" id="{28FCABA0-F28E-EDE4-0706-4686FA65E6B9}"/>
              </a:ext>
            </a:extLst>
          </xdr:cNvPr>
          <xdr:cNvSpPr/>
        </xdr:nvSpPr>
        <xdr:spPr>
          <a:xfrm>
            <a:off x="163250" y="1852947"/>
            <a:ext cx="2928321" cy="813319"/>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lang="en-US" sz="1400" b="1">
                <a:solidFill>
                  <a:schemeClr val="bg1"/>
                </a:solidFill>
                <a:latin typeface="Georgia" panose="02040502050405020303" pitchFamily="18" charset="0"/>
                <a:ea typeface="+mn-ea"/>
                <a:cs typeface="+mn-cs"/>
              </a:rPr>
              <a:t>Research </a:t>
            </a:r>
            <a:r>
              <a:rPr lang="en-US" sz="1400" b="1" baseline="0">
                <a:solidFill>
                  <a:schemeClr val="bg1"/>
                </a:solidFill>
                <a:latin typeface="Georgia" panose="02040502050405020303" pitchFamily="18" charset="0"/>
                <a:ea typeface="+mn-ea"/>
                <a:cs typeface="+mn-cs"/>
              </a:rPr>
              <a:t>Guidance</a:t>
            </a:r>
            <a:endParaRPr lang="en-US" sz="1400" b="1">
              <a:solidFill>
                <a:schemeClr val="bg1"/>
              </a:solidFill>
              <a:latin typeface="Georgia" panose="02040502050405020303" pitchFamily="18" charset="0"/>
              <a:ea typeface="+mn-ea"/>
              <a:cs typeface="+mn-cs"/>
            </a:endParaRPr>
          </a:p>
        </xdr:txBody>
      </xdr:sp>
      <xdr:sp macro="" textlink="">
        <xdr:nvSpPr>
          <xdr:cNvPr id="31" name="Rectangle: Rounded Corners 30">
            <a:hlinkClick xmlns:r="http://schemas.openxmlformats.org/officeDocument/2006/relationships" r:id="rId4"/>
            <a:extLst>
              <a:ext uri="{FF2B5EF4-FFF2-40B4-BE49-F238E27FC236}">
                <a16:creationId xmlns:a16="http://schemas.microsoft.com/office/drawing/2014/main" id="{CFFF88BA-2CA6-D24D-7427-22113CD64C3F}"/>
              </a:ext>
            </a:extLst>
          </xdr:cNvPr>
          <xdr:cNvSpPr/>
        </xdr:nvSpPr>
        <xdr:spPr>
          <a:xfrm>
            <a:off x="163250" y="5352622"/>
            <a:ext cx="2928321" cy="813319"/>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lang="en-US" sz="1400" b="1">
                <a:solidFill>
                  <a:schemeClr val="bg1"/>
                </a:solidFill>
                <a:latin typeface="Georgia" panose="02040502050405020303" pitchFamily="18" charset="0"/>
                <a:ea typeface="+mn-ea"/>
                <a:cs typeface="+mn-cs"/>
              </a:rPr>
              <a:t>Almanac</a:t>
            </a:r>
          </a:p>
        </xdr:txBody>
      </xdr:sp>
      <xdr:sp macro="" textlink="">
        <xdr:nvSpPr>
          <xdr:cNvPr id="32" name="Rectangle: Rounded Corners 31">
            <a:hlinkClick xmlns:r="http://schemas.openxmlformats.org/officeDocument/2006/relationships" r:id="rId5"/>
            <a:extLst>
              <a:ext uri="{FF2B5EF4-FFF2-40B4-BE49-F238E27FC236}">
                <a16:creationId xmlns:a16="http://schemas.microsoft.com/office/drawing/2014/main" id="{B40D2D5A-7A80-F238-5EED-B65E2B41162B}"/>
              </a:ext>
            </a:extLst>
          </xdr:cNvPr>
          <xdr:cNvSpPr/>
        </xdr:nvSpPr>
        <xdr:spPr>
          <a:xfrm>
            <a:off x="163250" y="7983024"/>
            <a:ext cx="2928321" cy="813319"/>
          </a:xfrm>
          <a:prstGeom prst="roundRect">
            <a:avLst/>
          </a:prstGeom>
          <a:solidFill>
            <a:schemeClr val="accent3"/>
          </a:solidFill>
          <a:ln w="9525">
            <a:solidFill>
              <a:schemeClr val="tx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lang="en-US" sz="1400" b="1">
                <a:solidFill>
                  <a:schemeClr val="tx1"/>
                </a:solidFill>
                <a:latin typeface="Georgia" panose="02040502050405020303" pitchFamily="18" charset="0"/>
                <a:ea typeface="+mn-ea"/>
                <a:cs typeface="+mn-cs"/>
              </a:rPr>
              <a:t>FTSE | FTFE</a:t>
            </a:r>
          </a:p>
        </xdr:txBody>
      </xdr:sp>
      <xdr:sp macro="" textlink="">
        <xdr:nvSpPr>
          <xdr:cNvPr id="33" name="Rectangle: Rounded Corners 32">
            <a:hlinkClick xmlns:r="http://schemas.openxmlformats.org/officeDocument/2006/relationships" r:id="rId6"/>
            <a:extLst>
              <a:ext uri="{FF2B5EF4-FFF2-40B4-BE49-F238E27FC236}">
                <a16:creationId xmlns:a16="http://schemas.microsoft.com/office/drawing/2014/main" id="{13D89D65-9D5C-F607-AC5D-2C05AA94BD88}"/>
              </a:ext>
            </a:extLst>
          </xdr:cNvPr>
          <xdr:cNvSpPr/>
        </xdr:nvSpPr>
        <xdr:spPr>
          <a:xfrm>
            <a:off x="163250" y="7106225"/>
            <a:ext cx="2928321" cy="813319"/>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algn="r"/>
            <a:r>
              <a:rPr lang="en-US" sz="1400" b="1">
                <a:solidFill>
                  <a:schemeClr val="bg1"/>
                </a:solidFill>
                <a:latin typeface="Georgia" panose="02040502050405020303" pitchFamily="18" charset="0"/>
                <a:ea typeface="+mn-ea"/>
                <a:cs typeface="+mn-cs"/>
              </a:rPr>
              <a:t>Academic</a:t>
            </a:r>
          </a:p>
          <a:p>
            <a:pPr algn="r"/>
            <a:r>
              <a:rPr lang="en-US" sz="1400" b="1">
                <a:solidFill>
                  <a:schemeClr val="bg1"/>
                </a:solidFill>
                <a:latin typeface="Georgia" panose="02040502050405020303" pitchFamily="18" charset="0"/>
                <a:ea typeface="+mn-ea"/>
                <a:cs typeface="+mn-cs"/>
              </a:rPr>
              <a:t>Space Model</a:t>
            </a:r>
          </a:p>
        </xdr:txBody>
      </xdr:sp>
      <xdr:sp macro="" textlink="">
        <xdr:nvSpPr>
          <xdr:cNvPr id="34" name="Rectangle: Rounded Corners 33">
            <a:hlinkClick xmlns:r="http://schemas.openxmlformats.org/officeDocument/2006/relationships" r:id="rId7"/>
            <a:extLst>
              <a:ext uri="{FF2B5EF4-FFF2-40B4-BE49-F238E27FC236}">
                <a16:creationId xmlns:a16="http://schemas.microsoft.com/office/drawing/2014/main" id="{405AB2FE-EDE8-AFFB-8FDD-ABE72B5E0C0C}"/>
              </a:ext>
            </a:extLst>
          </xdr:cNvPr>
          <xdr:cNvSpPr/>
        </xdr:nvSpPr>
        <xdr:spPr>
          <a:xfrm>
            <a:off x="163250" y="2729748"/>
            <a:ext cx="2928321" cy="813319"/>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lang="en-US" sz="1400" b="1">
                <a:solidFill>
                  <a:schemeClr val="bg1"/>
                </a:solidFill>
                <a:latin typeface="Georgia" panose="02040502050405020303" pitchFamily="18" charset="0"/>
                <a:ea typeface="+mn-ea"/>
                <a:cs typeface="+mn-cs"/>
              </a:rPr>
              <a:t>Research</a:t>
            </a:r>
          </a:p>
          <a:p>
            <a:pPr marL="0" marR="0" lvl="0" indent="0" algn="r" defTabSz="914400" eaLnBrk="1" fontAlgn="auto" latinLnBrk="0" hangingPunct="1">
              <a:lnSpc>
                <a:spcPct val="100000"/>
              </a:lnSpc>
              <a:spcBef>
                <a:spcPts val="0"/>
              </a:spcBef>
              <a:spcAft>
                <a:spcPts val="0"/>
              </a:spcAft>
              <a:buClrTx/>
              <a:buSzTx/>
              <a:buFontTx/>
              <a:buNone/>
              <a:tabLst/>
              <a:defRPr/>
            </a:pPr>
            <a:r>
              <a:rPr lang="en-US" sz="1400" b="1">
                <a:solidFill>
                  <a:schemeClr val="bg1"/>
                </a:solidFill>
                <a:latin typeface="Georgia" panose="02040502050405020303" pitchFamily="18" charset="0"/>
                <a:ea typeface="+mn-ea"/>
                <a:cs typeface="+mn-cs"/>
              </a:rPr>
              <a:t>(by</a:t>
            </a:r>
            <a:r>
              <a:rPr lang="en-US" sz="1400" b="1" baseline="0">
                <a:solidFill>
                  <a:schemeClr val="bg1"/>
                </a:solidFill>
                <a:latin typeface="Georgia" panose="02040502050405020303" pitchFamily="18" charset="0"/>
                <a:ea typeface="+mn-ea"/>
                <a:cs typeface="+mn-cs"/>
              </a:rPr>
              <a:t> Institution)</a:t>
            </a:r>
            <a:endParaRPr lang="en-US" sz="1400" b="1">
              <a:solidFill>
                <a:schemeClr val="bg1"/>
              </a:solidFill>
              <a:latin typeface="Georgia" panose="02040502050405020303" pitchFamily="18" charset="0"/>
              <a:ea typeface="+mn-ea"/>
              <a:cs typeface="+mn-cs"/>
            </a:endParaRPr>
          </a:p>
        </xdr:txBody>
      </xdr:sp>
      <xdr:sp macro="" textlink="">
        <xdr:nvSpPr>
          <xdr:cNvPr id="35" name="Rectangle: Rounded Corners 34">
            <a:hlinkClick xmlns:r="http://schemas.openxmlformats.org/officeDocument/2006/relationships" r:id="rId8"/>
            <a:extLst>
              <a:ext uri="{FF2B5EF4-FFF2-40B4-BE49-F238E27FC236}">
                <a16:creationId xmlns:a16="http://schemas.microsoft.com/office/drawing/2014/main" id="{60EB730B-800F-7DAB-0F1E-28550063B625}"/>
              </a:ext>
            </a:extLst>
          </xdr:cNvPr>
          <xdr:cNvSpPr/>
        </xdr:nvSpPr>
        <xdr:spPr>
          <a:xfrm>
            <a:off x="163250" y="3606550"/>
            <a:ext cx="2928321" cy="813319"/>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algn="r"/>
            <a:r>
              <a:rPr lang="en-US" sz="1400" b="1">
                <a:solidFill>
                  <a:schemeClr val="bg1"/>
                </a:solidFill>
                <a:latin typeface="Georgia" panose="02040502050405020303" pitchFamily="18" charset="0"/>
                <a:ea typeface="+mn-ea"/>
                <a:cs typeface="+mn-cs"/>
              </a:rPr>
              <a:t>Summary</a:t>
            </a:r>
          </a:p>
          <a:p>
            <a:pPr algn="r"/>
            <a:r>
              <a:rPr lang="en-US" sz="1400" b="1">
                <a:solidFill>
                  <a:schemeClr val="bg1"/>
                </a:solidFill>
                <a:latin typeface="Georgia" panose="02040502050405020303" pitchFamily="18" charset="0"/>
                <a:ea typeface="+mn-ea"/>
                <a:cs typeface="+mn-cs"/>
              </a:rPr>
              <a:t>(by</a:t>
            </a:r>
            <a:r>
              <a:rPr lang="en-US" sz="1400" b="1" baseline="0">
                <a:solidFill>
                  <a:schemeClr val="bg1"/>
                </a:solidFill>
                <a:latin typeface="Georgia" panose="02040502050405020303" pitchFamily="18" charset="0"/>
                <a:ea typeface="+mn-ea"/>
                <a:cs typeface="+mn-cs"/>
              </a:rPr>
              <a:t> System)</a:t>
            </a:r>
            <a:endParaRPr lang="en-US" sz="1400" b="1">
              <a:solidFill>
                <a:schemeClr val="bg1"/>
              </a:solidFill>
              <a:latin typeface="Georgia" panose="02040502050405020303" pitchFamily="18" charset="0"/>
              <a:ea typeface="+mn-ea"/>
              <a:cs typeface="+mn-cs"/>
            </a:endParaRPr>
          </a:p>
        </xdr:txBody>
      </xdr:sp>
      <xdr:sp macro="" textlink="">
        <xdr:nvSpPr>
          <xdr:cNvPr id="36" name="Rectangle: Rounded Corners 35">
            <a:hlinkClick xmlns:r="http://schemas.openxmlformats.org/officeDocument/2006/relationships" r:id="rId9"/>
            <a:extLst>
              <a:ext uri="{FF2B5EF4-FFF2-40B4-BE49-F238E27FC236}">
                <a16:creationId xmlns:a16="http://schemas.microsoft.com/office/drawing/2014/main" id="{4E794148-8304-E6D1-B0C6-62F29D844A79}"/>
              </a:ext>
            </a:extLst>
          </xdr:cNvPr>
          <xdr:cNvSpPr/>
        </xdr:nvSpPr>
        <xdr:spPr>
          <a:xfrm>
            <a:off x="163250" y="4483351"/>
            <a:ext cx="2928321" cy="813319"/>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algn="r"/>
            <a:r>
              <a:rPr lang="en-US" sz="1400" b="1">
                <a:solidFill>
                  <a:schemeClr val="bg1"/>
                </a:solidFill>
                <a:latin typeface="Georgia" panose="02040502050405020303" pitchFamily="18" charset="0"/>
                <a:ea typeface="+mn-ea"/>
                <a:cs typeface="+mn-cs"/>
              </a:rPr>
              <a:t>Summary </a:t>
            </a:r>
          </a:p>
          <a:p>
            <a:pPr algn="r"/>
            <a:r>
              <a:rPr lang="en-US" sz="1400" b="1">
                <a:solidFill>
                  <a:schemeClr val="bg1"/>
                </a:solidFill>
                <a:latin typeface="Georgia" panose="02040502050405020303" pitchFamily="18" charset="0"/>
                <a:ea typeface="+mn-ea"/>
                <a:cs typeface="+mn-cs"/>
              </a:rPr>
              <a:t>(by Institution Type)</a:t>
            </a:r>
          </a:p>
        </xdr:txBody>
      </xdr:sp>
      <xdr:sp macro="" textlink="">
        <xdr:nvSpPr>
          <xdr:cNvPr id="37" name="Rectangle: Rounded Corners 36">
            <a:hlinkClick xmlns:r="http://schemas.openxmlformats.org/officeDocument/2006/relationships" r:id="rId10"/>
            <a:extLst>
              <a:ext uri="{FF2B5EF4-FFF2-40B4-BE49-F238E27FC236}">
                <a16:creationId xmlns:a16="http://schemas.microsoft.com/office/drawing/2014/main" id="{8A1E7BD0-0F7B-E4DF-D5B0-5E75241388DE}"/>
              </a:ext>
            </a:extLst>
          </xdr:cNvPr>
          <xdr:cNvSpPr/>
        </xdr:nvSpPr>
        <xdr:spPr>
          <a:xfrm>
            <a:off x="163250" y="6229423"/>
            <a:ext cx="2928321" cy="813319"/>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algn="r"/>
            <a:r>
              <a:rPr lang="en-US" sz="1400" b="1">
                <a:solidFill>
                  <a:schemeClr val="bg1"/>
                </a:solidFill>
                <a:latin typeface="Georgia" panose="02040502050405020303" pitchFamily="18" charset="0"/>
                <a:ea typeface="+mn-ea"/>
                <a:cs typeface="+mn-cs"/>
              </a:rPr>
              <a:t>Source of Funds</a:t>
            </a:r>
          </a:p>
        </xdr:txBody>
      </xdr:sp>
      <xdr:pic>
        <xdr:nvPicPr>
          <xdr:cNvPr id="38" name="Graphic 37" descr="Home with solid fill">
            <a:hlinkClick xmlns:r="http://schemas.openxmlformats.org/officeDocument/2006/relationships" r:id="rId1"/>
            <a:extLst>
              <a:ext uri="{FF2B5EF4-FFF2-40B4-BE49-F238E27FC236}">
                <a16:creationId xmlns:a16="http://schemas.microsoft.com/office/drawing/2014/main" id="{B3B981AE-6659-5AB5-18A7-A8C1997CD87C}"/>
              </a:ext>
            </a:extLst>
          </xdr:cNvPr>
          <xdr:cNvPicPr>
            <a:picLocks noChangeAspect="1"/>
          </xdr:cNvPicPr>
        </xdr:nvPicPr>
        <xdr:blipFill>
          <a:blip xmlns:r="http://schemas.openxmlformats.org/officeDocument/2006/relationships" r:embed="rId11">
            <a:extLst>
              <a:ext uri="{96DAC541-7B7A-43D3-8B79-37D633B846F1}">
                <asvg:svgBlip xmlns:asvg="http://schemas.microsoft.com/office/drawing/2016/SVG/main" r:embed="rId12"/>
              </a:ext>
            </a:extLst>
          </a:blip>
          <a:stretch>
            <a:fillRect/>
          </a:stretch>
        </xdr:blipFill>
        <xdr:spPr>
          <a:xfrm>
            <a:off x="265494" y="99001"/>
            <a:ext cx="776889" cy="755704"/>
          </a:xfrm>
          <a:prstGeom prst="rect">
            <a:avLst/>
          </a:prstGeom>
        </xdr:spPr>
      </xdr:pic>
      <xdr:pic>
        <xdr:nvPicPr>
          <xdr:cNvPr id="39" name="Graphic 38" descr="Address Book with solid fill">
            <a:hlinkClick xmlns:r="http://schemas.openxmlformats.org/officeDocument/2006/relationships" r:id="rId2"/>
            <a:extLst>
              <a:ext uri="{FF2B5EF4-FFF2-40B4-BE49-F238E27FC236}">
                <a16:creationId xmlns:a16="http://schemas.microsoft.com/office/drawing/2014/main" id="{3D0705E9-3756-C664-7330-73E1DB955062}"/>
              </a:ext>
            </a:extLst>
          </xdr:cNvPr>
          <xdr:cNvPicPr>
            <a:picLocks noChangeAspect="1"/>
          </xdr:cNvPicPr>
        </xdr:nvPicPr>
        <xdr:blipFill>
          <a:blip xmlns:r="http://schemas.openxmlformats.org/officeDocument/2006/relationships" r:embed="rId13">
            <a:extLst>
              <a:ext uri="{96DAC541-7B7A-43D3-8B79-37D633B846F1}">
                <asvg:svgBlip xmlns:asvg="http://schemas.microsoft.com/office/drawing/2016/SVG/main" r:embed="rId14"/>
              </a:ext>
            </a:extLst>
          </a:blip>
          <a:stretch>
            <a:fillRect/>
          </a:stretch>
        </xdr:blipFill>
        <xdr:spPr>
          <a:xfrm>
            <a:off x="265494" y="991919"/>
            <a:ext cx="757011" cy="759464"/>
          </a:xfrm>
          <a:prstGeom prst="rect">
            <a:avLst/>
          </a:prstGeom>
        </xdr:spPr>
      </xdr:pic>
      <xdr:pic>
        <xdr:nvPicPr>
          <xdr:cNvPr id="40" name="Graphic 39" descr="Closed book with solid fill">
            <a:hlinkClick xmlns:r="http://schemas.openxmlformats.org/officeDocument/2006/relationships" r:id="rId3"/>
            <a:extLst>
              <a:ext uri="{FF2B5EF4-FFF2-40B4-BE49-F238E27FC236}">
                <a16:creationId xmlns:a16="http://schemas.microsoft.com/office/drawing/2014/main" id="{30044AE3-B1A4-7F89-6369-D96D89E2A6B6}"/>
              </a:ext>
            </a:extLst>
          </xdr:cNvPr>
          <xdr:cNvPicPr>
            <a:picLocks noChangeAspect="1"/>
          </xdr:cNvPicPr>
        </xdr:nvPicPr>
        <xdr:blipFill>
          <a:blip xmlns:r="http://schemas.openxmlformats.org/officeDocument/2006/relationships" r:embed="rId15">
            <a:extLst>
              <a:ext uri="{96DAC541-7B7A-43D3-8B79-37D633B846F1}">
                <asvg:svgBlip xmlns:asvg="http://schemas.microsoft.com/office/drawing/2016/SVG/main" r:embed="rId16"/>
              </a:ext>
            </a:extLst>
          </a:blip>
          <a:stretch>
            <a:fillRect/>
          </a:stretch>
        </xdr:blipFill>
        <xdr:spPr>
          <a:xfrm>
            <a:off x="265494" y="1870876"/>
            <a:ext cx="757011" cy="751085"/>
          </a:xfrm>
          <a:prstGeom prst="rect">
            <a:avLst/>
          </a:prstGeom>
        </xdr:spPr>
      </xdr:pic>
      <xdr:pic>
        <xdr:nvPicPr>
          <xdr:cNvPr id="41" name="Graphic 40" descr="Books on shelf with solid fill">
            <a:hlinkClick xmlns:r="http://schemas.openxmlformats.org/officeDocument/2006/relationships" r:id="rId4"/>
            <a:extLst>
              <a:ext uri="{FF2B5EF4-FFF2-40B4-BE49-F238E27FC236}">
                <a16:creationId xmlns:a16="http://schemas.microsoft.com/office/drawing/2014/main" id="{6A2BFE7C-0150-23A0-BDF8-1F3644361B95}"/>
              </a:ext>
            </a:extLst>
          </xdr:cNvPr>
          <xdr:cNvPicPr>
            <a:picLocks noChangeAspect="1"/>
          </xdr:cNvPicPr>
        </xdr:nvPicPr>
        <xdr:blipFill>
          <a:blip xmlns:r="http://schemas.openxmlformats.org/officeDocument/2006/relationships" r:embed="rId17">
            <a:extLst>
              <a:ext uri="{96DAC541-7B7A-43D3-8B79-37D633B846F1}">
                <asvg:svgBlip xmlns:asvg="http://schemas.microsoft.com/office/drawing/2016/SVG/main" r:embed="rId18"/>
              </a:ext>
            </a:extLst>
          </a:blip>
          <a:stretch>
            <a:fillRect/>
          </a:stretch>
        </xdr:blipFill>
        <xdr:spPr>
          <a:xfrm>
            <a:off x="265494" y="5377021"/>
            <a:ext cx="767054" cy="759543"/>
          </a:xfrm>
          <a:prstGeom prst="rect">
            <a:avLst/>
          </a:prstGeom>
        </xdr:spPr>
      </xdr:pic>
      <xdr:pic>
        <xdr:nvPicPr>
          <xdr:cNvPr id="42" name="Graphic 41" descr="Users with solid fill">
            <a:hlinkClick xmlns:r="http://schemas.openxmlformats.org/officeDocument/2006/relationships" r:id="rId5"/>
            <a:extLst>
              <a:ext uri="{FF2B5EF4-FFF2-40B4-BE49-F238E27FC236}">
                <a16:creationId xmlns:a16="http://schemas.microsoft.com/office/drawing/2014/main" id="{AB51CADE-137A-F0A8-08AF-8B0793DF2B0A}"/>
              </a:ext>
            </a:extLst>
          </xdr:cNvPr>
          <xdr:cNvPicPr>
            <a:picLocks noChangeAspect="1"/>
          </xdr:cNvPicPr>
        </xdr:nvPicPr>
        <xdr:blipFill>
          <a:blip xmlns:r="http://schemas.openxmlformats.org/officeDocument/2006/relationships" r:embed="rId19">
            <a:extLst>
              <a:ext uri="{96DAC541-7B7A-43D3-8B79-37D633B846F1}">
                <asvg:svgBlip xmlns:asvg="http://schemas.microsoft.com/office/drawing/2016/SVG/main" r:embed="rId20"/>
              </a:ext>
            </a:extLst>
          </a:blip>
          <a:stretch>
            <a:fillRect/>
          </a:stretch>
        </xdr:blipFill>
        <xdr:spPr>
          <a:xfrm>
            <a:off x="265494" y="8038608"/>
            <a:ext cx="766757" cy="756332"/>
          </a:xfrm>
          <a:prstGeom prst="rect">
            <a:avLst/>
          </a:prstGeom>
        </xdr:spPr>
      </xdr:pic>
      <xdr:pic>
        <xdr:nvPicPr>
          <xdr:cNvPr id="43" name="Graphic 42" descr="Document with solid fill">
            <a:hlinkClick xmlns:r="http://schemas.openxmlformats.org/officeDocument/2006/relationships" r:id="rId6"/>
            <a:extLst>
              <a:ext uri="{FF2B5EF4-FFF2-40B4-BE49-F238E27FC236}">
                <a16:creationId xmlns:a16="http://schemas.microsoft.com/office/drawing/2014/main" id="{086D8E50-7398-EB83-E0D6-69281E9F3B56}"/>
              </a:ext>
            </a:extLst>
          </xdr:cNvPr>
          <xdr:cNvPicPr>
            <a:picLocks noChangeAspect="1"/>
          </xdr:cNvPicPr>
        </xdr:nvPicPr>
        <xdr:blipFill>
          <a:blip xmlns:r="http://schemas.openxmlformats.org/officeDocument/2006/relationships" r:embed="rId21">
            <a:extLst>
              <a:ext uri="{96DAC541-7B7A-43D3-8B79-37D633B846F1}">
                <asvg:svgBlip xmlns:asvg="http://schemas.microsoft.com/office/drawing/2016/SVG/main" r:embed="rId22"/>
              </a:ext>
            </a:extLst>
          </a:blip>
          <a:stretch>
            <a:fillRect/>
          </a:stretch>
        </xdr:blipFill>
        <xdr:spPr>
          <a:xfrm>
            <a:off x="265494" y="7124014"/>
            <a:ext cx="761383" cy="756331"/>
          </a:xfrm>
          <a:prstGeom prst="rect">
            <a:avLst/>
          </a:prstGeom>
        </xdr:spPr>
      </xdr:pic>
      <xdr:pic>
        <xdr:nvPicPr>
          <xdr:cNvPr id="44" name="Graphic 43" descr="Research with solid fill">
            <a:hlinkClick xmlns:r="http://schemas.openxmlformats.org/officeDocument/2006/relationships" r:id="rId7"/>
            <a:extLst>
              <a:ext uri="{FF2B5EF4-FFF2-40B4-BE49-F238E27FC236}">
                <a16:creationId xmlns:a16="http://schemas.microsoft.com/office/drawing/2014/main" id="{62D82F1E-DD8A-F34D-E4EE-84FEC8952FF6}"/>
              </a:ext>
            </a:extLst>
          </xdr:cNvPr>
          <xdr:cNvPicPr>
            <a:picLocks noChangeAspect="1"/>
          </xdr:cNvPicPr>
        </xdr:nvPicPr>
        <xdr:blipFill>
          <a:blip xmlns:r="http://schemas.openxmlformats.org/officeDocument/2006/relationships" r:embed="rId23">
            <a:extLst>
              <a:ext uri="{96DAC541-7B7A-43D3-8B79-37D633B846F1}">
                <asvg:svgBlip xmlns:asvg="http://schemas.microsoft.com/office/drawing/2016/SVG/main" r:embed="rId24"/>
              </a:ext>
            </a:extLst>
          </a:blip>
          <a:srcRect/>
          <a:stretch/>
        </xdr:blipFill>
        <xdr:spPr>
          <a:xfrm>
            <a:off x="265494" y="2759175"/>
            <a:ext cx="760910" cy="727528"/>
          </a:xfrm>
          <a:prstGeom prst="rect">
            <a:avLst/>
          </a:prstGeom>
        </xdr:spPr>
      </xdr:pic>
      <xdr:pic>
        <xdr:nvPicPr>
          <xdr:cNvPr id="45" name="Graphic 44" descr="Hierarchy with solid fill">
            <a:hlinkClick xmlns:r="http://schemas.openxmlformats.org/officeDocument/2006/relationships" r:id="rId8"/>
            <a:extLst>
              <a:ext uri="{FF2B5EF4-FFF2-40B4-BE49-F238E27FC236}">
                <a16:creationId xmlns:a16="http://schemas.microsoft.com/office/drawing/2014/main" id="{EAD058CC-C279-76EB-CFBF-435512D8D787}"/>
              </a:ext>
            </a:extLst>
          </xdr:cNvPr>
          <xdr:cNvPicPr>
            <a:picLocks noChangeAspect="1"/>
          </xdr:cNvPicPr>
        </xdr:nvPicPr>
        <xdr:blipFill>
          <a:blip xmlns:r="http://schemas.openxmlformats.org/officeDocument/2006/relationships" r:embed="rId25">
            <a:extLst>
              <a:ext uri="{96DAC541-7B7A-43D3-8B79-37D633B846F1}">
                <asvg:svgBlip xmlns:asvg="http://schemas.microsoft.com/office/drawing/2016/SVG/main" r:embed="rId26"/>
              </a:ext>
            </a:extLst>
          </a:blip>
          <a:stretch>
            <a:fillRect/>
          </a:stretch>
        </xdr:blipFill>
        <xdr:spPr>
          <a:xfrm>
            <a:off x="265494" y="3597336"/>
            <a:ext cx="754766" cy="755701"/>
          </a:xfrm>
          <a:prstGeom prst="rect">
            <a:avLst/>
          </a:prstGeom>
        </xdr:spPr>
      </xdr:pic>
      <xdr:pic>
        <xdr:nvPicPr>
          <xdr:cNvPr id="46" name="Graphic 45" descr="Postit Notes with solid fill">
            <a:hlinkClick xmlns:r="http://schemas.openxmlformats.org/officeDocument/2006/relationships" r:id="rId9"/>
            <a:extLst>
              <a:ext uri="{FF2B5EF4-FFF2-40B4-BE49-F238E27FC236}">
                <a16:creationId xmlns:a16="http://schemas.microsoft.com/office/drawing/2014/main" id="{0098CC48-69EA-6611-E75B-5ECF8F0C0B2A}"/>
              </a:ext>
            </a:extLst>
          </xdr:cNvPr>
          <xdr:cNvPicPr>
            <a:picLocks noChangeAspect="1"/>
          </xdr:cNvPicPr>
        </xdr:nvPicPr>
        <xdr:blipFill>
          <a:blip xmlns:r="http://schemas.openxmlformats.org/officeDocument/2006/relationships" r:embed="rId27">
            <a:extLst>
              <a:ext uri="{96DAC541-7B7A-43D3-8B79-37D633B846F1}">
                <asvg:svgBlip xmlns:asvg="http://schemas.microsoft.com/office/drawing/2016/SVG/main" r:embed="rId28"/>
              </a:ext>
            </a:extLst>
          </a:blip>
          <a:stretch>
            <a:fillRect/>
          </a:stretch>
        </xdr:blipFill>
        <xdr:spPr>
          <a:xfrm>
            <a:off x="265494" y="4499110"/>
            <a:ext cx="754766" cy="755754"/>
          </a:xfrm>
          <a:prstGeom prst="rect">
            <a:avLst/>
          </a:prstGeom>
        </xdr:spPr>
      </xdr:pic>
      <xdr:pic>
        <xdr:nvPicPr>
          <xdr:cNvPr id="47" name="Graphic 46" descr="Money with solid fill">
            <a:hlinkClick xmlns:r="http://schemas.openxmlformats.org/officeDocument/2006/relationships" r:id="rId10"/>
            <a:extLst>
              <a:ext uri="{FF2B5EF4-FFF2-40B4-BE49-F238E27FC236}">
                <a16:creationId xmlns:a16="http://schemas.microsoft.com/office/drawing/2014/main" id="{AF06AFB5-7A67-A97E-14B3-3090D886D69B}"/>
              </a:ext>
            </a:extLst>
          </xdr:cNvPr>
          <xdr:cNvPicPr>
            <a:picLocks noChangeAspect="1"/>
          </xdr:cNvPicPr>
        </xdr:nvPicPr>
        <xdr:blipFill>
          <a:blip xmlns:r="http://schemas.openxmlformats.org/officeDocument/2006/relationships" r:embed="rId29">
            <a:extLst>
              <a:ext uri="{96DAC541-7B7A-43D3-8B79-37D633B846F1}">
                <asvg:svgBlip xmlns:asvg="http://schemas.microsoft.com/office/drawing/2016/SVG/main" r:embed="rId30"/>
              </a:ext>
            </a:extLst>
          </a:blip>
          <a:srcRect/>
          <a:stretch/>
        </xdr:blipFill>
        <xdr:spPr>
          <a:xfrm>
            <a:off x="265494" y="6235676"/>
            <a:ext cx="767054" cy="733405"/>
          </a:xfrm>
          <a:prstGeom prst="rect">
            <a:avLst/>
          </a:prstGeom>
        </xdr:spPr>
      </xdr:pic>
    </xdr:grp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30480</xdr:colOff>
      <xdr:row>0</xdr:row>
      <xdr:rowOff>30480</xdr:rowOff>
    </xdr:from>
    <xdr:to>
      <xdr:col>5</xdr:col>
      <xdr:colOff>438149</xdr:colOff>
      <xdr:row>23</xdr:row>
      <xdr:rowOff>98709</xdr:rowOff>
    </xdr:to>
    <xdr:grpSp>
      <xdr:nvGrpSpPr>
        <xdr:cNvPr id="25" name="Group 24">
          <a:extLst>
            <a:ext uri="{FF2B5EF4-FFF2-40B4-BE49-F238E27FC236}">
              <a16:creationId xmlns:a16="http://schemas.microsoft.com/office/drawing/2014/main" id="{DA26BCCD-E532-2579-3E39-4D2B345EE475}"/>
            </a:ext>
          </a:extLst>
        </xdr:cNvPr>
        <xdr:cNvGrpSpPr/>
      </xdr:nvGrpSpPr>
      <xdr:grpSpPr>
        <a:xfrm>
          <a:off x="30480" y="30480"/>
          <a:ext cx="3169919" cy="8831229"/>
          <a:chOff x="30480" y="30480"/>
          <a:chExt cx="3188969" cy="8831229"/>
        </a:xfrm>
      </xdr:grpSpPr>
      <xdr:sp macro="" textlink="">
        <xdr:nvSpPr>
          <xdr:cNvPr id="3" name="Rectangle: Rounded Corners 2">
            <a:extLst>
              <a:ext uri="{FF2B5EF4-FFF2-40B4-BE49-F238E27FC236}">
                <a16:creationId xmlns:a16="http://schemas.microsoft.com/office/drawing/2014/main" id="{0C06D086-FA55-C3D2-51D8-6A05D1950196}"/>
              </a:ext>
            </a:extLst>
          </xdr:cNvPr>
          <xdr:cNvSpPr/>
        </xdr:nvSpPr>
        <xdr:spPr>
          <a:xfrm>
            <a:off x="30480" y="30480"/>
            <a:ext cx="3188969" cy="8831229"/>
          </a:xfrm>
          <a:prstGeom prst="roundRect">
            <a:avLst>
              <a:gd name="adj" fmla="val 6618"/>
            </a:avLst>
          </a:prstGeom>
          <a:ln/>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t"/>
          <a:lstStyle/>
          <a:p>
            <a:pPr algn="l"/>
            <a:endParaRPr lang="en-US" sz="1100"/>
          </a:p>
        </xdr:txBody>
      </xdr:sp>
      <xdr:sp macro="" textlink="">
        <xdr:nvSpPr>
          <xdr:cNvPr id="5" name="Rectangle: Rounded Corners 4">
            <a:hlinkClick xmlns:r="http://schemas.openxmlformats.org/officeDocument/2006/relationships" r:id="rId1"/>
            <a:extLst>
              <a:ext uri="{FF2B5EF4-FFF2-40B4-BE49-F238E27FC236}">
                <a16:creationId xmlns:a16="http://schemas.microsoft.com/office/drawing/2014/main" id="{EC81CF87-16FF-260D-3021-1673E756B137}"/>
              </a:ext>
            </a:extLst>
          </xdr:cNvPr>
          <xdr:cNvSpPr/>
        </xdr:nvSpPr>
        <xdr:spPr>
          <a:xfrm>
            <a:off x="163250" y="99344"/>
            <a:ext cx="2928321" cy="813319"/>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lvl="0" algn="r"/>
            <a:r>
              <a:rPr lang="en-US" sz="1400" b="1">
                <a:solidFill>
                  <a:schemeClr val="bg1"/>
                </a:solidFill>
                <a:latin typeface="Georgia" panose="02040502050405020303" pitchFamily="18" charset="0"/>
              </a:rPr>
              <a:t>Table</a:t>
            </a:r>
            <a:r>
              <a:rPr lang="en-US" sz="1400" b="1" baseline="0">
                <a:solidFill>
                  <a:schemeClr val="bg1"/>
                </a:solidFill>
                <a:latin typeface="Georgia" panose="02040502050405020303" pitchFamily="18" charset="0"/>
              </a:rPr>
              <a:t> of Contents</a:t>
            </a:r>
            <a:endParaRPr lang="en-US" sz="1400" b="1">
              <a:solidFill>
                <a:schemeClr val="bg1"/>
              </a:solidFill>
              <a:latin typeface="Georgia" panose="02040502050405020303" pitchFamily="18" charset="0"/>
            </a:endParaRPr>
          </a:p>
        </xdr:txBody>
      </xdr:sp>
      <xdr:sp macro="" textlink="">
        <xdr:nvSpPr>
          <xdr:cNvPr id="6" name="Rectangle: Rounded Corners 5">
            <a:hlinkClick xmlns:r="http://schemas.openxmlformats.org/officeDocument/2006/relationships" r:id="rId2"/>
            <a:extLst>
              <a:ext uri="{FF2B5EF4-FFF2-40B4-BE49-F238E27FC236}">
                <a16:creationId xmlns:a16="http://schemas.microsoft.com/office/drawing/2014/main" id="{FC5F9F21-8886-D49D-C628-F132C8E78F16}"/>
              </a:ext>
            </a:extLst>
          </xdr:cNvPr>
          <xdr:cNvSpPr/>
        </xdr:nvSpPr>
        <xdr:spPr>
          <a:xfrm>
            <a:off x="163250" y="976145"/>
            <a:ext cx="2928321" cy="813319"/>
          </a:xfrm>
          <a:prstGeom prst="roundRect">
            <a:avLst/>
          </a:prstGeom>
          <a:solidFill>
            <a:schemeClr val="accent3"/>
          </a:solidFill>
          <a:ln w="9525">
            <a:solidFill>
              <a:schemeClr val="tx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lang="en-US" sz="1400" b="1">
                <a:solidFill>
                  <a:schemeClr val="tx1"/>
                </a:solidFill>
                <a:latin typeface="Georgia" panose="02040502050405020303" pitchFamily="18" charset="0"/>
                <a:ea typeface="+mn-ea"/>
                <a:cs typeface="+mn-cs"/>
              </a:rPr>
              <a:t>Contact Information</a:t>
            </a:r>
          </a:p>
        </xdr:txBody>
      </xdr:sp>
      <xdr:sp macro="" textlink="">
        <xdr:nvSpPr>
          <xdr:cNvPr id="7" name="Rectangle: Rounded Corners 6">
            <a:hlinkClick xmlns:r="http://schemas.openxmlformats.org/officeDocument/2006/relationships" r:id="rId3"/>
            <a:extLst>
              <a:ext uri="{FF2B5EF4-FFF2-40B4-BE49-F238E27FC236}">
                <a16:creationId xmlns:a16="http://schemas.microsoft.com/office/drawing/2014/main" id="{0D713DC3-489C-4226-286D-F470EE4131B9}"/>
              </a:ext>
            </a:extLst>
          </xdr:cNvPr>
          <xdr:cNvSpPr/>
        </xdr:nvSpPr>
        <xdr:spPr>
          <a:xfrm>
            <a:off x="163250" y="1852947"/>
            <a:ext cx="2928321" cy="813319"/>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lang="en-US" sz="1400" b="1">
                <a:solidFill>
                  <a:schemeClr val="bg1"/>
                </a:solidFill>
                <a:latin typeface="Georgia" panose="02040502050405020303" pitchFamily="18" charset="0"/>
                <a:ea typeface="+mn-ea"/>
                <a:cs typeface="+mn-cs"/>
              </a:rPr>
              <a:t>Research </a:t>
            </a:r>
            <a:r>
              <a:rPr lang="en-US" sz="1400" b="1" baseline="0">
                <a:solidFill>
                  <a:schemeClr val="bg1"/>
                </a:solidFill>
                <a:latin typeface="Georgia" panose="02040502050405020303" pitchFamily="18" charset="0"/>
                <a:ea typeface="+mn-ea"/>
                <a:cs typeface="+mn-cs"/>
              </a:rPr>
              <a:t>Guidance</a:t>
            </a:r>
            <a:endParaRPr lang="en-US" sz="1400" b="1">
              <a:solidFill>
                <a:schemeClr val="bg1"/>
              </a:solidFill>
              <a:latin typeface="Georgia" panose="02040502050405020303" pitchFamily="18" charset="0"/>
              <a:ea typeface="+mn-ea"/>
              <a:cs typeface="+mn-cs"/>
            </a:endParaRPr>
          </a:p>
        </xdr:txBody>
      </xdr:sp>
      <xdr:sp macro="" textlink="">
        <xdr:nvSpPr>
          <xdr:cNvPr id="8" name="Rectangle: Rounded Corners 7">
            <a:hlinkClick xmlns:r="http://schemas.openxmlformats.org/officeDocument/2006/relationships" r:id="rId4"/>
            <a:extLst>
              <a:ext uri="{FF2B5EF4-FFF2-40B4-BE49-F238E27FC236}">
                <a16:creationId xmlns:a16="http://schemas.microsoft.com/office/drawing/2014/main" id="{69B7109C-F88F-88F6-B83E-02D372AE72D6}"/>
              </a:ext>
            </a:extLst>
          </xdr:cNvPr>
          <xdr:cNvSpPr/>
        </xdr:nvSpPr>
        <xdr:spPr>
          <a:xfrm>
            <a:off x="163250" y="5352622"/>
            <a:ext cx="2928321" cy="813319"/>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lang="en-US" sz="1400" b="1">
                <a:solidFill>
                  <a:schemeClr val="bg1"/>
                </a:solidFill>
                <a:latin typeface="Georgia" panose="02040502050405020303" pitchFamily="18" charset="0"/>
                <a:ea typeface="+mn-ea"/>
                <a:cs typeface="+mn-cs"/>
              </a:rPr>
              <a:t>Almanac</a:t>
            </a:r>
          </a:p>
        </xdr:txBody>
      </xdr:sp>
      <xdr:sp macro="" textlink="">
        <xdr:nvSpPr>
          <xdr:cNvPr id="9" name="Rectangle: Rounded Corners 8">
            <a:hlinkClick xmlns:r="http://schemas.openxmlformats.org/officeDocument/2006/relationships" r:id="rId5"/>
            <a:extLst>
              <a:ext uri="{FF2B5EF4-FFF2-40B4-BE49-F238E27FC236}">
                <a16:creationId xmlns:a16="http://schemas.microsoft.com/office/drawing/2014/main" id="{058CEE92-1D11-5830-060C-67EE66FC446E}"/>
              </a:ext>
            </a:extLst>
          </xdr:cNvPr>
          <xdr:cNvSpPr/>
        </xdr:nvSpPr>
        <xdr:spPr>
          <a:xfrm>
            <a:off x="163250" y="7983024"/>
            <a:ext cx="2928321" cy="813319"/>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lang="en-US" sz="1400" b="1">
                <a:solidFill>
                  <a:schemeClr val="bg1"/>
                </a:solidFill>
                <a:latin typeface="Georgia" panose="02040502050405020303" pitchFamily="18" charset="0"/>
                <a:ea typeface="+mn-ea"/>
                <a:cs typeface="+mn-cs"/>
              </a:rPr>
              <a:t>FTSE | FTFE</a:t>
            </a:r>
          </a:p>
        </xdr:txBody>
      </xdr:sp>
      <xdr:sp macro="" textlink="">
        <xdr:nvSpPr>
          <xdr:cNvPr id="10" name="Rectangle: Rounded Corners 9">
            <a:hlinkClick xmlns:r="http://schemas.openxmlformats.org/officeDocument/2006/relationships" r:id="rId6"/>
            <a:extLst>
              <a:ext uri="{FF2B5EF4-FFF2-40B4-BE49-F238E27FC236}">
                <a16:creationId xmlns:a16="http://schemas.microsoft.com/office/drawing/2014/main" id="{DAEF4F23-50CA-EC46-A3BD-8831EAF9BC54}"/>
              </a:ext>
            </a:extLst>
          </xdr:cNvPr>
          <xdr:cNvSpPr/>
        </xdr:nvSpPr>
        <xdr:spPr>
          <a:xfrm>
            <a:off x="163250" y="7106225"/>
            <a:ext cx="2928321" cy="813319"/>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algn="r"/>
            <a:r>
              <a:rPr lang="en-US" sz="1400" b="1">
                <a:solidFill>
                  <a:schemeClr val="bg1"/>
                </a:solidFill>
                <a:latin typeface="Georgia" panose="02040502050405020303" pitchFamily="18" charset="0"/>
                <a:ea typeface="+mn-ea"/>
                <a:cs typeface="+mn-cs"/>
              </a:rPr>
              <a:t>Academic</a:t>
            </a:r>
          </a:p>
          <a:p>
            <a:pPr algn="r"/>
            <a:r>
              <a:rPr lang="en-US" sz="1400" b="1">
                <a:solidFill>
                  <a:schemeClr val="bg1"/>
                </a:solidFill>
                <a:latin typeface="Georgia" panose="02040502050405020303" pitchFamily="18" charset="0"/>
                <a:ea typeface="+mn-ea"/>
                <a:cs typeface="+mn-cs"/>
              </a:rPr>
              <a:t>Space Model</a:t>
            </a:r>
          </a:p>
        </xdr:txBody>
      </xdr:sp>
      <xdr:sp macro="" textlink="">
        <xdr:nvSpPr>
          <xdr:cNvPr id="11" name="Rectangle: Rounded Corners 10">
            <a:hlinkClick xmlns:r="http://schemas.openxmlformats.org/officeDocument/2006/relationships" r:id="rId7"/>
            <a:extLst>
              <a:ext uri="{FF2B5EF4-FFF2-40B4-BE49-F238E27FC236}">
                <a16:creationId xmlns:a16="http://schemas.microsoft.com/office/drawing/2014/main" id="{CD70DC71-8870-F1B1-39A7-22D97F01DEE0}"/>
              </a:ext>
            </a:extLst>
          </xdr:cNvPr>
          <xdr:cNvSpPr/>
        </xdr:nvSpPr>
        <xdr:spPr>
          <a:xfrm>
            <a:off x="163250" y="2729748"/>
            <a:ext cx="2928321" cy="813319"/>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lang="en-US" sz="1400" b="1">
                <a:solidFill>
                  <a:schemeClr val="bg1"/>
                </a:solidFill>
                <a:latin typeface="Georgia" panose="02040502050405020303" pitchFamily="18" charset="0"/>
                <a:ea typeface="+mn-ea"/>
                <a:cs typeface="+mn-cs"/>
              </a:rPr>
              <a:t>Research</a:t>
            </a:r>
          </a:p>
          <a:p>
            <a:pPr marL="0" marR="0" lvl="0" indent="0" algn="r" defTabSz="914400" eaLnBrk="1" fontAlgn="auto" latinLnBrk="0" hangingPunct="1">
              <a:lnSpc>
                <a:spcPct val="100000"/>
              </a:lnSpc>
              <a:spcBef>
                <a:spcPts val="0"/>
              </a:spcBef>
              <a:spcAft>
                <a:spcPts val="0"/>
              </a:spcAft>
              <a:buClrTx/>
              <a:buSzTx/>
              <a:buFontTx/>
              <a:buNone/>
              <a:tabLst/>
              <a:defRPr/>
            </a:pPr>
            <a:r>
              <a:rPr lang="en-US" sz="1400" b="1">
                <a:solidFill>
                  <a:schemeClr val="bg1"/>
                </a:solidFill>
                <a:latin typeface="Georgia" panose="02040502050405020303" pitchFamily="18" charset="0"/>
                <a:ea typeface="+mn-ea"/>
                <a:cs typeface="+mn-cs"/>
              </a:rPr>
              <a:t>(by</a:t>
            </a:r>
            <a:r>
              <a:rPr lang="en-US" sz="1400" b="1" baseline="0">
                <a:solidFill>
                  <a:schemeClr val="bg1"/>
                </a:solidFill>
                <a:latin typeface="Georgia" panose="02040502050405020303" pitchFamily="18" charset="0"/>
                <a:ea typeface="+mn-ea"/>
                <a:cs typeface="+mn-cs"/>
              </a:rPr>
              <a:t> Institution)</a:t>
            </a:r>
            <a:endParaRPr lang="en-US" sz="1400" b="1">
              <a:solidFill>
                <a:schemeClr val="bg1"/>
              </a:solidFill>
              <a:latin typeface="Georgia" panose="02040502050405020303" pitchFamily="18" charset="0"/>
              <a:ea typeface="+mn-ea"/>
              <a:cs typeface="+mn-cs"/>
            </a:endParaRPr>
          </a:p>
        </xdr:txBody>
      </xdr:sp>
      <xdr:sp macro="" textlink="">
        <xdr:nvSpPr>
          <xdr:cNvPr id="12" name="Rectangle: Rounded Corners 11">
            <a:hlinkClick xmlns:r="http://schemas.openxmlformats.org/officeDocument/2006/relationships" r:id="rId8"/>
            <a:extLst>
              <a:ext uri="{FF2B5EF4-FFF2-40B4-BE49-F238E27FC236}">
                <a16:creationId xmlns:a16="http://schemas.microsoft.com/office/drawing/2014/main" id="{EBC01431-3AFD-6B67-B4CE-707F507B3D2F}"/>
              </a:ext>
            </a:extLst>
          </xdr:cNvPr>
          <xdr:cNvSpPr/>
        </xdr:nvSpPr>
        <xdr:spPr>
          <a:xfrm>
            <a:off x="163250" y="3606550"/>
            <a:ext cx="2928321" cy="813319"/>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algn="r"/>
            <a:r>
              <a:rPr lang="en-US" sz="1400" b="1">
                <a:solidFill>
                  <a:schemeClr val="bg1"/>
                </a:solidFill>
                <a:latin typeface="Georgia" panose="02040502050405020303" pitchFamily="18" charset="0"/>
                <a:ea typeface="+mn-ea"/>
                <a:cs typeface="+mn-cs"/>
              </a:rPr>
              <a:t>Summary</a:t>
            </a:r>
          </a:p>
          <a:p>
            <a:pPr algn="r"/>
            <a:r>
              <a:rPr lang="en-US" sz="1400" b="1">
                <a:solidFill>
                  <a:schemeClr val="bg1"/>
                </a:solidFill>
                <a:latin typeface="Georgia" panose="02040502050405020303" pitchFamily="18" charset="0"/>
                <a:ea typeface="+mn-ea"/>
                <a:cs typeface="+mn-cs"/>
              </a:rPr>
              <a:t>(by</a:t>
            </a:r>
            <a:r>
              <a:rPr lang="en-US" sz="1400" b="1" baseline="0">
                <a:solidFill>
                  <a:schemeClr val="bg1"/>
                </a:solidFill>
                <a:latin typeface="Georgia" panose="02040502050405020303" pitchFamily="18" charset="0"/>
                <a:ea typeface="+mn-ea"/>
                <a:cs typeface="+mn-cs"/>
              </a:rPr>
              <a:t> System)</a:t>
            </a:r>
            <a:endParaRPr lang="en-US" sz="1400" b="1">
              <a:solidFill>
                <a:schemeClr val="bg1"/>
              </a:solidFill>
              <a:latin typeface="Georgia" panose="02040502050405020303" pitchFamily="18" charset="0"/>
              <a:ea typeface="+mn-ea"/>
              <a:cs typeface="+mn-cs"/>
            </a:endParaRPr>
          </a:p>
        </xdr:txBody>
      </xdr:sp>
      <xdr:sp macro="" textlink="">
        <xdr:nvSpPr>
          <xdr:cNvPr id="13" name="Rectangle: Rounded Corners 12">
            <a:hlinkClick xmlns:r="http://schemas.openxmlformats.org/officeDocument/2006/relationships" r:id="rId9"/>
            <a:extLst>
              <a:ext uri="{FF2B5EF4-FFF2-40B4-BE49-F238E27FC236}">
                <a16:creationId xmlns:a16="http://schemas.microsoft.com/office/drawing/2014/main" id="{1E0BA54B-6476-30AD-1E1A-A7F35168060B}"/>
              </a:ext>
            </a:extLst>
          </xdr:cNvPr>
          <xdr:cNvSpPr/>
        </xdr:nvSpPr>
        <xdr:spPr>
          <a:xfrm>
            <a:off x="163250" y="4483351"/>
            <a:ext cx="2928321" cy="813319"/>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algn="r"/>
            <a:r>
              <a:rPr lang="en-US" sz="1400" b="1">
                <a:solidFill>
                  <a:schemeClr val="bg1"/>
                </a:solidFill>
                <a:latin typeface="Georgia" panose="02040502050405020303" pitchFamily="18" charset="0"/>
                <a:ea typeface="+mn-ea"/>
                <a:cs typeface="+mn-cs"/>
              </a:rPr>
              <a:t>Summary </a:t>
            </a:r>
          </a:p>
          <a:p>
            <a:pPr algn="r"/>
            <a:r>
              <a:rPr lang="en-US" sz="1400" b="1">
                <a:solidFill>
                  <a:schemeClr val="bg1"/>
                </a:solidFill>
                <a:latin typeface="Georgia" panose="02040502050405020303" pitchFamily="18" charset="0"/>
                <a:ea typeface="+mn-ea"/>
                <a:cs typeface="+mn-cs"/>
              </a:rPr>
              <a:t>(by Institution Type)</a:t>
            </a:r>
          </a:p>
        </xdr:txBody>
      </xdr:sp>
      <xdr:sp macro="" textlink="">
        <xdr:nvSpPr>
          <xdr:cNvPr id="14" name="Rectangle: Rounded Corners 13">
            <a:hlinkClick xmlns:r="http://schemas.openxmlformats.org/officeDocument/2006/relationships" r:id="rId10"/>
            <a:extLst>
              <a:ext uri="{FF2B5EF4-FFF2-40B4-BE49-F238E27FC236}">
                <a16:creationId xmlns:a16="http://schemas.microsoft.com/office/drawing/2014/main" id="{CEFF4F3B-5C69-A917-7FE8-61FDD3EE0008}"/>
              </a:ext>
            </a:extLst>
          </xdr:cNvPr>
          <xdr:cNvSpPr/>
        </xdr:nvSpPr>
        <xdr:spPr>
          <a:xfrm>
            <a:off x="163250" y="6229423"/>
            <a:ext cx="2928321" cy="813319"/>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algn="r"/>
            <a:r>
              <a:rPr lang="en-US" sz="1400" b="1">
                <a:solidFill>
                  <a:schemeClr val="bg1"/>
                </a:solidFill>
                <a:latin typeface="Georgia" panose="02040502050405020303" pitchFamily="18" charset="0"/>
                <a:ea typeface="+mn-ea"/>
                <a:cs typeface="+mn-cs"/>
              </a:rPr>
              <a:t>Source of Funds</a:t>
            </a:r>
          </a:p>
        </xdr:txBody>
      </xdr:sp>
      <xdr:pic>
        <xdr:nvPicPr>
          <xdr:cNvPr id="15" name="Graphic 14" descr="Home with solid fill">
            <a:hlinkClick xmlns:r="http://schemas.openxmlformats.org/officeDocument/2006/relationships" r:id="rId1"/>
            <a:extLst>
              <a:ext uri="{FF2B5EF4-FFF2-40B4-BE49-F238E27FC236}">
                <a16:creationId xmlns:a16="http://schemas.microsoft.com/office/drawing/2014/main" id="{D6EDFDC1-6BE0-4459-8573-DC160272E4DC}"/>
              </a:ext>
            </a:extLst>
          </xdr:cNvPr>
          <xdr:cNvPicPr>
            <a:picLocks noChangeAspect="1"/>
          </xdr:cNvPicPr>
        </xdr:nvPicPr>
        <xdr:blipFill>
          <a:blip xmlns:r="http://schemas.openxmlformats.org/officeDocument/2006/relationships" r:embed="rId11">
            <a:extLst>
              <a:ext uri="{96DAC541-7B7A-43D3-8B79-37D633B846F1}">
                <asvg:svgBlip xmlns:asvg="http://schemas.microsoft.com/office/drawing/2016/SVG/main" r:embed="rId12"/>
              </a:ext>
            </a:extLst>
          </a:blip>
          <a:stretch>
            <a:fillRect/>
          </a:stretch>
        </xdr:blipFill>
        <xdr:spPr>
          <a:xfrm>
            <a:off x="265494" y="99001"/>
            <a:ext cx="776889" cy="755704"/>
          </a:xfrm>
          <a:prstGeom prst="rect">
            <a:avLst/>
          </a:prstGeom>
        </xdr:spPr>
      </xdr:pic>
      <xdr:pic>
        <xdr:nvPicPr>
          <xdr:cNvPr id="16" name="Graphic 15" descr="Address Book with solid fill">
            <a:hlinkClick xmlns:r="http://schemas.openxmlformats.org/officeDocument/2006/relationships" r:id="rId2"/>
            <a:extLst>
              <a:ext uri="{FF2B5EF4-FFF2-40B4-BE49-F238E27FC236}">
                <a16:creationId xmlns:a16="http://schemas.microsoft.com/office/drawing/2014/main" id="{F027927A-CEE6-16C9-394D-BE907CC75835}"/>
              </a:ext>
            </a:extLst>
          </xdr:cNvPr>
          <xdr:cNvPicPr>
            <a:picLocks noChangeAspect="1"/>
          </xdr:cNvPicPr>
        </xdr:nvPicPr>
        <xdr:blipFill>
          <a:blip xmlns:r="http://schemas.openxmlformats.org/officeDocument/2006/relationships" r:embed="rId13">
            <a:extLst>
              <a:ext uri="{96DAC541-7B7A-43D3-8B79-37D633B846F1}">
                <asvg:svgBlip xmlns:asvg="http://schemas.microsoft.com/office/drawing/2016/SVG/main" r:embed="rId14"/>
              </a:ext>
            </a:extLst>
          </a:blip>
          <a:stretch>
            <a:fillRect/>
          </a:stretch>
        </xdr:blipFill>
        <xdr:spPr>
          <a:xfrm>
            <a:off x="265494" y="991919"/>
            <a:ext cx="757011" cy="759464"/>
          </a:xfrm>
          <a:prstGeom prst="rect">
            <a:avLst/>
          </a:prstGeom>
        </xdr:spPr>
      </xdr:pic>
      <xdr:pic>
        <xdr:nvPicPr>
          <xdr:cNvPr id="17" name="Graphic 16" descr="Closed book with solid fill">
            <a:hlinkClick xmlns:r="http://schemas.openxmlformats.org/officeDocument/2006/relationships" r:id="rId3"/>
            <a:extLst>
              <a:ext uri="{FF2B5EF4-FFF2-40B4-BE49-F238E27FC236}">
                <a16:creationId xmlns:a16="http://schemas.microsoft.com/office/drawing/2014/main" id="{956FC77D-53C0-CE4F-94C9-43F3F95DC26B}"/>
              </a:ext>
            </a:extLst>
          </xdr:cNvPr>
          <xdr:cNvPicPr>
            <a:picLocks noChangeAspect="1"/>
          </xdr:cNvPicPr>
        </xdr:nvPicPr>
        <xdr:blipFill>
          <a:blip xmlns:r="http://schemas.openxmlformats.org/officeDocument/2006/relationships" r:embed="rId15">
            <a:extLst>
              <a:ext uri="{96DAC541-7B7A-43D3-8B79-37D633B846F1}">
                <asvg:svgBlip xmlns:asvg="http://schemas.microsoft.com/office/drawing/2016/SVG/main" r:embed="rId16"/>
              </a:ext>
            </a:extLst>
          </a:blip>
          <a:stretch>
            <a:fillRect/>
          </a:stretch>
        </xdr:blipFill>
        <xdr:spPr>
          <a:xfrm>
            <a:off x="265494" y="1870876"/>
            <a:ext cx="757011" cy="751085"/>
          </a:xfrm>
          <a:prstGeom prst="rect">
            <a:avLst/>
          </a:prstGeom>
        </xdr:spPr>
      </xdr:pic>
      <xdr:pic>
        <xdr:nvPicPr>
          <xdr:cNvPr id="18" name="Graphic 17" descr="Books on shelf with solid fill">
            <a:hlinkClick xmlns:r="http://schemas.openxmlformats.org/officeDocument/2006/relationships" r:id="rId4"/>
            <a:extLst>
              <a:ext uri="{FF2B5EF4-FFF2-40B4-BE49-F238E27FC236}">
                <a16:creationId xmlns:a16="http://schemas.microsoft.com/office/drawing/2014/main" id="{E51918DF-E741-C694-DF59-5AE8201E2EF9}"/>
              </a:ext>
            </a:extLst>
          </xdr:cNvPr>
          <xdr:cNvPicPr>
            <a:picLocks noChangeAspect="1"/>
          </xdr:cNvPicPr>
        </xdr:nvPicPr>
        <xdr:blipFill>
          <a:blip xmlns:r="http://schemas.openxmlformats.org/officeDocument/2006/relationships" r:embed="rId17">
            <a:extLst>
              <a:ext uri="{96DAC541-7B7A-43D3-8B79-37D633B846F1}">
                <asvg:svgBlip xmlns:asvg="http://schemas.microsoft.com/office/drawing/2016/SVG/main" r:embed="rId18"/>
              </a:ext>
            </a:extLst>
          </a:blip>
          <a:stretch>
            <a:fillRect/>
          </a:stretch>
        </xdr:blipFill>
        <xdr:spPr>
          <a:xfrm>
            <a:off x="265494" y="5377021"/>
            <a:ext cx="767054" cy="759543"/>
          </a:xfrm>
          <a:prstGeom prst="rect">
            <a:avLst/>
          </a:prstGeom>
        </xdr:spPr>
      </xdr:pic>
      <xdr:pic>
        <xdr:nvPicPr>
          <xdr:cNvPr id="19" name="Graphic 18" descr="Users with solid fill">
            <a:hlinkClick xmlns:r="http://schemas.openxmlformats.org/officeDocument/2006/relationships" r:id="rId5"/>
            <a:extLst>
              <a:ext uri="{FF2B5EF4-FFF2-40B4-BE49-F238E27FC236}">
                <a16:creationId xmlns:a16="http://schemas.microsoft.com/office/drawing/2014/main" id="{BF3ACB44-53B1-4F9A-745A-3449BF40C85A}"/>
              </a:ext>
            </a:extLst>
          </xdr:cNvPr>
          <xdr:cNvPicPr>
            <a:picLocks noChangeAspect="1"/>
          </xdr:cNvPicPr>
        </xdr:nvPicPr>
        <xdr:blipFill>
          <a:blip xmlns:r="http://schemas.openxmlformats.org/officeDocument/2006/relationships" r:embed="rId19">
            <a:extLst>
              <a:ext uri="{96DAC541-7B7A-43D3-8B79-37D633B846F1}">
                <asvg:svgBlip xmlns:asvg="http://schemas.microsoft.com/office/drawing/2016/SVG/main" r:embed="rId20"/>
              </a:ext>
            </a:extLst>
          </a:blip>
          <a:stretch>
            <a:fillRect/>
          </a:stretch>
        </xdr:blipFill>
        <xdr:spPr>
          <a:xfrm>
            <a:off x="265494" y="8038608"/>
            <a:ext cx="766757" cy="756332"/>
          </a:xfrm>
          <a:prstGeom prst="rect">
            <a:avLst/>
          </a:prstGeom>
        </xdr:spPr>
      </xdr:pic>
      <xdr:pic>
        <xdr:nvPicPr>
          <xdr:cNvPr id="20" name="Graphic 19" descr="Document with solid fill">
            <a:hlinkClick xmlns:r="http://schemas.openxmlformats.org/officeDocument/2006/relationships" r:id="rId6"/>
            <a:extLst>
              <a:ext uri="{FF2B5EF4-FFF2-40B4-BE49-F238E27FC236}">
                <a16:creationId xmlns:a16="http://schemas.microsoft.com/office/drawing/2014/main" id="{B32333AF-A188-66EC-907D-9D76495CE85F}"/>
              </a:ext>
            </a:extLst>
          </xdr:cNvPr>
          <xdr:cNvPicPr>
            <a:picLocks noChangeAspect="1"/>
          </xdr:cNvPicPr>
        </xdr:nvPicPr>
        <xdr:blipFill>
          <a:blip xmlns:r="http://schemas.openxmlformats.org/officeDocument/2006/relationships" r:embed="rId21">
            <a:extLst>
              <a:ext uri="{96DAC541-7B7A-43D3-8B79-37D633B846F1}">
                <asvg:svgBlip xmlns:asvg="http://schemas.microsoft.com/office/drawing/2016/SVG/main" r:embed="rId22"/>
              </a:ext>
            </a:extLst>
          </a:blip>
          <a:stretch>
            <a:fillRect/>
          </a:stretch>
        </xdr:blipFill>
        <xdr:spPr>
          <a:xfrm>
            <a:off x="265494" y="7124014"/>
            <a:ext cx="761383" cy="756331"/>
          </a:xfrm>
          <a:prstGeom prst="rect">
            <a:avLst/>
          </a:prstGeom>
        </xdr:spPr>
      </xdr:pic>
      <xdr:pic>
        <xdr:nvPicPr>
          <xdr:cNvPr id="21" name="Graphic 20" descr="Research with solid fill">
            <a:hlinkClick xmlns:r="http://schemas.openxmlformats.org/officeDocument/2006/relationships" r:id="rId7"/>
            <a:extLst>
              <a:ext uri="{FF2B5EF4-FFF2-40B4-BE49-F238E27FC236}">
                <a16:creationId xmlns:a16="http://schemas.microsoft.com/office/drawing/2014/main" id="{4148C5CE-20A7-A693-6FF9-E4FA400A8B61}"/>
              </a:ext>
            </a:extLst>
          </xdr:cNvPr>
          <xdr:cNvPicPr>
            <a:picLocks noChangeAspect="1"/>
          </xdr:cNvPicPr>
        </xdr:nvPicPr>
        <xdr:blipFill>
          <a:blip xmlns:r="http://schemas.openxmlformats.org/officeDocument/2006/relationships" r:embed="rId23">
            <a:extLst>
              <a:ext uri="{96DAC541-7B7A-43D3-8B79-37D633B846F1}">
                <asvg:svgBlip xmlns:asvg="http://schemas.microsoft.com/office/drawing/2016/SVG/main" r:embed="rId24"/>
              </a:ext>
            </a:extLst>
          </a:blip>
          <a:srcRect/>
          <a:stretch/>
        </xdr:blipFill>
        <xdr:spPr>
          <a:xfrm>
            <a:off x="265494" y="2759175"/>
            <a:ext cx="760910" cy="727528"/>
          </a:xfrm>
          <a:prstGeom prst="rect">
            <a:avLst/>
          </a:prstGeom>
        </xdr:spPr>
      </xdr:pic>
      <xdr:pic>
        <xdr:nvPicPr>
          <xdr:cNvPr id="22" name="Graphic 21" descr="Hierarchy with solid fill">
            <a:hlinkClick xmlns:r="http://schemas.openxmlformats.org/officeDocument/2006/relationships" r:id="rId8"/>
            <a:extLst>
              <a:ext uri="{FF2B5EF4-FFF2-40B4-BE49-F238E27FC236}">
                <a16:creationId xmlns:a16="http://schemas.microsoft.com/office/drawing/2014/main" id="{FE37CEDC-92FD-07ED-8891-40974A47C68C}"/>
              </a:ext>
            </a:extLst>
          </xdr:cNvPr>
          <xdr:cNvPicPr>
            <a:picLocks noChangeAspect="1"/>
          </xdr:cNvPicPr>
        </xdr:nvPicPr>
        <xdr:blipFill>
          <a:blip xmlns:r="http://schemas.openxmlformats.org/officeDocument/2006/relationships" r:embed="rId25">
            <a:extLst>
              <a:ext uri="{96DAC541-7B7A-43D3-8B79-37D633B846F1}">
                <asvg:svgBlip xmlns:asvg="http://schemas.microsoft.com/office/drawing/2016/SVG/main" r:embed="rId26"/>
              </a:ext>
            </a:extLst>
          </a:blip>
          <a:stretch>
            <a:fillRect/>
          </a:stretch>
        </xdr:blipFill>
        <xdr:spPr>
          <a:xfrm>
            <a:off x="265494" y="3597336"/>
            <a:ext cx="754766" cy="755701"/>
          </a:xfrm>
          <a:prstGeom prst="rect">
            <a:avLst/>
          </a:prstGeom>
        </xdr:spPr>
      </xdr:pic>
      <xdr:pic>
        <xdr:nvPicPr>
          <xdr:cNvPr id="23" name="Graphic 22" descr="Postit Notes with solid fill">
            <a:hlinkClick xmlns:r="http://schemas.openxmlformats.org/officeDocument/2006/relationships" r:id="rId9"/>
            <a:extLst>
              <a:ext uri="{FF2B5EF4-FFF2-40B4-BE49-F238E27FC236}">
                <a16:creationId xmlns:a16="http://schemas.microsoft.com/office/drawing/2014/main" id="{C303BF98-175B-25A0-7017-3E17DE261AA0}"/>
              </a:ext>
            </a:extLst>
          </xdr:cNvPr>
          <xdr:cNvPicPr>
            <a:picLocks noChangeAspect="1"/>
          </xdr:cNvPicPr>
        </xdr:nvPicPr>
        <xdr:blipFill>
          <a:blip xmlns:r="http://schemas.openxmlformats.org/officeDocument/2006/relationships" r:embed="rId27">
            <a:extLst>
              <a:ext uri="{96DAC541-7B7A-43D3-8B79-37D633B846F1}">
                <asvg:svgBlip xmlns:asvg="http://schemas.microsoft.com/office/drawing/2016/SVG/main" r:embed="rId28"/>
              </a:ext>
            </a:extLst>
          </a:blip>
          <a:stretch>
            <a:fillRect/>
          </a:stretch>
        </xdr:blipFill>
        <xdr:spPr>
          <a:xfrm>
            <a:off x="265494" y="4499110"/>
            <a:ext cx="754766" cy="755754"/>
          </a:xfrm>
          <a:prstGeom prst="rect">
            <a:avLst/>
          </a:prstGeom>
        </xdr:spPr>
      </xdr:pic>
      <xdr:pic>
        <xdr:nvPicPr>
          <xdr:cNvPr id="24" name="Graphic 23" descr="Money with solid fill">
            <a:hlinkClick xmlns:r="http://schemas.openxmlformats.org/officeDocument/2006/relationships" r:id="rId10"/>
            <a:extLst>
              <a:ext uri="{FF2B5EF4-FFF2-40B4-BE49-F238E27FC236}">
                <a16:creationId xmlns:a16="http://schemas.microsoft.com/office/drawing/2014/main" id="{76D39604-7DF2-47AC-88C8-1431ECB8B9B2}"/>
              </a:ext>
            </a:extLst>
          </xdr:cNvPr>
          <xdr:cNvPicPr>
            <a:picLocks noChangeAspect="1"/>
          </xdr:cNvPicPr>
        </xdr:nvPicPr>
        <xdr:blipFill>
          <a:blip xmlns:r="http://schemas.openxmlformats.org/officeDocument/2006/relationships" r:embed="rId29">
            <a:extLst>
              <a:ext uri="{96DAC541-7B7A-43D3-8B79-37D633B846F1}">
                <asvg:svgBlip xmlns:asvg="http://schemas.microsoft.com/office/drawing/2016/SVG/main" r:embed="rId30"/>
              </a:ext>
            </a:extLst>
          </a:blip>
          <a:srcRect/>
          <a:stretch/>
        </xdr:blipFill>
        <xdr:spPr>
          <a:xfrm>
            <a:off x="265494" y="6235676"/>
            <a:ext cx="767054" cy="733405"/>
          </a:xfrm>
          <a:prstGeom prst="rect">
            <a:avLst/>
          </a:prstGeom>
        </xdr:spPr>
      </xdr:pic>
    </xdr:grp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30480</xdr:colOff>
      <xdr:row>0</xdr:row>
      <xdr:rowOff>30480</xdr:rowOff>
    </xdr:from>
    <xdr:to>
      <xdr:col>5</xdr:col>
      <xdr:colOff>438149</xdr:colOff>
      <xdr:row>23</xdr:row>
      <xdr:rowOff>98709</xdr:rowOff>
    </xdr:to>
    <xdr:grpSp>
      <xdr:nvGrpSpPr>
        <xdr:cNvPr id="25" name="Group 24">
          <a:extLst>
            <a:ext uri="{FF2B5EF4-FFF2-40B4-BE49-F238E27FC236}">
              <a16:creationId xmlns:a16="http://schemas.microsoft.com/office/drawing/2014/main" id="{6A15DEF2-CFFC-C90E-C72F-BABFEE0BF7C4}"/>
            </a:ext>
          </a:extLst>
        </xdr:cNvPr>
        <xdr:cNvGrpSpPr/>
      </xdr:nvGrpSpPr>
      <xdr:grpSpPr>
        <a:xfrm>
          <a:off x="30480" y="30480"/>
          <a:ext cx="3169919" cy="8831229"/>
          <a:chOff x="30480" y="30480"/>
          <a:chExt cx="3188969" cy="8831229"/>
        </a:xfrm>
      </xdr:grpSpPr>
      <xdr:sp macro="" textlink="">
        <xdr:nvSpPr>
          <xdr:cNvPr id="3" name="Rectangle: Rounded Corners 2">
            <a:extLst>
              <a:ext uri="{FF2B5EF4-FFF2-40B4-BE49-F238E27FC236}">
                <a16:creationId xmlns:a16="http://schemas.microsoft.com/office/drawing/2014/main" id="{B0A6CB1D-3381-88EC-EEAB-531C0DBA228C}"/>
              </a:ext>
            </a:extLst>
          </xdr:cNvPr>
          <xdr:cNvSpPr/>
        </xdr:nvSpPr>
        <xdr:spPr>
          <a:xfrm>
            <a:off x="30480" y="30480"/>
            <a:ext cx="3188969" cy="8831229"/>
          </a:xfrm>
          <a:prstGeom prst="roundRect">
            <a:avLst>
              <a:gd name="adj" fmla="val 6618"/>
            </a:avLst>
          </a:prstGeom>
          <a:ln/>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t"/>
          <a:lstStyle/>
          <a:p>
            <a:pPr algn="l"/>
            <a:endParaRPr lang="en-US" sz="1100"/>
          </a:p>
        </xdr:txBody>
      </xdr:sp>
      <xdr:sp macro="" textlink="">
        <xdr:nvSpPr>
          <xdr:cNvPr id="5" name="Rectangle: Rounded Corners 4">
            <a:hlinkClick xmlns:r="http://schemas.openxmlformats.org/officeDocument/2006/relationships" r:id="rId1"/>
            <a:extLst>
              <a:ext uri="{FF2B5EF4-FFF2-40B4-BE49-F238E27FC236}">
                <a16:creationId xmlns:a16="http://schemas.microsoft.com/office/drawing/2014/main" id="{53BD851E-F534-3902-8D3E-ED18EC5A5D7B}"/>
              </a:ext>
            </a:extLst>
          </xdr:cNvPr>
          <xdr:cNvSpPr/>
        </xdr:nvSpPr>
        <xdr:spPr>
          <a:xfrm>
            <a:off x="163250" y="99344"/>
            <a:ext cx="2928321" cy="813319"/>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lvl="0" algn="r"/>
            <a:r>
              <a:rPr lang="en-US" sz="1400" b="1">
                <a:solidFill>
                  <a:schemeClr val="bg1"/>
                </a:solidFill>
                <a:latin typeface="Georgia" panose="02040502050405020303" pitchFamily="18" charset="0"/>
              </a:rPr>
              <a:t>Table</a:t>
            </a:r>
            <a:r>
              <a:rPr lang="en-US" sz="1400" b="1" baseline="0">
                <a:solidFill>
                  <a:schemeClr val="bg1"/>
                </a:solidFill>
                <a:latin typeface="Georgia" panose="02040502050405020303" pitchFamily="18" charset="0"/>
              </a:rPr>
              <a:t> of Contents</a:t>
            </a:r>
            <a:endParaRPr lang="en-US" sz="1400" b="1">
              <a:solidFill>
                <a:schemeClr val="bg1"/>
              </a:solidFill>
              <a:latin typeface="Georgia" panose="02040502050405020303" pitchFamily="18" charset="0"/>
            </a:endParaRPr>
          </a:p>
        </xdr:txBody>
      </xdr:sp>
      <xdr:sp macro="" textlink="">
        <xdr:nvSpPr>
          <xdr:cNvPr id="6" name="Rectangle: Rounded Corners 5">
            <a:hlinkClick xmlns:r="http://schemas.openxmlformats.org/officeDocument/2006/relationships" r:id="rId2"/>
            <a:extLst>
              <a:ext uri="{FF2B5EF4-FFF2-40B4-BE49-F238E27FC236}">
                <a16:creationId xmlns:a16="http://schemas.microsoft.com/office/drawing/2014/main" id="{307C895B-9399-7106-5845-394A841250E6}"/>
              </a:ext>
            </a:extLst>
          </xdr:cNvPr>
          <xdr:cNvSpPr/>
        </xdr:nvSpPr>
        <xdr:spPr>
          <a:xfrm>
            <a:off x="163250" y="976145"/>
            <a:ext cx="2928321" cy="813319"/>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lang="en-US" sz="1400" b="1">
                <a:solidFill>
                  <a:schemeClr val="bg1"/>
                </a:solidFill>
                <a:latin typeface="Georgia" panose="02040502050405020303" pitchFamily="18" charset="0"/>
                <a:ea typeface="+mn-ea"/>
                <a:cs typeface="+mn-cs"/>
              </a:rPr>
              <a:t>Contact Information</a:t>
            </a:r>
          </a:p>
        </xdr:txBody>
      </xdr:sp>
      <xdr:sp macro="" textlink="">
        <xdr:nvSpPr>
          <xdr:cNvPr id="7" name="Rectangle: Rounded Corners 6">
            <a:hlinkClick xmlns:r="http://schemas.openxmlformats.org/officeDocument/2006/relationships" r:id="rId3"/>
            <a:extLst>
              <a:ext uri="{FF2B5EF4-FFF2-40B4-BE49-F238E27FC236}">
                <a16:creationId xmlns:a16="http://schemas.microsoft.com/office/drawing/2014/main" id="{500CC7E1-8936-9315-97A5-0A4805BF383C}"/>
              </a:ext>
            </a:extLst>
          </xdr:cNvPr>
          <xdr:cNvSpPr/>
        </xdr:nvSpPr>
        <xdr:spPr>
          <a:xfrm>
            <a:off x="163250" y="1852947"/>
            <a:ext cx="2928321" cy="813319"/>
          </a:xfrm>
          <a:prstGeom prst="roundRect">
            <a:avLst/>
          </a:prstGeom>
          <a:solidFill>
            <a:schemeClr val="accent3"/>
          </a:solidFill>
          <a:ln w="9525">
            <a:solidFill>
              <a:schemeClr val="tx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lang="en-US" sz="1400" b="1">
                <a:solidFill>
                  <a:schemeClr val="tx1"/>
                </a:solidFill>
                <a:latin typeface="Georgia" panose="02040502050405020303" pitchFamily="18" charset="0"/>
                <a:ea typeface="+mn-ea"/>
                <a:cs typeface="+mn-cs"/>
              </a:rPr>
              <a:t>Research </a:t>
            </a:r>
            <a:r>
              <a:rPr lang="en-US" sz="1400" b="1" baseline="0">
                <a:solidFill>
                  <a:schemeClr val="tx1"/>
                </a:solidFill>
                <a:latin typeface="Georgia" panose="02040502050405020303" pitchFamily="18" charset="0"/>
                <a:ea typeface="+mn-ea"/>
                <a:cs typeface="+mn-cs"/>
              </a:rPr>
              <a:t>Guidance</a:t>
            </a:r>
            <a:endParaRPr lang="en-US" sz="1400" b="1">
              <a:solidFill>
                <a:schemeClr val="tx1"/>
              </a:solidFill>
              <a:latin typeface="Georgia" panose="02040502050405020303" pitchFamily="18" charset="0"/>
              <a:ea typeface="+mn-ea"/>
              <a:cs typeface="+mn-cs"/>
            </a:endParaRPr>
          </a:p>
        </xdr:txBody>
      </xdr:sp>
      <xdr:sp macro="" textlink="">
        <xdr:nvSpPr>
          <xdr:cNvPr id="8" name="Rectangle: Rounded Corners 7">
            <a:hlinkClick xmlns:r="http://schemas.openxmlformats.org/officeDocument/2006/relationships" r:id="rId4"/>
            <a:extLst>
              <a:ext uri="{FF2B5EF4-FFF2-40B4-BE49-F238E27FC236}">
                <a16:creationId xmlns:a16="http://schemas.microsoft.com/office/drawing/2014/main" id="{4F919AAC-07FA-389A-92A2-74A5EC8665F3}"/>
              </a:ext>
            </a:extLst>
          </xdr:cNvPr>
          <xdr:cNvSpPr/>
        </xdr:nvSpPr>
        <xdr:spPr>
          <a:xfrm>
            <a:off x="163250" y="5352622"/>
            <a:ext cx="2928321" cy="813319"/>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lang="en-US" sz="1400" b="1">
                <a:solidFill>
                  <a:schemeClr val="bg1"/>
                </a:solidFill>
                <a:latin typeface="Georgia" panose="02040502050405020303" pitchFamily="18" charset="0"/>
                <a:ea typeface="+mn-ea"/>
                <a:cs typeface="+mn-cs"/>
              </a:rPr>
              <a:t>Almanac</a:t>
            </a:r>
          </a:p>
        </xdr:txBody>
      </xdr:sp>
      <xdr:sp macro="" textlink="">
        <xdr:nvSpPr>
          <xdr:cNvPr id="9" name="Rectangle: Rounded Corners 8">
            <a:hlinkClick xmlns:r="http://schemas.openxmlformats.org/officeDocument/2006/relationships" r:id="rId5"/>
            <a:extLst>
              <a:ext uri="{FF2B5EF4-FFF2-40B4-BE49-F238E27FC236}">
                <a16:creationId xmlns:a16="http://schemas.microsoft.com/office/drawing/2014/main" id="{B8332F63-18A4-3B41-EF6A-25EC0EAB730C}"/>
              </a:ext>
            </a:extLst>
          </xdr:cNvPr>
          <xdr:cNvSpPr/>
        </xdr:nvSpPr>
        <xdr:spPr>
          <a:xfrm>
            <a:off x="163250" y="7983024"/>
            <a:ext cx="2928321" cy="813319"/>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lang="en-US" sz="1400" b="1">
                <a:solidFill>
                  <a:schemeClr val="bg1"/>
                </a:solidFill>
                <a:latin typeface="Georgia" panose="02040502050405020303" pitchFamily="18" charset="0"/>
                <a:ea typeface="+mn-ea"/>
                <a:cs typeface="+mn-cs"/>
              </a:rPr>
              <a:t>FTSE | FTFE</a:t>
            </a:r>
          </a:p>
        </xdr:txBody>
      </xdr:sp>
      <xdr:sp macro="" textlink="">
        <xdr:nvSpPr>
          <xdr:cNvPr id="10" name="Rectangle: Rounded Corners 9">
            <a:hlinkClick xmlns:r="http://schemas.openxmlformats.org/officeDocument/2006/relationships" r:id="rId6"/>
            <a:extLst>
              <a:ext uri="{FF2B5EF4-FFF2-40B4-BE49-F238E27FC236}">
                <a16:creationId xmlns:a16="http://schemas.microsoft.com/office/drawing/2014/main" id="{E1F8A3AF-0334-FBEB-686C-8A0B1FF40F42}"/>
              </a:ext>
            </a:extLst>
          </xdr:cNvPr>
          <xdr:cNvSpPr/>
        </xdr:nvSpPr>
        <xdr:spPr>
          <a:xfrm>
            <a:off x="163250" y="7106225"/>
            <a:ext cx="2928321" cy="813319"/>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algn="r"/>
            <a:r>
              <a:rPr lang="en-US" sz="1400" b="1">
                <a:solidFill>
                  <a:schemeClr val="bg1"/>
                </a:solidFill>
                <a:latin typeface="Georgia" panose="02040502050405020303" pitchFamily="18" charset="0"/>
                <a:ea typeface="+mn-ea"/>
                <a:cs typeface="+mn-cs"/>
              </a:rPr>
              <a:t>Academic</a:t>
            </a:r>
          </a:p>
          <a:p>
            <a:pPr algn="r"/>
            <a:r>
              <a:rPr lang="en-US" sz="1400" b="1">
                <a:solidFill>
                  <a:schemeClr val="bg1"/>
                </a:solidFill>
                <a:latin typeface="Georgia" panose="02040502050405020303" pitchFamily="18" charset="0"/>
                <a:ea typeface="+mn-ea"/>
                <a:cs typeface="+mn-cs"/>
              </a:rPr>
              <a:t>Space Model</a:t>
            </a:r>
          </a:p>
        </xdr:txBody>
      </xdr:sp>
      <xdr:sp macro="" textlink="">
        <xdr:nvSpPr>
          <xdr:cNvPr id="11" name="Rectangle: Rounded Corners 10">
            <a:hlinkClick xmlns:r="http://schemas.openxmlformats.org/officeDocument/2006/relationships" r:id="rId7"/>
            <a:extLst>
              <a:ext uri="{FF2B5EF4-FFF2-40B4-BE49-F238E27FC236}">
                <a16:creationId xmlns:a16="http://schemas.microsoft.com/office/drawing/2014/main" id="{89F1625D-0987-8803-29AA-C23F38960FB8}"/>
              </a:ext>
            </a:extLst>
          </xdr:cNvPr>
          <xdr:cNvSpPr/>
        </xdr:nvSpPr>
        <xdr:spPr>
          <a:xfrm>
            <a:off x="163250" y="2729748"/>
            <a:ext cx="2928321" cy="813319"/>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lang="en-US" sz="1400" b="1">
                <a:solidFill>
                  <a:schemeClr val="bg1"/>
                </a:solidFill>
                <a:latin typeface="Georgia" panose="02040502050405020303" pitchFamily="18" charset="0"/>
                <a:ea typeface="+mn-ea"/>
                <a:cs typeface="+mn-cs"/>
              </a:rPr>
              <a:t>Research</a:t>
            </a:r>
          </a:p>
          <a:p>
            <a:pPr marL="0" marR="0" lvl="0" indent="0" algn="r" defTabSz="914400" eaLnBrk="1" fontAlgn="auto" latinLnBrk="0" hangingPunct="1">
              <a:lnSpc>
                <a:spcPct val="100000"/>
              </a:lnSpc>
              <a:spcBef>
                <a:spcPts val="0"/>
              </a:spcBef>
              <a:spcAft>
                <a:spcPts val="0"/>
              </a:spcAft>
              <a:buClrTx/>
              <a:buSzTx/>
              <a:buFontTx/>
              <a:buNone/>
              <a:tabLst/>
              <a:defRPr/>
            </a:pPr>
            <a:r>
              <a:rPr lang="en-US" sz="1400" b="1">
                <a:solidFill>
                  <a:schemeClr val="bg1"/>
                </a:solidFill>
                <a:latin typeface="Georgia" panose="02040502050405020303" pitchFamily="18" charset="0"/>
                <a:ea typeface="+mn-ea"/>
                <a:cs typeface="+mn-cs"/>
              </a:rPr>
              <a:t>(by</a:t>
            </a:r>
            <a:r>
              <a:rPr lang="en-US" sz="1400" b="1" baseline="0">
                <a:solidFill>
                  <a:schemeClr val="bg1"/>
                </a:solidFill>
                <a:latin typeface="Georgia" panose="02040502050405020303" pitchFamily="18" charset="0"/>
                <a:ea typeface="+mn-ea"/>
                <a:cs typeface="+mn-cs"/>
              </a:rPr>
              <a:t> Institution)</a:t>
            </a:r>
            <a:endParaRPr lang="en-US" sz="1400" b="1">
              <a:solidFill>
                <a:schemeClr val="bg1"/>
              </a:solidFill>
              <a:latin typeface="Georgia" panose="02040502050405020303" pitchFamily="18" charset="0"/>
              <a:ea typeface="+mn-ea"/>
              <a:cs typeface="+mn-cs"/>
            </a:endParaRPr>
          </a:p>
        </xdr:txBody>
      </xdr:sp>
      <xdr:sp macro="" textlink="">
        <xdr:nvSpPr>
          <xdr:cNvPr id="12" name="Rectangle: Rounded Corners 11">
            <a:hlinkClick xmlns:r="http://schemas.openxmlformats.org/officeDocument/2006/relationships" r:id="rId8"/>
            <a:extLst>
              <a:ext uri="{FF2B5EF4-FFF2-40B4-BE49-F238E27FC236}">
                <a16:creationId xmlns:a16="http://schemas.microsoft.com/office/drawing/2014/main" id="{E2A6B094-2FBD-EA52-1478-284A8939FEA8}"/>
              </a:ext>
            </a:extLst>
          </xdr:cNvPr>
          <xdr:cNvSpPr/>
        </xdr:nvSpPr>
        <xdr:spPr>
          <a:xfrm>
            <a:off x="163250" y="3606550"/>
            <a:ext cx="2928321" cy="813319"/>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algn="r"/>
            <a:r>
              <a:rPr lang="en-US" sz="1400" b="1">
                <a:solidFill>
                  <a:schemeClr val="bg1"/>
                </a:solidFill>
                <a:latin typeface="Georgia" panose="02040502050405020303" pitchFamily="18" charset="0"/>
                <a:ea typeface="+mn-ea"/>
                <a:cs typeface="+mn-cs"/>
              </a:rPr>
              <a:t>Summary</a:t>
            </a:r>
          </a:p>
          <a:p>
            <a:pPr algn="r"/>
            <a:r>
              <a:rPr lang="en-US" sz="1400" b="1">
                <a:solidFill>
                  <a:schemeClr val="bg1"/>
                </a:solidFill>
                <a:latin typeface="Georgia" panose="02040502050405020303" pitchFamily="18" charset="0"/>
                <a:ea typeface="+mn-ea"/>
                <a:cs typeface="+mn-cs"/>
              </a:rPr>
              <a:t>(by</a:t>
            </a:r>
            <a:r>
              <a:rPr lang="en-US" sz="1400" b="1" baseline="0">
                <a:solidFill>
                  <a:schemeClr val="bg1"/>
                </a:solidFill>
                <a:latin typeface="Georgia" panose="02040502050405020303" pitchFamily="18" charset="0"/>
                <a:ea typeface="+mn-ea"/>
                <a:cs typeface="+mn-cs"/>
              </a:rPr>
              <a:t> System)</a:t>
            </a:r>
            <a:endParaRPr lang="en-US" sz="1400" b="1">
              <a:solidFill>
                <a:schemeClr val="bg1"/>
              </a:solidFill>
              <a:latin typeface="Georgia" panose="02040502050405020303" pitchFamily="18" charset="0"/>
              <a:ea typeface="+mn-ea"/>
              <a:cs typeface="+mn-cs"/>
            </a:endParaRPr>
          </a:p>
        </xdr:txBody>
      </xdr:sp>
      <xdr:sp macro="" textlink="">
        <xdr:nvSpPr>
          <xdr:cNvPr id="13" name="Rectangle: Rounded Corners 12">
            <a:hlinkClick xmlns:r="http://schemas.openxmlformats.org/officeDocument/2006/relationships" r:id="rId9"/>
            <a:extLst>
              <a:ext uri="{FF2B5EF4-FFF2-40B4-BE49-F238E27FC236}">
                <a16:creationId xmlns:a16="http://schemas.microsoft.com/office/drawing/2014/main" id="{460FA1E3-1E3A-5D92-1511-0CD43A05B9D4}"/>
              </a:ext>
            </a:extLst>
          </xdr:cNvPr>
          <xdr:cNvSpPr/>
        </xdr:nvSpPr>
        <xdr:spPr>
          <a:xfrm>
            <a:off x="163250" y="4483351"/>
            <a:ext cx="2928321" cy="813319"/>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algn="r"/>
            <a:r>
              <a:rPr lang="en-US" sz="1400" b="1">
                <a:solidFill>
                  <a:schemeClr val="bg1"/>
                </a:solidFill>
                <a:latin typeface="Georgia" panose="02040502050405020303" pitchFamily="18" charset="0"/>
                <a:ea typeface="+mn-ea"/>
                <a:cs typeface="+mn-cs"/>
              </a:rPr>
              <a:t>Summary </a:t>
            </a:r>
          </a:p>
          <a:p>
            <a:pPr algn="r"/>
            <a:r>
              <a:rPr lang="en-US" sz="1400" b="1">
                <a:solidFill>
                  <a:schemeClr val="bg1"/>
                </a:solidFill>
                <a:latin typeface="Georgia" panose="02040502050405020303" pitchFamily="18" charset="0"/>
                <a:ea typeface="+mn-ea"/>
                <a:cs typeface="+mn-cs"/>
              </a:rPr>
              <a:t>(by Institution Type)</a:t>
            </a:r>
          </a:p>
        </xdr:txBody>
      </xdr:sp>
      <xdr:sp macro="" textlink="">
        <xdr:nvSpPr>
          <xdr:cNvPr id="14" name="Rectangle: Rounded Corners 13">
            <a:hlinkClick xmlns:r="http://schemas.openxmlformats.org/officeDocument/2006/relationships" r:id="rId10"/>
            <a:extLst>
              <a:ext uri="{FF2B5EF4-FFF2-40B4-BE49-F238E27FC236}">
                <a16:creationId xmlns:a16="http://schemas.microsoft.com/office/drawing/2014/main" id="{C5D742B8-D73A-A35D-A1DC-2A88B9B4B546}"/>
              </a:ext>
            </a:extLst>
          </xdr:cNvPr>
          <xdr:cNvSpPr/>
        </xdr:nvSpPr>
        <xdr:spPr>
          <a:xfrm>
            <a:off x="163250" y="6229423"/>
            <a:ext cx="2928321" cy="813319"/>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algn="r"/>
            <a:r>
              <a:rPr lang="en-US" sz="1400" b="1">
                <a:solidFill>
                  <a:schemeClr val="bg1"/>
                </a:solidFill>
                <a:latin typeface="Georgia" panose="02040502050405020303" pitchFamily="18" charset="0"/>
                <a:ea typeface="+mn-ea"/>
                <a:cs typeface="+mn-cs"/>
              </a:rPr>
              <a:t>Source of Funds</a:t>
            </a:r>
          </a:p>
        </xdr:txBody>
      </xdr:sp>
      <xdr:pic>
        <xdr:nvPicPr>
          <xdr:cNvPr id="15" name="Graphic 14" descr="Home with solid fill">
            <a:hlinkClick xmlns:r="http://schemas.openxmlformats.org/officeDocument/2006/relationships" r:id="rId1"/>
            <a:extLst>
              <a:ext uri="{FF2B5EF4-FFF2-40B4-BE49-F238E27FC236}">
                <a16:creationId xmlns:a16="http://schemas.microsoft.com/office/drawing/2014/main" id="{B9C40100-3FD8-D57D-3BBF-228DBAC03EE5}"/>
              </a:ext>
            </a:extLst>
          </xdr:cNvPr>
          <xdr:cNvPicPr>
            <a:picLocks noChangeAspect="1"/>
          </xdr:cNvPicPr>
        </xdr:nvPicPr>
        <xdr:blipFill>
          <a:blip xmlns:r="http://schemas.openxmlformats.org/officeDocument/2006/relationships" r:embed="rId11">
            <a:extLst>
              <a:ext uri="{96DAC541-7B7A-43D3-8B79-37D633B846F1}">
                <asvg:svgBlip xmlns:asvg="http://schemas.microsoft.com/office/drawing/2016/SVG/main" r:embed="rId12"/>
              </a:ext>
            </a:extLst>
          </a:blip>
          <a:stretch>
            <a:fillRect/>
          </a:stretch>
        </xdr:blipFill>
        <xdr:spPr>
          <a:xfrm>
            <a:off x="265494" y="99001"/>
            <a:ext cx="776889" cy="755704"/>
          </a:xfrm>
          <a:prstGeom prst="rect">
            <a:avLst/>
          </a:prstGeom>
        </xdr:spPr>
      </xdr:pic>
      <xdr:pic>
        <xdr:nvPicPr>
          <xdr:cNvPr id="16" name="Graphic 15" descr="Address Book with solid fill">
            <a:hlinkClick xmlns:r="http://schemas.openxmlformats.org/officeDocument/2006/relationships" r:id="rId2"/>
            <a:extLst>
              <a:ext uri="{FF2B5EF4-FFF2-40B4-BE49-F238E27FC236}">
                <a16:creationId xmlns:a16="http://schemas.microsoft.com/office/drawing/2014/main" id="{DBD12CCE-3417-D322-DD7F-0C1EFADE94D2}"/>
              </a:ext>
            </a:extLst>
          </xdr:cNvPr>
          <xdr:cNvPicPr>
            <a:picLocks noChangeAspect="1"/>
          </xdr:cNvPicPr>
        </xdr:nvPicPr>
        <xdr:blipFill>
          <a:blip xmlns:r="http://schemas.openxmlformats.org/officeDocument/2006/relationships" r:embed="rId13">
            <a:extLst>
              <a:ext uri="{96DAC541-7B7A-43D3-8B79-37D633B846F1}">
                <asvg:svgBlip xmlns:asvg="http://schemas.microsoft.com/office/drawing/2016/SVG/main" r:embed="rId14"/>
              </a:ext>
            </a:extLst>
          </a:blip>
          <a:stretch>
            <a:fillRect/>
          </a:stretch>
        </xdr:blipFill>
        <xdr:spPr>
          <a:xfrm>
            <a:off x="265494" y="991919"/>
            <a:ext cx="757011" cy="759464"/>
          </a:xfrm>
          <a:prstGeom prst="rect">
            <a:avLst/>
          </a:prstGeom>
        </xdr:spPr>
      </xdr:pic>
      <xdr:pic>
        <xdr:nvPicPr>
          <xdr:cNvPr id="17" name="Graphic 16" descr="Closed book with solid fill">
            <a:hlinkClick xmlns:r="http://schemas.openxmlformats.org/officeDocument/2006/relationships" r:id="rId3"/>
            <a:extLst>
              <a:ext uri="{FF2B5EF4-FFF2-40B4-BE49-F238E27FC236}">
                <a16:creationId xmlns:a16="http://schemas.microsoft.com/office/drawing/2014/main" id="{36BD91AD-0150-220E-BA5B-5F1E8AF5C2DF}"/>
              </a:ext>
            </a:extLst>
          </xdr:cNvPr>
          <xdr:cNvPicPr>
            <a:picLocks noChangeAspect="1"/>
          </xdr:cNvPicPr>
        </xdr:nvPicPr>
        <xdr:blipFill>
          <a:blip xmlns:r="http://schemas.openxmlformats.org/officeDocument/2006/relationships" r:embed="rId15">
            <a:extLst>
              <a:ext uri="{96DAC541-7B7A-43D3-8B79-37D633B846F1}">
                <asvg:svgBlip xmlns:asvg="http://schemas.microsoft.com/office/drawing/2016/SVG/main" r:embed="rId16"/>
              </a:ext>
            </a:extLst>
          </a:blip>
          <a:stretch>
            <a:fillRect/>
          </a:stretch>
        </xdr:blipFill>
        <xdr:spPr>
          <a:xfrm>
            <a:off x="265494" y="1870876"/>
            <a:ext cx="757011" cy="751085"/>
          </a:xfrm>
          <a:prstGeom prst="rect">
            <a:avLst/>
          </a:prstGeom>
        </xdr:spPr>
      </xdr:pic>
      <xdr:pic>
        <xdr:nvPicPr>
          <xdr:cNvPr id="18" name="Graphic 17" descr="Books on shelf with solid fill">
            <a:hlinkClick xmlns:r="http://schemas.openxmlformats.org/officeDocument/2006/relationships" r:id="rId4"/>
            <a:extLst>
              <a:ext uri="{FF2B5EF4-FFF2-40B4-BE49-F238E27FC236}">
                <a16:creationId xmlns:a16="http://schemas.microsoft.com/office/drawing/2014/main" id="{2190EE04-E9A4-9133-CB62-68D58DE7D8FF}"/>
              </a:ext>
            </a:extLst>
          </xdr:cNvPr>
          <xdr:cNvPicPr>
            <a:picLocks noChangeAspect="1"/>
          </xdr:cNvPicPr>
        </xdr:nvPicPr>
        <xdr:blipFill>
          <a:blip xmlns:r="http://schemas.openxmlformats.org/officeDocument/2006/relationships" r:embed="rId17">
            <a:extLst>
              <a:ext uri="{96DAC541-7B7A-43D3-8B79-37D633B846F1}">
                <asvg:svgBlip xmlns:asvg="http://schemas.microsoft.com/office/drawing/2016/SVG/main" r:embed="rId18"/>
              </a:ext>
            </a:extLst>
          </a:blip>
          <a:stretch>
            <a:fillRect/>
          </a:stretch>
        </xdr:blipFill>
        <xdr:spPr>
          <a:xfrm>
            <a:off x="265494" y="5377021"/>
            <a:ext cx="767054" cy="759543"/>
          </a:xfrm>
          <a:prstGeom prst="rect">
            <a:avLst/>
          </a:prstGeom>
        </xdr:spPr>
      </xdr:pic>
      <xdr:pic>
        <xdr:nvPicPr>
          <xdr:cNvPr id="19" name="Graphic 18" descr="Users with solid fill">
            <a:hlinkClick xmlns:r="http://schemas.openxmlformats.org/officeDocument/2006/relationships" r:id="rId5"/>
            <a:extLst>
              <a:ext uri="{FF2B5EF4-FFF2-40B4-BE49-F238E27FC236}">
                <a16:creationId xmlns:a16="http://schemas.microsoft.com/office/drawing/2014/main" id="{5231FC92-211F-E268-4F0F-6CECF36EEE86}"/>
              </a:ext>
            </a:extLst>
          </xdr:cNvPr>
          <xdr:cNvPicPr>
            <a:picLocks noChangeAspect="1"/>
          </xdr:cNvPicPr>
        </xdr:nvPicPr>
        <xdr:blipFill>
          <a:blip xmlns:r="http://schemas.openxmlformats.org/officeDocument/2006/relationships" r:embed="rId19">
            <a:extLst>
              <a:ext uri="{96DAC541-7B7A-43D3-8B79-37D633B846F1}">
                <asvg:svgBlip xmlns:asvg="http://schemas.microsoft.com/office/drawing/2016/SVG/main" r:embed="rId20"/>
              </a:ext>
            </a:extLst>
          </a:blip>
          <a:stretch>
            <a:fillRect/>
          </a:stretch>
        </xdr:blipFill>
        <xdr:spPr>
          <a:xfrm>
            <a:off x="265494" y="8038608"/>
            <a:ext cx="766757" cy="756332"/>
          </a:xfrm>
          <a:prstGeom prst="rect">
            <a:avLst/>
          </a:prstGeom>
        </xdr:spPr>
      </xdr:pic>
      <xdr:pic>
        <xdr:nvPicPr>
          <xdr:cNvPr id="20" name="Graphic 19" descr="Document with solid fill">
            <a:hlinkClick xmlns:r="http://schemas.openxmlformats.org/officeDocument/2006/relationships" r:id="rId6"/>
            <a:extLst>
              <a:ext uri="{FF2B5EF4-FFF2-40B4-BE49-F238E27FC236}">
                <a16:creationId xmlns:a16="http://schemas.microsoft.com/office/drawing/2014/main" id="{07B5BB62-D36E-2670-9357-AC2D32609853}"/>
              </a:ext>
            </a:extLst>
          </xdr:cNvPr>
          <xdr:cNvPicPr>
            <a:picLocks noChangeAspect="1"/>
          </xdr:cNvPicPr>
        </xdr:nvPicPr>
        <xdr:blipFill>
          <a:blip xmlns:r="http://schemas.openxmlformats.org/officeDocument/2006/relationships" r:embed="rId21">
            <a:extLst>
              <a:ext uri="{96DAC541-7B7A-43D3-8B79-37D633B846F1}">
                <asvg:svgBlip xmlns:asvg="http://schemas.microsoft.com/office/drawing/2016/SVG/main" r:embed="rId22"/>
              </a:ext>
            </a:extLst>
          </a:blip>
          <a:stretch>
            <a:fillRect/>
          </a:stretch>
        </xdr:blipFill>
        <xdr:spPr>
          <a:xfrm>
            <a:off x="265494" y="7124014"/>
            <a:ext cx="761383" cy="756331"/>
          </a:xfrm>
          <a:prstGeom prst="rect">
            <a:avLst/>
          </a:prstGeom>
        </xdr:spPr>
      </xdr:pic>
      <xdr:pic>
        <xdr:nvPicPr>
          <xdr:cNvPr id="21" name="Graphic 20" descr="Research with solid fill">
            <a:hlinkClick xmlns:r="http://schemas.openxmlformats.org/officeDocument/2006/relationships" r:id="rId7"/>
            <a:extLst>
              <a:ext uri="{FF2B5EF4-FFF2-40B4-BE49-F238E27FC236}">
                <a16:creationId xmlns:a16="http://schemas.microsoft.com/office/drawing/2014/main" id="{2CB55998-60DA-FBE0-4699-FF8E438AFF42}"/>
              </a:ext>
            </a:extLst>
          </xdr:cNvPr>
          <xdr:cNvPicPr>
            <a:picLocks noChangeAspect="1"/>
          </xdr:cNvPicPr>
        </xdr:nvPicPr>
        <xdr:blipFill>
          <a:blip xmlns:r="http://schemas.openxmlformats.org/officeDocument/2006/relationships" r:embed="rId23">
            <a:extLst>
              <a:ext uri="{96DAC541-7B7A-43D3-8B79-37D633B846F1}">
                <asvg:svgBlip xmlns:asvg="http://schemas.microsoft.com/office/drawing/2016/SVG/main" r:embed="rId24"/>
              </a:ext>
            </a:extLst>
          </a:blip>
          <a:srcRect/>
          <a:stretch/>
        </xdr:blipFill>
        <xdr:spPr>
          <a:xfrm>
            <a:off x="265494" y="2759175"/>
            <a:ext cx="760910" cy="727528"/>
          </a:xfrm>
          <a:prstGeom prst="rect">
            <a:avLst/>
          </a:prstGeom>
        </xdr:spPr>
      </xdr:pic>
      <xdr:pic>
        <xdr:nvPicPr>
          <xdr:cNvPr id="22" name="Graphic 21" descr="Hierarchy with solid fill">
            <a:hlinkClick xmlns:r="http://schemas.openxmlformats.org/officeDocument/2006/relationships" r:id="rId8"/>
            <a:extLst>
              <a:ext uri="{FF2B5EF4-FFF2-40B4-BE49-F238E27FC236}">
                <a16:creationId xmlns:a16="http://schemas.microsoft.com/office/drawing/2014/main" id="{E127060D-EFE7-2AA9-2884-791F2114ED0E}"/>
              </a:ext>
            </a:extLst>
          </xdr:cNvPr>
          <xdr:cNvPicPr>
            <a:picLocks noChangeAspect="1"/>
          </xdr:cNvPicPr>
        </xdr:nvPicPr>
        <xdr:blipFill>
          <a:blip xmlns:r="http://schemas.openxmlformats.org/officeDocument/2006/relationships" r:embed="rId25">
            <a:extLst>
              <a:ext uri="{96DAC541-7B7A-43D3-8B79-37D633B846F1}">
                <asvg:svgBlip xmlns:asvg="http://schemas.microsoft.com/office/drawing/2016/SVG/main" r:embed="rId26"/>
              </a:ext>
            </a:extLst>
          </a:blip>
          <a:stretch>
            <a:fillRect/>
          </a:stretch>
        </xdr:blipFill>
        <xdr:spPr>
          <a:xfrm>
            <a:off x="265494" y="3597336"/>
            <a:ext cx="754766" cy="755701"/>
          </a:xfrm>
          <a:prstGeom prst="rect">
            <a:avLst/>
          </a:prstGeom>
        </xdr:spPr>
      </xdr:pic>
      <xdr:pic>
        <xdr:nvPicPr>
          <xdr:cNvPr id="23" name="Graphic 22" descr="Postit Notes with solid fill">
            <a:hlinkClick xmlns:r="http://schemas.openxmlformats.org/officeDocument/2006/relationships" r:id="rId9"/>
            <a:extLst>
              <a:ext uri="{FF2B5EF4-FFF2-40B4-BE49-F238E27FC236}">
                <a16:creationId xmlns:a16="http://schemas.microsoft.com/office/drawing/2014/main" id="{AE82F585-F389-995E-F837-86F6D2513CC9}"/>
              </a:ext>
            </a:extLst>
          </xdr:cNvPr>
          <xdr:cNvPicPr>
            <a:picLocks noChangeAspect="1"/>
          </xdr:cNvPicPr>
        </xdr:nvPicPr>
        <xdr:blipFill>
          <a:blip xmlns:r="http://schemas.openxmlformats.org/officeDocument/2006/relationships" r:embed="rId27">
            <a:extLst>
              <a:ext uri="{96DAC541-7B7A-43D3-8B79-37D633B846F1}">
                <asvg:svgBlip xmlns:asvg="http://schemas.microsoft.com/office/drawing/2016/SVG/main" r:embed="rId28"/>
              </a:ext>
            </a:extLst>
          </a:blip>
          <a:stretch>
            <a:fillRect/>
          </a:stretch>
        </xdr:blipFill>
        <xdr:spPr>
          <a:xfrm>
            <a:off x="265494" y="4499110"/>
            <a:ext cx="754766" cy="755754"/>
          </a:xfrm>
          <a:prstGeom prst="rect">
            <a:avLst/>
          </a:prstGeom>
        </xdr:spPr>
      </xdr:pic>
      <xdr:pic>
        <xdr:nvPicPr>
          <xdr:cNvPr id="24" name="Graphic 23" descr="Money with solid fill">
            <a:hlinkClick xmlns:r="http://schemas.openxmlformats.org/officeDocument/2006/relationships" r:id="rId10"/>
            <a:extLst>
              <a:ext uri="{FF2B5EF4-FFF2-40B4-BE49-F238E27FC236}">
                <a16:creationId xmlns:a16="http://schemas.microsoft.com/office/drawing/2014/main" id="{D061017B-AAE3-A97A-ABE8-7B3DE2B4B451}"/>
              </a:ext>
            </a:extLst>
          </xdr:cNvPr>
          <xdr:cNvPicPr>
            <a:picLocks noChangeAspect="1"/>
          </xdr:cNvPicPr>
        </xdr:nvPicPr>
        <xdr:blipFill>
          <a:blip xmlns:r="http://schemas.openxmlformats.org/officeDocument/2006/relationships" r:embed="rId29">
            <a:extLst>
              <a:ext uri="{96DAC541-7B7A-43D3-8B79-37D633B846F1}">
                <asvg:svgBlip xmlns:asvg="http://schemas.microsoft.com/office/drawing/2016/SVG/main" r:embed="rId30"/>
              </a:ext>
            </a:extLst>
          </a:blip>
          <a:srcRect/>
          <a:stretch/>
        </xdr:blipFill>
        <xdr:spPr>
          <a:xfrm>
            <a:off x="265494" y="6235676"/>
            <a:ext cx="767054" cy="733405"/>
          </a:xfrm>
          <a:prstGeom prst="rect">
            <a:avLst/>
          </a:prstGeom>
        </xdr:spPr>
      </xdr:pic>
    </xdr:grp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30480</xdr:colOff>
      <xdr:row>0</xdr:row>
      <xdr:rowOff>30480</xdr:rowOff>
    </xdr:from>
    <xdr:to>
      <xdr:col>5</xdr:col>
      <xdr:colOff>438149</xdr:colOff>
      <xdr:row>23</xdr:row>
      <xdr:rowOff>98709</xdr:rowOff>
    </xdr:to>
    <xdr:grpSp>
      <xdr:nvGrpSpPr>
        <xdr:cNvPr id="25" name="Group 24">
          <a:extLst>
            <a:ext uri="{FF2B5EF4-FFF2-40B4-BE49-F238E27FC236}">
              <a16:creationId xmlns:a16="http://schemas.microsoft.com/office/drawing/2014/main" id="{9061FE25-2D05-6CA2-125B-42264D5B60BC}"/>
            </a:ext>
          </a:extLst>
        </xdr:cNvPr>
        <xdr:cNvGrpSpPr/>
      </xdr:nvGrpSpPr>
      <xdr:grpSpPr>
        <a:xfrm>
          <a:off x="30480" y="30480"/>
          <a:ext cx="3169919" cy="8831229"/>
          <a:chOff x="30480" y="30480"/>
          <a:chExt cx="3188969" cy="8831229"/>
        </a:xfrm>
      </xdr:grpSpPr>
      <xdr:sp macro="" textlink="">
        <xdr:nvSpPr>
          <xdr:cNvPr id="3" name="Rectangle: Rounded Corners 2">
            <a:extLst>
              <a:ext uri="{FF2B5EF4-FFF2-40B4-BE49-F238E27FC236}">
                <a16:creationId xmlns:a16="http://schemas.microsoft.com/office/drawing/2014/main" id="{6CD0A4E6-D862-4898-C479-D5964CF872CA}"/>
              </a:ext>
            </a:extLst>
          </xdr:cNvPr>
          <xdr:cNvSpPr/>
        </xdr:nvSpPr>
        <xdr:spPr>
          <a:xfrm>
            <a:off x="30480" y="30480"/>
            <a:ext cx="3188969" cy="8831229"/>
          </a:xfrm>
          <a:prstGeom prst="roundRect">
            <a:avLst>
              <a:gd name="adj" fmla="val 6618"/>
            </a:avLst>
          </a:prstGeom>
          <a:ln/>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t"/>
          <a:lstStyle/>
          <a:p>
            <a:pPr algn="l"/>
            <a:endParaRPr lang="en-US" sz="1100"/>
          </a:p>
        </xdr:txBody>
      </xdr:sp>
      <xdr:sp macro="" textlink="">
        <xdr:nvSpPr>
          <xdr:cNvPr id="5" name="Rectangle: Rounded Corners 4">
            <a:hlinkClick xmlns:r="http://schemas.openxmlformats.org/officeDocument/2006/relationships" r:id="rId1"/>
            <a:extLst>
              <a:ext uri="{FF2B5EF4-FFF2-40B4-BE49-F238E27FC236}">
                <a16:creationId xmlns:a16="http://schemas.microsoft.com/office/drawing/2014/main" id="{6E8A4E0A-D2C0-8CC2-C4E1-626C0B918876}"/>
              </a:ext>
            </a:extLst>
          </xdr:cNvPr>
          <xdr:cNvSpPr/>
        </xdr:nvSpPr>
        <xdr:spPr>
          <a:xfrm>
            <a:off x="163250" y="99344"/>
            <a:ext cx="2928321" cy="813319"/>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lvl="0" algn="r"/>
            <a:r>
              <a:rPr lang="en-US" sz="1400" b="1">
                <a:solidFill>
                  <a:schemeClr val="bg1"/>
                </a:solidFill>
                <a:latin typeface="Georgia" panose="02040502050405020303" pitchFamily="18" charset="0"/>
              </a:rPr>
              <a:t>Table</a:t>
            </a:r>
            <a:r>
              <a:rPr lang="en-US" sz="1400" b="1" baseline="0">
                <a:solidFill>
                  <a:schemeClr val="bg1"/>
                </a:solidFill>
                <a:latin typeface="Georgia" panose="02040502050405020303" pitchFamily="18" charset="0"/>
              </a:rPr>
              <a:t> of Contents</a:t>
            </a:r>
            <a:endParaRPr lang="en-US" sz="1400" b="1">
              <a:solidFill>
                <a:schemeClr val="bg1"/>
              </a:solidFill>
              <a:latin typeface="Georgia" panose="02040502050405020303" pitchFamily="18" charset="0"/>
            </a:endParaRPr>
          </a:p>
        </xdr:txBody>
      </xdr:sp>
      <xdr:sp macro="" textlink="">
        <xdr:nvSpPr>
          <xdr:cNvPr id="6" name="Rectangle: Rounded Corners 5">
            <a:hlinkClick xmlns:r="http://schemas.openxmlformats.org/officeDocument/2006/relationships" r:id="rId2"/>
            <a:extLst>
              <a:ext uri="{FF2B5EF4-FFF2-40B4-BE49-F238E27FC236}">
                <a16:creationId xmlns:a16="http://schemas.microsoft.com/office/drawing/2014/main" id="{EF9BC1FF-8DC4-E05A-9449-49E5AE19F944}"/>
              </a:ext>
            </a:extLst>
          </xdr:cNvPr>
          <xdr:cNvSpPr/>
        </xdr:nvSpPr>
        <xdr:spPr>
          <a:xfrm>
            <a:off x="163250" y="976145"/>
            <a:ext cx="2928321" cy="813319"/>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lang="en-US" sz="1400" b="1">
                <a:solidFill>
                  <a:schemeClr val="bg1"/>
                </a:solidFill>
                <a:latin typeface="Georgia" panose="02040502050405020303" pitchFamily="18" charset="0"/>
                <a:ea typeface="+mn-ea"/>
                <a:cs typeface="+mn-cs"/>
              </a:rPr>
              <a:t>Contact Information</a:t>
            </a:r>
          </a:p>
        </xdr:txBody>
      </xdr:sp>
      <xdr:sp macro="" textlink="">
        <xdr:nvSpPr>
          <xdr:cNvPr id="7" name="Rectangle: Rounded Corners 6">
            <a:hlinkClick xmlns:r="http://schemas.openxmlformats.org/officeDocument/2006/relationships" r:id="rId3"/>
            <a:extLst>
              <a:ext uri="{FF2B5EF4-FFF2-40B4-BE49-F238E27FC236}">
                <a16:creationId xmlns:a16="http://schemas.microsoft.com/office/drawing/2014/main" id="{C524BB87-37F5-0E26-4851-BA0DD0EEFB56}"/>
              </a:ext>
            </a:extLst>
          </xdr:cNvPr>
          <xdr:cNvSpPr/>
        </xdr:nvSpPr>
        <xdr:spPr>
          <a:xfrm>
            <a:off x="163250" y="1852947"/>
            <a:ext cx="2928321" cy="813319"/>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lang="en-US" sz="1400" b="1">
                <a:solidFill>
                  <a:schemeClr val="bg1"/>
                </a:solidFill>
                <a:latin typeface="Georgia" panose="02040502050405020303" pitchFamily="18" charset="0"/>
                <a:ea typeface="+mn-ea"/>
                <a:cs typeface="+mn-cs"/>
              </a:rPr>
              <a:t>Research </a:t>
            </a:r>
            <a:r>
              <a:rPr lang="en-US" sz="1400" b="1" baseline="0">
                <a:solidFill>
                  <a:schemeClr val="bg1"/>
                </a:solidFill>
                <a:latin typeface="Georgia" panose="02040502050405020303" pitchFamily="18" charset="0"/>
                <a:ea typeface="+mn-ea"/>
                <a:cs typeface="+mn-cs"/>
              </a:rPr>
              <a:t>Guidance</a:t>
            </a:r>
            <a:endParaRPr lang="en-US" sz="1400" b="1">
              <a:solidFill>
                <a:schemeClr val="bg1"/>
              </a:solidFill>
              <a:latin typeface="Georgia" panose="02040502050405020303" pitchFamily="18" charset="0"/>
              <a:ea typeface="+mn-ea"/>
              <a:cs typeface="+mn-cs"/>
            </a:endParaRPr>
          </a:p>
        </xdr:txBody>
      </xdr:sp>
      <xdr:sp macro="" textlink="">
        <xdr:nvSpPr>
          <xdr:cNvPr id="8" name="Rectangle: Rounded Corners 7">
            <a:hlinkClick xmlns:r="http://schemas.openxmlformats.org/officeDocument/2006/relationships" r:id="rId4"/>
            <a:extLst>
              <a:ext uri="{FF2B5EF4-FFF2-40B4-BE49-F238E27FC236}">
                <a16:creationId xmlns:a16="http://schemas.microsoft.com/office/drawing/2014/main" id="{4E1B3B0C-BA19-02FF-FDD5-0850A2908F3B}"/>
              </a:ext>
            </a:extLst>
          </xdr:cNvPr>
          <xdr:cNvSpPr/>
        </xdr:nvSpPr>
        <xdr:spPr>
          <a:xfrm>
            <a:off x="163250" y="5352622"/>
            <a:ext cx="2928321" cy="813319"/>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lang="en-US" sz="1400" b="1">
                <a:solidFill>
                  <a:schemeClr val="bg1"/>
                </a:solidFill>
                <a:latin typeface="Georgia" panose="02040502050405020303" pitchFamily="18" charset="0"/>
                <a:ea typeface="+mn-ea"/>
                <a:cs typeface="+mn-cs"/>
              </a:rPr>
              <a:t>Almanac</a:t>
            </a:r>
          </a:p>
        </xdr:txBody>
      </xdr:sp>
      <xdr:sp macro="" textlink="">
        <xdr:nvSpPr>
          <xdr:cNvPr id="9" name="Rectangle: Rounded Corners 8">
            <a:hlinkClick xmlns:r="http://schemas.openxmlformats.org/officeDocument/2006/relationships" r:id="rId5"/>
            <a:extLst>
              <a:ext uri="{FF2B5EF4-FFF2-40B4-BE49-F238E27FC236}">
                <a16:creationId xmlns:a16="http://schemas.microsoft.com/office/drawing/2014/main" id="{EE63ADAF-75DA-9BFA-8533-484EA86F8B1D}"/>
              </a:ext>
            </a:extLst>
          </xdr:cNvPr>
          <xdr:cNvSpPr/>
        </xdr:nvSpPr>
        <xdr:spPr>
          <a:xfrm>
            <a:off x="163250" y="7983024"/>
            <a:ext cx="2928321" cy="813319"/>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lang="en-US" sz="1400" b="1">
                <a:solidFill>
                  <a:schemeClr val="bg1"/>
                </a:solidFill>
                <a:latin typeface="Georgia" panose="02040502050405020303" pitchFamily="18" charset="0"/>
                <a:ea typeface="+mn-ea"/>
                <a:cs typeface="+mn-cs"/>
              </a:rPr>
              <a:t>FTSE | FTFE</a:t>
            </a:r>
          </a:p>
        </xdr:txBody>
      </xdr:sp>
      <xdr:sp macro="" textlink="">
        <xdr:nvSpPr>
          <xdr:cNvPr id="10" name="Rectangle: Rounded Corners 9">
            <a:hlinkClick xmlns:r="http://schemas.openxmlformats.org/officeDocument/2006/relationships" r:id="rId6"/>
            <a:extLst>
              <a:ext uri="{FF2B5EF4-FFF2-40B4-BE49-F238E27FC236}">
                <a16:creationId xmlns:a16="http://schemas.microsoft.com/office/drawing/2014/main" id="{D9C54750-F7A0-00D1-9CE9-7D76914AF84E}"/>
              </a:ext>
            </a:extLst>
          </xdr:cNvPr>
          <xdr:cNvSpPr/>
        </xdr:nvSpPr>
        <xdr:spPr>
          <a:xfrm>
            <a:off x="163250" y="7106225"/>
            <a:ext cx="2928321" cy="813319"/>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algn="r"/>
            <a:r>
              <a:rPr lang="en-US" sz="1400" b="1">
                <a:solidFill>
                  <a:schemeClr val="bg1"/>
                </a:solidFill>
                <a:latin typeface="Georgia" panose="02040502050405020303" pitchFamily="18" charset="0"/>
                <a:ea typeface="+mn-ea"/>
                <a:cs typeface="+mn-cs"/>
              </a:rPr>
              <a:t>Academic</a:t>
            </a:r>
          </a:p>
          <a:p>
            <a:pPr algn="r"/>
            <a:r>
              <a:rPr lang="en-US" sz="1400" b="1">
                <a:solidFill>
                  <a:schemeClr val="bg1"/>
                </a:solidFill>
                <a:latin typeface="Georgia" panose="02040502050405020303" pitchFamily="18" charset="0"/>
                <a:ea typeface="+mn-ea"/>
                <a:cs typeface="+mn-cs"/>
              </a:rPr>
              <a:t>Space Model</a:t>
            </a:r>
          </a:p>
        </xdr:txBody>
      </xdr:sp>
      <xdr:sp macro="" textlink="">
        <xdr:nvSpPr>
          <xdr:cNvPr id="11" name="Rectangle: Rounded Corners 10">
            <a:hlinkClick xmlns:r="http://schemas.openxmlformats.org/officeDocument/2006/relationships" r:id="rId7"/>
            <a:extLst>
              <a:ext uri="{FF2B5EF4-FFF2-40B4-BE49-F238E27FC236}">
                <a16:creationId xmlns:a16="http://schemas.microsoft.com/office/drawing/2014/main" id="{B3567005-7714-E626-0C8B-6FB4C725D2A9}"/>
              </a:ext>
            </a:extLst>
          </xdr:cNvPr>
          <xdr:cNvSpPr/>
        </xdr:nvSpPr>
        <xdr:spPr>
          <a:xfrm>
            <a:off x="163250" y="2729748"/>
            <a:ext cx="2928321" cy="813319"/>
          </a:xfrm>
          <a:prstGeom prst="roundRect">
            <a:avLst/>
          </a:prstGeom>
          <a:solidFill>
            <a:schemeClr val="accent3"/>
          </a:solidFill>
          <a:ln w="9525">
            <a:solidFill>
              <a:schemeClr val="tx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lang="en-US" sz="1400" b="1">
                <a:solidFill>
                  <a:schemeClr val="tx1"/>
                </a:solidFill>
                <a:latin typeface="Georgia" panose="02040502050405020303" pitchFamily="18" charset="0"/>
                <a:ea typeface="+mn-ea"/>
                <a:cs typeface="+mn-cs"/>
              </a:rPr>
              <a:t>Research</a:t>
            </a:r>
          </a:p>
          <a:p>
            <a:pPr marL="0" marR="0" lvl="0" indent="0" algn="r" defTabSz="914400" eaLnBrk="1" fontAlgn="auto" latinLnBrk="0" hangingPunct="1">
              <a:lnSpc>
                <a:spcPct val="100000"/>
              </a:lnSpc>
              <a:spcBef>
                <a:spcPts val="0"/>
              </a:spcBef>
              <a:spcAft>
                <a:spcPts val="0"/>
              </a:spcAft>
              <a:buClrTx/>
              <a:buSzTx/>
              <a:buFontTx/>
              <a:buNone/>
              <a:tabLst/>
              <a:defRPr/>
            </a:pPr>
            <a:r>
              <a:rPr lang="en-US" sz="1400" b="1">
                <a:solidFill>
                  <a:schemeClr val="tx1"/>
                </a:solidFill>
                <a:latin typeface="Georgia" panose="02040502050405020303" pitchFamily="18" charset="0"/>
                <a:ea typeface="+mn-ea"/>
                <a:cs typeface="+mn-cs"/>
              </a:rPr>
              <a:t>(by</a:t>
            </a:r>
            <a:r>
              <a:rPr lang="en-US" sz="1400" b="1" baseline="0">
                <a:solidFill>
                  <a:schemeClr val="tx1"/>
                </a:solidFill>
                <a:latin typeface="Georgia" panose="02040502050405020303" pitchFamily="18" charset="0"/>
                <a:ea typeface="+mn-ea"/>
                <a:cs typeface="+mn-cs"/>
              </a:rPr>
              <a:t> Institution)</a:t>
            </a:r>
            <a:endParaRPr lang="en-US" sz="1400" b="1">
              <a:solidFill>
                <a:schemeClr val="tx1"/>
              </a:solidFill>
              <a:latin typeface="Georgia" panose="02040502050405020303" pitchFamily="18" charset="0"/>
              <a:ea typeface="+mn-ea"/>
              <a:cs typeface="+mn-cs"/>
            </a:endParaRPr>
          </a:p>
        </xdr:txBody>
      </xdr:sp>
      <xdr:sp macro="" textlink="">
        <xdr:nvSpPr>
          <xdr:cNvPr id="12" name="Rectangle: Rounded Corners 11">
            <a:hlinkClick xmlns:r="http://schemas.openxmlformats.org/officeDocument/2006/relationships" r:id="rId8"/>
            <a:extLst>
              <a:ext uri="{FF2B5EF4-FFF2-40B4-BE49-F238E27FC236}">
                <a16:creationId xmlns:a16="http://schemas.microsoft.com/office/drawing/2014/main" id="{D7CE5626-B42C-3CC5-F09B-2A33E13F5517}"/>
              </a:ext>
            </a:extLst>
          </xdr:cNvPr>
          <xdr:cNvSpPr/>
        </xdr:nvSpPr>
        <xdr:spPr>
          <a:xfrm>
            <a:off x="163250" y="3606550"/>
            <a:ext cx="2928321" cy="813319"/>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algn="r"/>
            <a:r>
              <a:rPr lang="en-US" sz="1400" b="1">
                <a:solidFill>
                  <a:schemeClr val="bg1"/>
                </a:solidFill>
                <a:latin typeface="Georgia" panose="02040502050405020303" pitchFamily="18" charset="0"/>
                <a:ea typeface="+mn-ea"/>
                <a:cs typeface="+mn-cs"/>
              </a:rPr>
              <a:t>Summary</a:t>
            </a:r>
          </a:p>
          <a:p>
            <a:pPr algn="r"/>
            <a:r>
              <a:rPr lang="en-US" sz="1400" b="1">
                <a:solidFill>
                  <a:schemeClr val="bg1"/>
                </a:solidFill>
                <a:latin typeface="Georgia" panose="02040502050405020303" pitchFamily="18" charset="0"/>
                <a:ea typeface="+mn-ea"/>
                <a:cs typeface="+mn-cs"/>
              </a:rPr>
              <a:t>(by</a:t>
            </a:r>
            <a:r>
              <a:rPr lang="en-US" sz="1400" b="1" baseline="0">
                <a:solidFill>
                  <a:schemeClr val="bg1"/>
                </a:solidFill>
                <a:latin typeface="Georgia" panose="02040502050405020303" pitchFamily="18" charset="0"/>
                <a:ea typeface="+mn-ea"/>
                <a:cs typeface="+mn-cs"/>
              </a:rPr>
              <a:t> System)</a:t>
            </a:r>
            <a:endParaRPr lang="en-US" sz="1400" b="1">
              <a:solidFill>
                <a:schemeClr val="bg1"/>
              </a:solidFill>
              <a:latin typeface="Georgia" panose="02040502050405020303" pitchFamily="18" charset="0"/>
              <a:ea typeface="+mn-ea"/>
              <a:cs typeface="+mn-cs"/>
            </a:endParaRPr>
          </a:p>
        </xdr:txBody>
      </xdr:sp>
      <xdr:sp macro="" textlink="">
        <xdr:nvSpPr>
          <xdr:cNvPr id="13" name="Rectangle: Rounded Corners 12">
            <a:hlinkClick xmlns:r="http://schemas.openxmlformats.org/officeDocument/2006/relationships" r:id="rId9"/>
            <a:extLst>
              <a:ext uri="{FF2B5EF4-FFF2-40B4-BE49-F238E27FC236}">
                <a16:creationId xmlns:a16="http://schemas.microsoft.com/office/drawing/2014/main" id="{CEC1615B-FB6A-9FE0-C8BB-96FF3C498A3D}"/>
              </a:ext>
            </a:extLst>
          </xdr:cNvPr>
          <xdr:cNvSpPr/>
        </xdr:nvSpPr>
        <xdr:spPr>
          <a:xfrm>
            <a:off x="163250" y="4483351"/>
            <a:ext cx="2928321" cy="813319"/>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algn="r"/>
            <a:r>
              <a:rPr lang="en-US" sz="1400" b="1">
                <a:solidFill>
                  <a:schemeClr val="bg1"/>
                </a:solidFill>
                <a:latin typeface="Georgia" panose="02040502050405020303" pitchFamily="18" charset="0"/>
                <a:ea typeface="+mn-ea"/>
                <a:cs typeface="+mn-cs"/>
              </a:rPr>
              <a:t>Summary </a:t>
            </a:r>
          </a:p>
          <a:p>
            <a:pPr algn="r"/>
            <a:r>
              <a:rPr lang="en-US" sz="1400" b="1">
                <a:solidFill>
                  <a:schemeClr val="bg1"/>
                </a:solidFill>
                <a:latin typeface="Georgia" panose="02040502050405020303" pitchFamily="18" charset="0"/>
                <a:ea typeface="+mn-ea"/>
                <a:cs typeface="+mn-cs"/>
              </a:rPr>
              <a:t>(by Institution Type)</a:t>
            </a:r>
          </a:p>
        </xdr:txBody>
      </xdr:sp>
      <xdr:sp macro="" textlink="">
        <xdr:nvSpPr>
          <xdr:cNvPr id="14" name="Rectangle: Rounded Corners 13">
            <a:hlinkClick xmlns:r="http://schemas.openxmlformats.org/officeDocument/2006/relationships" r:id="rId10"/>
            <a:extLst>
              <a:ext uri="{FF2B5EF4-FFF2-40B4-BE49-F238E27FC236}">
                <a16:creationId xmlns:a16="http://schemas.microsoft.com/office/drawing/2014/main" id="{91E1F889-0D48-2EC4-B6AF-2A469B34BA70}"/>
              </a:ext>
            </a:extLst>
          </xdr:cNvPr>
          <xdr:cNvSpPr/>
        </xdr:nvSpPr>
        <xdr:spPr>
          <a:xfrm>
            <a:off x="163250" y="6229423"/>
            <a:ext cx="2928321" cy="813319"/>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algn="r"/>
            <a:r>
              <a:rPr lang="en-US" sz="1400" b="1">
                <a:solidFill>
                  <a:schemeClr val="bg1"/>
                </a:solidFill>
                <a:latin typeface="Georgia" panose="02040502050405020303" pitchFamily="18" charset="0"/>
                <a:ea typeface="+mn-ea"/>
                <a:cs typeface="+mn-cs"/>
              </a:rPr>
              <a:t>Source of Funds</a:t>
            </a:r>
          </a:p>
        </xdr:txBody>
      </xdr:sp>
      <xdr:pic>
        <xdr:nvPicPr>
          <xdr:cNvPr id="15" name="Graphic 14" descr="Home with solid fill">
            <a:hlinkClick xmlns:r="http://schemas.openxmlformats.org/officeDocument/2006/relationships" r:id="rId1"/>
            <a:extLst>
              <a:ext uri="{FF2B5EF4-FFF2-40B4-BE49-F238E27FC236}">
                <a16:creationId xmlns:a16="http://schemas.microsoft.com/office/drawing/2014/main" id="{7BDBDD7A-5EE3-88ED-78E9-2F3937A6D60C}"/>
              </a:ext>
            </a:extLst>
          </xdr:cNvPr>
          <xdr:cNvPicPr>
            <a:picLocks noChangeAspect="1"/>
          </xdr:cNvPicPr>
        </xdr:nvPicPr>
        <xdr:blipFill>
          <a:blip xmlns:r="http://schemas.openxmlformats.org/officeDocument/2006/relationships" r:embed="rId11">
            <a:extLst>
              <a:ext uri="{96DAC541-7B7A-43D3-8B79-37D633B846F1}">
                <asvg:svgBlip xmlns:asvg="http://schemas.microsoft.com/office/drawing/2016/SVG/main" r:embed="rId12"/>
              </a:ext>
            </a:extLst>
          </a:blip>
          <a:stretch>
            <a:fillRect/>
          </a:stretch>
        </xdr:blipFill>
        <xdr:spPr>
          <a:xfrm>
            <a:off x="265494" y="99001"/>
            <a:ext cx="776889" cy="755704"/>
          </a:xfrm>
          <a:prstGeom prst="rect">
            <a:avLst/>
          </a:prstGeom>
        </xdr:spPr>
      </xdr:pic>
      <xdr:pic>
        <xdr:nvPicPr>
          <xdr:cNvPr id="16" name="Graphic 15" descr="Address Book with solid fill">
            <a:hlinkClick xmlns:r="http://schemas.openxmlformats.org/officeDocument/2006/relationships" r:id="rId2"/>
            <a:extLst>
              <a:ext uri="{FF2B5EF4-FFF2-40B4-BE49-F238E27FC236}">
                <a16:creationId xmlns:a16="http://schemas.microsoft.com/office/drawing/2014/main" id="{2818EDA2-9C67-2311-ED25-489FCDC1B1A7}"/>
              </a:ext>
            </a:extLst>
          </xdr:cNvPr>
          <xdr:cNvPicPr>
            <a:picLocks noChangeAspect="1"/>
          </xdr:cNvPicPr>
        </xdr:nvPicPr>
        <xdr:blipFill>
          <a:blip xmlns:r="http://schemas.openxmlformats.org/officeDocument/2006/relationships" r:embed="rId13">
            <a:extLst>
              <a:ext uri="{96DAC541-7B7A-43D3-8B79-37D633B846F1}">
                <asvg:svgBlip xmlns:asvg="http://schemas.microsoft.com/office/drawing/2016/SVG/main" r:embed="rId14"/>
              </a:ext>
            </a:extLst>
          </a:blip>
          <a:stretch>
            <a:fillRect/>
          </a:stretch>
        </xdr:blipFill>
        <xdr:spPr>
          <a:xfrm>
            <a:off x="265494" y="991919"/>
            <a:ext cx="757011" cy="759464"/>
          </a:xfrm>
          <a:prstGeom prst="rect">
            <a:avLst/>
          </a:prstGeom>
        </xdr:spPr>
      </xdr:pic>
      <xdr:pic>
        <xdr:nvPicPr>
          <xdr:cNvPr id="17" name="Graphic 16" descr="Closed book with solid fill">
            <a:hlinkClick xmlns:r="http://schemas.openxmlformats.org/officeDocument/2006/relationships" r:id="rId3"/>
            <a:extLst>
              <a:ext uri="{FF2B5EF4-FFF2-40B4-BE49-F238E27FC236}">
                <a16:creationId xmlns:a16="http://schemas.microsoft.com/office/drawing/2014/main" id="{3B3A32D0-57F4-2DAC-03F0-5E02F23618A1}"/>
              </a:ext>
            </a:extLst>
          </xdr:cNvPr>
          <xdr:cNvPicPr>
            <a:picLocks noChangeAspect="1"/>
          </xdr:cNvPicPr>
        </xdr:nvPicPr>
        <xdr:blipFill>
          <a:blip xmlns:r="http://schemas.openxmlformats.org/officeDocument/2006/relationships" r:embed="rId15">
            <a:extLst>
              <a:ext uri="{96DAC541-7B7A-43D3-8B79-37D633B846F1}">
                <asvg:svgBlip xmlns:asvg="http://schemas.microsoft.com/office/drawing/2016/SVG/main" r:embed="rId16"/>
              </a:ext>
            </a:extLst>
          </a:blip>
          <a:stretch>
            <a:fillRect/>
          </a:stretch>
        </xdr:blipFill>
        <xdr:spPr>
          <a:xfrm>
            <a:off x="265494" y="1870876"/>
            <a:ext cx="757011" cy="751085"/>
          </a:xfrm>
          <a:prstGeom prst="rect">
            <a:avLst/>
          </a:prstGeom>
        </xdr:spPr>
      </xdr:pic>
      <xdr:pic>
        <xdr:nvPicPr>
          <xdr:cNvPr id="18" name="Graphic 17" descr="Books on shelf with solid fill">
            <a:hlinkClick xmlns:r="http://schemas.openxmlformats.org/officeDocument/2006/relationships" r:id="rId4"/>
            <a:extLst>
              <a:ext uri="{FF2B5EF4-FFF2-40B4-BE49-F238E27FC236}">
                <a16:creationId xmlns:a16="http://schemas.microsoft.com/office/drawing/2014/main" id="{950D75D1-9F5D-4B34-8188-43A6C0090A1C}"/>
              </a:ext>
            </a:extLst>
          </xdr:cNvPr>
          <xdr:cNvPicPr>
            <a:picLocks noChangeAspect="1"/>
          </xdr:cNvPicPr>
        </xdr:nvPicPr>
        <xdr:blipFill>
          <a:blip xmlns:r="http://schemas.openxmlformats.org/officeDocument/2006/relationships" r:embed="rId17">
            <a:extLst>
              <a:ext uri="{96DAC541-7B7A-43D3-8B79-37D633B846F1}">
                <asvg:svgBlip xmlns:asvg="http://schemas.microsoft.com/office/drawing/2016/SVG/main" r:embed="rId18"/>
              </a:ext>
            </a:extLst>
          </a:blip>
          <a:stretch>
            <a:fillRect/>
          </a:stretch>
        </xdr:blipFill>
        <xdr:spPr>
          <a:xfrm>
            <a:off x="265494" y="5377021"/>
            <a:ext cx="767054" cy="759543"/>
          </a:xfrm>
          <a:prstGeom prst="rect">
            <a:avLst/>
          </a:prstGeom>
        </xdr:spPr>
      </xdr:pic>
      <xdr:pic>
        <xdr:nvPicPr>
          <xdr:cNvPr id="19" name="Graphic 18" descr="Users with solid fill">
            <a:hlinkClick xmlns:r="http://schemas.openxmlformats.org/officeDocument/2006/relationships" r:id="rId5"/>
            <a:extLst>
              <a:ext uri="{FF2B5EF4-FFF2-40B4-BE49-F238E27FC236}">
                <a16:creationId xmlns:a16="http://schemas.microsoft.com/office/drawing/2014/main" id="{9139C0CE-D0E6-A797-5AE9-B61F3E013FE4}"/>
              </a:ext>
            </a:extLst>
          </xdr:cNvPr>
          <xdr:cNvPicPr>
            <a:picLocks noChangeAspect="1"/>
          </xdr:cNvPicPr>
        </xdr:nvPicPr>
        <xdr:blipFill>
          <a:blip xmlns:r="http://schemas.openxmlformats.org/officeDocument/2006/relationships" r:embed="rId19">
            <a:extLst>
              <a:ext uri="{96DAC541-7B7A-43D3-8B79-37D633B846F1}">
                <asvg:svgBlip xmlns:asvg="http://schemas.microsoft.com/office/drawing/2016/SVG/main" r:embed="rId20"/>
              </a:ext>
            </a:extLst>
          </a:blip>
          <a:stretch>
            <a:fillRect/>
          </a:stretch>
        </xdr:blipFill>
        <xdr:spPr>
          <a:xfrm>
            <a:off x="265494" y="8038608"/>
            <a:ext cx="766757" cy="756332"/>
          </a:xfrm>
          <a:prstGeom prst="rect">
            <a:avLst/>
          </a:prstGeom>
        </xdr:spPr>
      </xdr:pic>
      <xdr:pic>
        <xdr:nvPicPr>
          <xdr:cNvPr id="20" name="Graphic 19" descr="Document with solid fill">
            <a:hlinkClick xmlns:r="http://schemas.openxmlformats.org/officeDocument/2006/relationships" r:id="rId6"/>
            <a:extLst>
              <a:ext uri="{FF2B5EF4-FFF2-40B4-BE49-F238E27FC236}">
                <a16:creationId xmlns:a16="http://schemas.microsoft.com/office/drawing/2014/main" id="{CF47A0AB-8B47-E232-FF42-55BB1B8CFAD1}"/>
              </a:ext>
            </a:extLst>
          </xdr:cNvPr>
          <xdr:cNvPicPr>
            <a:picLocks noChangeAspect="1"/>
          </xdr:cNvPicPr>
        </xdr:nvPicPr>
        <xdr:blipFill>
          <a:blip xmlns:r="http://schemas.openxmlformats.org/officeDocument/2006/relationships" r:embed="rId21">
            <a:extLst>
              <a:ext uri="{96DAC541-7B7A-43D3-8B79-37D633B846F1}">
                <asvg:svgBlip xmlns:asvg="http://schemas.microsoft.com/office/drawing/2016/SVG/main" r:embed="rId22"/>
              </a:ext>
            </a:extLst>
          </a:blip>
          <a:stretch>
            <a:fillRect/>
          </a:stretch>
        </xdr:blipFill>
        <xdr:spPr>
          <a:xfrm>
            <a:off x="265494" y="7124014"/>
            <a:ext cx="761383" cy="756331"/>
          </a:xfrm>
          <a:prstGeom prst="rect">
            <a:avLst/>
          </a:prstGeom>
        </xdr:spPr>
      </xdr:pic>
      <xdr:pic>
        <xdr:nvPicPr>
          <xdr:cNvPr id="21" name="Graphic 20" descr="Research with solid fill">
            <a:hlinkClick xmlns:r="http://schemas.openxmlformats.org/officeDocument/2006/relationships" r:id="rId7"/>
            <a:extLst>
              <a:ext uri="{FF2B5EF4-FFF2-40B4-BE49-F238E27FC236}">
                <a16:creationId xmlns:a16="http://schemas.microsoft.com/office/drawing/2014/main" id="{E9C81569-A904-D769-B3FE-507DF1E78DD0}"/>
              </a:ext>
            </a:extLst>
          </xdr:cNvPr>
          <xdr:cNvPicPr>
            <a:picLocks noChangeAspect="1"/>
          </xdr:cNvPicPr>
        </xdr:nvPicPr>
        <xdr:blipFill>
          <a:blip xmlns:r="http://schemas.openxmlformats.org/officeDocument/2006/relationships" r:embed="rId23">
            <a:extLst>
              <a:ext uri="{96DAC541-7B7A-43D3-8B79-37D633B846F1}">
                <asvg:svgBlip xmlns:asvg="http://schemas.microsoft.com/office/drawing/2016/SVG/main" r:embed="rId24"/>
              </a:ext>
            </a:extLst>
          </a:blip>
          <a:srcRect/>
          <a:stretch/>
        </xdr:blipFill>
        <xdr:spPr>
          <a:xfrm>
            <a:off x="265494" y="2759175"/>
            <a:ext cx="760910" cy="727528"/>
          </a:xfrm>
          <a:prstGeom prst="rect">
            <a:avLst/>
          </a:prstGeom>
        </xdr:spPr>
      </xdr:pic>
      <xdr:pic>
        <xdr:nvPicPr>
          <xdr:cNvPr id="22" name="Graphic 21" descr="Hierarchy with solid fill">
            <a:hlinkClick xmlns:r="http://schemas.openxmlformats.org/officeDocument/2006/relationships" r:id="rId8"/>
            <a:extLst>
              <a:ext uri="{FF2B5EF4-FFF2-40B4-BE49-F238E27FC236}">
                <a16:creationId xmlns:a16="http://schemas.microsoft.com/office/drawing/2014/main" id="{F26AC491-62B3-B866-CC9F-44052002C9E8}"/>
              </a:ext>
            </a:extLst>
          </xdr:cNvPr>
          <xdr:cNvPicPr>
            <a:picLocks noChangeAspect="1"/>
          </xdr:cNvPicPr>
        </xdr:nvPicPr>
        <xdr:blipFill>
          <a:blip xmlns:r="http://schemas.openxmlformats.org/officeDocument/2006/relationships" r:embed="rId25">
            <a:extLst>
              <a:ext uri="{96DAC541-7B7A-43D3-8B79-37D633B846F1}">
                <asvg:svgBlip xmlns:asvg="http://schemas.microsoft.com/office/drawing/2016/SVG/main" r:embed="rId26"/>
              </a:ext>
            </a:extLst>
          </a:blip>
          <a:stretch>
            <a:fillRect/>
          </a:stretch>
        </xdr:blipFill>
        <xdr:spPr>
          <a:xfrm>
            <a:off x="265494" y="3597336"/>
            <a:ext cx="754766" cy="755701"/>
          </a:xfrm>
          <a:prstGeom prst="rect">
            <a:avLst/>
          </a:prstGeom>
        </xdr:spPr>
      </xdr:pic>
      <xdr:pic>
        <xdr:nvPicPr>
          <xdr:cNvPr id="23" name="Graphic 22" descr="Postit Notes with solid fill">
            <a:hlinkClick xmlns:r="http://schemas.openxmlformats.org/officeDocument/2006/relationships" r:id="rId9"/>
            <a:extLst>
              <a:ext uri="{FF2B5EF4-FFF2-40B4-BE49-F238E27FC236}">
                <a16:creationId xmlns:a16="http://schemas.microsoft.com/office/drawing/2014/main" id="{A90BE7FC-5B51-ABA1-A587-10410B115900}"/>
              </a:ext>
            </a:extLst>
          </xdr:cNvPr>
          <xdr:cNvPicPr>
            <a:picLocks noChangeAspect="1"/>
          </xdr:cNvPicPr>
        </xdr:nvPicPr>
        <xdr:blipFill>
          <a:blip xmlns:r="http://schemas.openxmlformats.org/officeDocument/2006/relationships" r:embed="rId27">
            <a:extLst>
              <a:ext uri="{96DAC541-7B7A-43D3-8B79-37D633B846F1}">
                <asvg:svgBlip xmlns:asvg="http://schemas.microsoft.com/office/drawing/2016/SVG/main" r:embed="rId28"/>
              </a:ext>
            </a:extLst>
          </a:blip>
          <a:stretch>
            <a:fillRect/>
          </a:stretch>
        </xdr:blipFill>
        <xdr:spPr>
          <a:xfrm>
            <a:off x="265494" y="4499110"/>
            <a:ext cx="754766" cy="755754"/>
          </a:xfrm>
          <a:prstGeom prst="rect">
            <a:avLst/>
          </a:prstGeom>
        </xdr:spPr>
      </xdr:pic>
      <xdr:pic>
        <xdr:nvPicPr>
          <xdr:cNvPr id="24" name="Graphic 23" descr="Money with solid fill">
            <a:hlinkClick xmlns:r="http://schemas.openxmlformats.org/officeDocument/2006/relationships" r:id="rId10"/>
            <a:extLst>
              <a:ext uri="{FF2B5EF4-FFF2-40B4-BE49-F238E27FC236}">
                <a16:creationId xmlns:a16="http://schemas.microsoft.com/office/drawing/2014/main" id="{003CEE9E-F563-CE52-FA21-0179E451FB16}"/>
              </a:ext>
            </a:extLst>
          </xdr:cNvPr>
          <xdr:cNvPicPr>
            <a:picLocks noChangeAspect="1"/>
          </xdr:cNvPicPr>
        </xdr:nvPicPr>
        <xdr:blipFill>
          <a:blip xmlns:r="http://schemas.openxmlformats.org/officeDocument/2006/relationships" r:embed="rId29">
            <a:extLst>
              <a:ext uri="{96DAC541-7B7A-43D3-8B79-37D633B846F1}">
                <asvg:svgBlip xmlns:asvg="http://schemas.microsoft.com/office/drawing/2016/SVG/main" r:embed="rId30"/>
              </a:ext>
            </a:extLst>
          </a:blip>
          <a:srcRect/>
          <a:stretch/>
        </xdr:blipFill>
        <xdr:spPr>
          <a:xfrm>
            <a:off x="265494" y="6235676"/>
            <a:ext cx="767054" cy="733405"/>
          </a:xfrm>
          <a:prstGeom prst="rect">
            <a:avLst/>
          </a:prstGeom>
        </xdr:spPr>
      </xdr:pic>
    </xdr:grp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30480</xdr:colOff>
      <xdr:row>0</xdr:row>
      <xdr:rowOff>30480</xdr:rowOff>
    </xdr:from>
    <xdr:to>
      <xdr:col>5</xdr:col>
      <xdr:colOff>438149</xdr:colOff>
      <xdr:row>23</xdr:row>
      <xdr:rowOff>98709</xdr:rowOff>
    </xdr:to>
    <xdr:grpSp>
      <xdr:nvGrpSpPr>
        <xdr:cNvPr id="25" name="Group 24">
          <a:extLst>
            <a:ext uri="{FF2B5EF4-FFF2-40B4-BE49-F238E27FC236}">
              <a16:creationId xmlns:a16="http://schemas.microsoft.com/office/drawing/2014/main" id="{25D65020-9672-C456-6C48-F2CE716AF176}"/>
            </a:ext>
          </a:extLst>
        </xdr:cNvPr>
        <xdr:cNvGrpSpPr/>
      </xdr:nvGrpSpPr>
      <xdr:grpSpPr>
        <a:xfrm>
          <a:off x="30480" y="30480"/>
          <a:ext cx="3169919" cy="8831229"/>
          <a:chOff x="30480" y="30480"/>
          <a:chExt cx="3188969" cy="8831229"/>
        </a:xfrm>
      </xdr:grpSpPr>
      <xdr:sp macro="" textlink="">
        <xdr:nvSpPr>
          <xdr:cNvPr id="3" name="Rectangle: Rounded Corners 2">
            <a:extLst>
              <a:ext uri="{FF2B5EF4-FFF2-40B4-BE49-F238E27FC236}">
                <a16:creationId xmlns:a16="http://schemas.microsoft.com/office/drawing/2014/main" id="{4A815D8A-0B08-F48D-9011-FD30F13E55AA}"/>
              </a:ext>
            </a:extLst>
          </xdr:cNvPr>
          <xdr:cNvSpPr/>
        </xdr:nvSpPr>
        <xdr:spPr>
          <a:xfrm>
            <a:off x="30480" y="30480"/>
            <a:ext cx="3188969" cy="8831229"/>
          </a:xfrm>
          <a:prstGeom prst="roundRect">
            <a:avLst>
              <a:gd name="adj" fmla="val 6618"/>
            </a:avLst>
          </a:prstGeom>
          <a:ln/>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t"/>
          <a:lstStyle/>
          <a:p>
            <a:pPr algn="l"/>
            <a:endParaRPr lang="en-US" sz="1100"/>
          </a:p>
        </xdr:txBody>
      </xdr:sp>
      <xdr:sp macro="" textlink="">
        <xdr:nvSpPr>
          <xdr:cNvPr id="5" name="Rectangle: Rounded Corners 4">
            <a:hlinkClick xmlns:r="http://schemas.openxmlformats.org/officeDocument/2006/relationships" r:id="rId1"/>
            <a:extLst>
              <a:ext uri="{FF2B5EF4-FFF2-40B4-BE49-F238E27FC236}">
                <a16:creationId xmlns:a16="http://schemas.microsoft.com/office/drawing/2014/main" id="{6A254D76-1E6C-37D8-71FB-0A360D232880}"/>
              </a:ext>
            </a:extLst>
          </xdr:cNvPr>
          <xdr:cNvSpPr/>
        </xdr:nvSpPr>
        <xdr:spPr>
          <a:xfrm>
            <a:off x="163250" y="99344"/>
            <a:ext cx="2928321" cy="813319"/>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lvl="0" algn="r"/>
            <a:r>
              <a:rPr lang="en-US" sz="1400" b="1">
                <a:solidFill>
                  <a:schemeClr val="bg1"/>
                </a:solidFill>
                <a:latin typeface="Georgia" panose="02040502050405020303" pitchFamily="18" charset="0"/>
              </a:rPr>
              <a:t>Table</a:t>
            </a:r>
            <a:r>
              <a:rPr lang="en-US" sz="1400" b="1" baseline="0">
                <a:solidFill>
                  <a:schemeClr val="bg1"/>
                </a:solidFill>
                <a:latin typeface="Georgia" panose="02040502050405020303" pitchFamily="18" charset="0"/>
              </a:rPr>
              <a:t> of Contents</a:t>
            </a:r>
            <a:endParaRPr lang="en-US" sz="1400" b="1">
              <a:solidFill>
                <a:schemeClr val="bg1"/>
              </a:solidFill>
              <a:latin typeface="Georgia" panose="02040502050405020303" pitchFamily="18" charset="0"/>
            </a:endParaRPr>
          </a:p>
        </xdr:txBody>
      </xdr:sp>
      <xdr:sp macro="" textlink="">
        <xdr:nvSpPr>
          <xdr:cNvPr id="6" name="Rectangle: Rounded Corners 5">
            <a:hlinkClick xmlns:r="http://schemas.openxmlformats.org/officeDocument/2006/relationships" r:id="rId2"/>
            <a:extLst>
              <a:ext uri="{FF2B5EF4-FFF2-40B4-BE49-F238E27FC236}">
                <a16:creationId xmlns:a16="http://schemas.microsoft.com/office/drawing/2014/main" id="{BB539279-10CE-134F-5BD2-9F0FDEA18664}"/>
              </a:ext>
            </a:extLst>
          </xdr:cNvPr>
          <xdr:cNvSpPr/>
        </xdr:nvSpPr>
        <xdr:spPr>
          <a:xfrm>
            <a:off x="163250" y="976145"/>
            <a:ext cx="2928321" cy="813319"/>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lang="en-US" sz="1400" b="1">
                <a:solidFill>
                  <a:schemeClr val="bg1"/>
                </a:solidFill>
                <a:latin typeface="Georgia" panose="02040502050405020303" pitchFamily="18" charset="0"/>
                <a:ea typeface="+mn-ea"/>
                <a:cs typeface="+mn-cs"/>
              </a:rPr>
              <a:t>Contact Information</a:t>
            </a:r>
          </a:p>
        </xdr:txBody>
      </xdr:sp>
      <xdr:sp macro="" textlink="">
        <xdr:nvSpPr>
          <xdr:cNvPr id="7" name="Rectangle: Rounded Corners 6">
            <a:hlinkClick xmlns:r="http://schemas.openxmlformats.org/officeDocument/2006/relationships" r:id="rId3"/>
            <a:extLst>
              <a:ext uri="{FF2B5EF4-FFF2-40B4-BE49-F238E27FC236}">
                <a16:creationId xmlns:a16="http://schemas.microsoft.com/office/drawing/2014/main" id="{1E8E60DB-45A6-DE06-7975-55BE6CB60D85}"/>
              </a:ext>
            </a:extLst>
          </xdr:cNvPr>
          <xdr:cNvSpPr/>
        </xdr:nvSpPr>
        <xdr:spPr>
          <a:xfrm>
            <a:off x="163250" y="1852947"/>
            <a:ext cx="2928321" cy="813319"/>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lang="en-US" sz="1400" b="1">
                <a:solidFill>
                  <a:schemeClr val="bg1"/>
                </a:solidFill>
                <a:latin typeface="Georgia" panose="02040502050405020303" pitchFamily="18" charset="0"/>
                <a:ea typeface="+mn-ea"/>
                <a:cs typeface="+mn-cs"/>
              </a:rPr>
              <a:t>Research </a:t>
            </a:r>
            <a:r>
              <a:rPr lang="en-US" sz="1400" b="1" baseline="0">
                <a:solidFill>
                  <a:schemeClr val="bg1"/>
                </a:solidFill>
                <a:latin typeface="Georgia" panose="02040502050405020303" pitchFamily="18" charset="0"/>
                <a:ea typeface="+mn-ea"/>
                <a:cs typeface="+mn-cs"/>
              </a:rPr>
              <a:t>Guidance</a:t>
            </a:r>
            <a:endParaRPr lang="en-US" sz="1400" b="1">
              <a:solidFill>
                <a:schemeClr val="bg1"/>
              </a:solidFill>
              <a:latin typeface="Georgia" panose="02040502050405020303" pitchFamily="18" charset="0"/>
              <a:ea typeface="+mn-ea"/>
              <a:cs typeface="+mn-cs"/>
            </a:endParaRPr>
          </a:p>
        </xdr:txBody>
      </xdr:sp>
      <xdr:sp macro="" textlink="">
        <xdr:nvSpPr>
          <xdr:cNvPr id="8" name="Rectangle: Rounded Corners 7">
            <a:hlinkClick xmlns:r="http://schemas.openxmlformats.org/officeDocument/2006/relationships" r:id="rId4"/>
            <a:extLst>
              <a:ext uri="{FF2B5EF4-FFF2-40B4-BE49-F238E27FC236}">
                <a16:creationId xmlns:a16="http://schemas.microsoft.com/office/drawing/2014/main" id="{312DA402-A1B0-C532-9185-1DF170F87578}"/>
              </a:ext>
            </a:extLst>
          </xdr:cNvPr>
          <xdr:cNvSpPr/>
        </xdr:nvSpPr>
        <xdr:spPr>
          <a:xfrm>
            <a:off x="163250" y="5352622"/>
            <a:ext cx="2928321" cy="813319"/>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lang="en-US" sz="1400" b="1">
                <a:solidFill>
                  <a:schemeClr val="bg1"/>
                </a:solidFill>
                <a:latin typeface="Georgia" panose="02040502050405020303" pitchFamily="18" charset="0"/>
                <a:ea typeface="+mn-ea"/>
                <a:cs typeface="+mn-cs"/>
              </a:rPr>
              <a:t>Almanac</a:t>
            </a:r>
          </a:p>
        </xdr:txBody>
      </xdr:sp>
      <xdr:sp macro="" textlink="">
        <xdr:nvSpPr>
          <xdr:cNvPr id="9" name="Rectangle: Rounded Corners 8">
            <a:hlinkClick xmlns:r="http://schemas.openxmlformats.org/officeDocument/2006/relationships" r:id="rId5"/>
            <a:extLst>
              <a:ext uri="{FF2B5EF4-FFF2-40B4-BE49-F238E27FC236}">
                <a16:creationId xmlns:a16="http://schemas.microsoft.com/office/drawing/2014/main" id="{72A734F5-C4CB-30F9-5C20-847187036444}"/>
              </a:ext>
            </a:extLst>
          </xdr:cNvPr>
          <xdr:cNvSpPr/>
        </xdr:nvSpPr>
        <xdr:spPr>
          <a:xfrm>
            <a:off x="163250" y="7983024"/>
            <a:ext cx="2928321" cy="813319"/>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lang="en-US" sz="1400" b="1">
                <a:solidFill>
                  <a:schemeClr val="bg1"/>
                </a:solidFill>
                <a:latin typeface="Georgia" panose="02040502050405020303" pitchFamily="18" charset="0"/>
                <a:ea typeface="+mn-ea"/>
                <a:cs typeface="+mn-cs"/>
              </a:rPr>
              <a:t>FTSE | FTFE</a:t>
            </a:r>
          </a:p>
        </xdr:txBody>
      </xdr:sp>
      <xdr:sp macro="" textlink="">
        <xdr:nvSpPr>
          <xdr:cNvPr id="10" name="Rectangle: Rounded Corners 9">
            <a:hlinkClick xmlns:r="http://schemas.openxmlformats.org/officeDocument/2006/relationships" r:id="rId6"/>
            <a:extLst>
              <a:ext uri="{FF2B5EF4-FFF2-40B4-BE49-F238E27FC236}">
                <a16:creationId xmlns:a16="http://schemas.microsoft.com/office/drawing/2014/main" id="{1EA92DFB-75DD-A449-0FA1-7665FABC9419}"/>
              </a:ext>
            </a:extLst>
          </xdr:cNvPr>
          <xdr:cNvSpPr/>
        </xdr:nvSpPr>
        <xdr:spPr>
          <a:xfrm>
            <a:off x="163250" y="7106225"/>
            <a:ext cx="2928321" cy="813319"/>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algn="r"/>
            <a:r>
              <a:rPr lang="en-US" sz="1400" b="1">
                <a:solidFill>
                  <a:schemeClr val="bg1"/>
                </a:solidFill>
                <a:latin typeface="Georgia" panose="02040502050405020303" pitchFamily="18" charset="0"/>
                <a:ea typeface="+mn-ea"/>
                <a:cs typeface="+mn-cs"/>
              </a:rPr>
              <a:t>Academic</a:t>
            </a:r>
          </a:p>
          <a:p>
            <a:pPr algn="r"/>
            <a:r>
              <a:rPr lang="en-US" sz="1400" b="1">
                <a:solidFill>
                  <a:schemeClr val="bg1"/>
                </a:solidFill>
                <a:latin typeface="Georgia" panose="02040502050405020303" pitchFamily="18" charset="0"/>
                <a:ea typeface="+mn-ea"/>
                <a:cs typeface="+mn-cs"/>
              </a:rPr>
              <a:t>Space Model</a:t>
            </a:r>
          </a:p>
        </xdr:txBody>
      </xdr:sp>
      <xdr:sp macro="" textlink="">
        <xdr:nvSpPr>
          <xdr:cNvPr id="11" name="Rectangle: Rounded Corners 10">
            <a:hlinkClick xmlns:r="http://schemas.openxmlformats.org/officeDocument/2006/relationships" r:id="rId7"/>
            <a:extLst>
              <a:ext uri="{FF2B5EF4-FFF2-40B4-BE49-F238E27FC236}">
                <a16:creationId xmlns:a16="http://schemas.microsoft.com/office/drawing/2014/main" id="{F5DB55DD-2D8F-86DF-91EB-E3B5A89F4B3C}"/>
              </a:ext>
            </a:extLst>
          </xdr:cNvPr>
          <xdr:cNvSpPr/>
        </xdr:nvSpPr>
        <xdr:spPr>
          <a:xfrm>
            <a:off x="163250" y="2729748"/>
            <a:ext cx="2928321" cy="813319"/>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lang="en-US" sz="1400" b="1">
                <a:solidFill>
                  <a:schemeClr val="bg1"/>
                </a:solidFill>
                <a:latin typeface="Georgia" panose="02040502050405020303" pitchFamily="18" charset="0"/>
                <a:ea typeface="+mn-ea"/>
                <a:cs typeface="+mn-cs"/>
              </a:rPr>
              <a:t>Research</a:t>
            </a:r>
          </a:p>
          <a:p>
            <a:pPr marL="0" marR="0" lvl="0" indent="0" algn="r" defTabSz="914400" eaLnBrk="1" fontAlgn="auto" latinLnBrk="0" hangingPunct="1">
              <a:lnSpc>
                <a:spcPct val="100000"/>
              </a:lnSpc>
              <a:spcBef>
                <a:spcPts val="0"/>
              </a:spcBef>
              <a:spcAft>
                <a:spcPts val="0"/>
              </a:spcAft>
              <a:buClrTx/>
              <a:buSzTx/>
              <a:buFontTx/>
              <a:buNone/>
              <a:tabLst/>
              <a:defRPr/>
            </a:pPr>
            <a:r>
              <a:rPr lang="en-US" sz="1400" b="1">
                <a:solidFill>
                  <a:schemeClr val="bg1"/>
                </a:solidFill>
                <a:latin typeface="Georgia" panose="02040502050405020303" pitchFamily="18" charset="0"/>
                <a:ea typeface="+mn-ea"/>
                <a:cs typeface="+mn-cs"/>
              </a:rPr>
              <a:t>(by</a:t>
            </a:r>
            <a:r>
              <a:rPr lang="en-US" sz="1400" b="1" baseline="0">
                <a:solidFill>
                  <a:schemeClr val="bg1"/>
                </a:solidFill>
                <a:latin typeface="Georgia" panose="02040502050405020303" pitchFamily="18" charset="0"/>
                <a:ea typeface="+mn-ea"/>
                <a:cs typeface="+mn-cs"/>
              </a:rPr>
              <a:t> Institution)</a:t>
            </a:r>
            <a:endParaRPr lang="en-US" sz="1400" b="1">
              <a:solidFill>
                <a:schemeClr val="bg1"/>
              </a:solidFill>
              <a:latin typeface="Georgia" panose="02040502050405020303" pitchFamily="18" charset="0"/>
              <a:ea typeface="+mn-ea"/>
              <a:cs typeface="+mn-cs"/>
            </a:endParaRPr>
          </a:p>
        </xdr:txBody>
      </xdr:sp>
      <xdr:sp macro="" textlink="">
        <xdr:nvSpPr>
          <xdr:cNvPr id="12" name="Rectangle: Rounded Corners 11">
            <a:hlinkClick xmlns:r="http://schemas.openxmlformats.org/officeDocument/2006/relationships" r:id="rId8"/>
            <a:extLst>
              <a:ext uri="{FF2B5EF4-FFF2-40B4-BE49-F238E27FC236}">
                <a16:creationId xmlns:a16="http://schemas.microsoft.com/office/drawing/2014/main" id="{352D27F3-1034-1D1E-71D1-F6612622E899}"/>
              </a:ext>
            </a:extLst>
          </xdr:cNvPr>
          <xdr:cNvSpPr/>
        </xdr:nvSpPr>
        <xdr:spPr>
          <a:xfrm>
            <a:off x="163250" y="3606550"/>
            <a:ext cx="2928321" cy="813319"/>
          </a:xfrm>
          <a:prstGeom prst="roundRect">
            <a:avLst/>
          </a:prstGeom>
          <a:solidFill>
            <a:schemeClr val="accent3"/>
          </a:solidFill>
          <a:ln w="9525">
            <a:solidFill>
              <a:schemeClr val="tx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algn="r"/>
            <a:r>
              <a:rPr lang="en-US" sz="1400" b="1">
                <a:solidFill>
                  <a:schemeClr val="tx1"/>
                </a:solidFill>
                <a:latin typeface="Georgia" panose="02040502050405020303" pitchFamily="18" charset="0"/>
                <a:ea typeface="+mn-ea"/>
                <a:cs typeface="+mn-cs"/>
              </a:rPr>
              <a:t>Summary</a:t>
            </a:r>
          </a:p>
          <a:p>
            <a:pPr algn="r"/>
            <a:r>
              <a:rPr lang="en-US" sz="1400" b="1">
                <a:solidFill>
                  <a:schemeClr val="tx1"/>
                </a:solidFill>
                <a:latin typeface="Georgia" panose="02040502050405020303" pitchFamily="18" charset="0"/>
                <a:ea typeface="+mn-ea"/>
                <a:cs typeface="+mn-cs"/>
              </a:rPr>
              <a:t>(by</a:t>
            </a:r>
            <a:r>
              <a:rPr lang="en-US" sz="1400" b="1" baseline="0">
                <a:solidFill>
                  <a:schemeClr val="tx1"/>
                </a:solidFill>
                <a:latin typeface="Georgia" panose="02040502050405020303" pitchFamily="18" charset="0"/>
                <a:ea typeface="+mn-ea"/>
                <a:cs typeface="+mn-cs"/>
              </a:rPr>
              <a:t> System)</a:t>
            </a:r>
            <a:endParaRPr lang="en-US" sz="1400" b="1">
              <a:solidFill>
                <a:schemeClr val="tx1"/>
              </a:solidFill>
              <a:latin typeface="Georgia" panose="02040502050405020303" pitchFamily="18" charset="0"/>
              <a:ea typeface="+mn-ea"/>
              <a:cs typeface="+mn-cs"/>
            </a:endParaRPr>
          </a:p>
        </xdr:txBody>
      </xdr:sp>
      <xdr:sp macro="" textlink="">
        <xdr:nvSpPr>
          <xdr:cNvPr id="13" name="Rectangle: Rounded Corners 12">
            <a:hlinkClick xmlns:r="http://schemas.openxmlformats.org/officeDocument/2006/relationships" r:id="rId9"/>
            <a:extLst>
              <a:ext uri="{FF2B5EF4-FFF2-40B4-BE49-F238E27FC236}">
                <a16:creationId xmlns:a16="http://schemas.microsoft.com/office/drawing/2014/main" id="{CDC88FE2-CB35-C181-09F5-96648597AEE6}"/>
              </a:ext>
            </a:extLst>
          </xdr:cNvPr>
          <xdr:cNvSpPr/>
        </xdr:nvSpPr>
        <xdr:spPr>
          <a:xfrm>
            <a:off x="163250" y="4483351"/>
            <a:ext cx="2928321" cy="813319"/>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algn="r"/>
            <a:r>
              <a:rPr lang="en-US" sz="1400" b="1">
                <a:solidFill>
                  <a:schemeClr val="bg1"/>
                </a:solidFill>
                <a:latin typeface="Georgia" panose="02040502050405020303" pitchFamily="18" charset="0"/>
                <a:ea typeface="+mn-ea"/>
                <a:cs typeface="+mn-cs"/>
              </a:rPr>
              <a:t>Summary </a:t>
            </a:r>
          </a:p>
          <a:p>
            <a:pPr algn="r"/>
            <a:r>
              <a:rPr lang="en-US" sz="1400" b="1">
                <a:solidFill>
                  <a:schemeClr val="bg1"/>
                </a:solidFill>
                <a:latin typeface="Georgia" panose="02040502050405020303" pitchFamily="18" charset="0"/>
                <a:ea typeface="+mn-ea"/>
                <a:cs typeface="+mn-cs"/>
              </a:rPr>
              <a:t>(by Institution Type)</a:t>
            </a:r>
          </a:p>
        </xdr:txBody>
      </xdr:sp>
      <xdr:sp macro="" textlink="">
        <xdr:nvSpPr>
          <xdr:cNvPr id="14" name="Rectangle: Rounded Corners 13">
            <a:hlinkClick xmlns:r="http://schemas.openxmlformats.org/officeDocument/2006/relationships" r:id="rId10"/>
            <a:extLst>
              <a:ext uri="{FF2B5EF4-FFF2-40B4-BE49-F238E27FC236}">
                <a16:creationId xmlns:a16="http://schemas.microsoft.com/office/drawing/2014/main" id="{B40AEE18-9F85-E401-B383-6EEB1FE39484}"/>
              </a:ext>
            </a:extLst>
          </xdr:cNvPr>
          <xdr:cNvSpPr/>
        </xdr:nvSpPr>
        <xdr:spPr>
          <a:xfrm>
            <a:off x="163250" y="6229423"/>
            <a:ext cx="2928321" cy="813319"/>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algn="r"/>
            <a:r>
              <a:rPr lang="en-US" sz="1400" b="1">
                <a:solidFill>
                  <a:schemeClr val="bg1"/>
                </a:solidFill>
                <a:latin typeface="Georgia" panose="02040502050405020303" pitchFamily="18" charset="0"/>
                <a:ea typeface="+mn-ea"/>
                <a:cs typeface="+mn-cs"/>
              </a:rPr>
              <a:t>Source of Funds</a:t>
            </a:r>
          </a:p>
        </xdr:txBody>
      </xdr:sp>
      <xdr:pic>
        <xdr:nvPicPr>
          <xdr:cNvPr id="15" name="Graphic 14" descr="Home with solid fill">
            <a:hlinkClick xmlns:r="http://schemas.openxmlformats.org/officeDocument/2006/relationships" r:id="rId1"/>
            <a:extLst>
              <a:ext uri="{FF2B5EF4-FFF2-40B4-BE49-F238E27FC236}">
                <a16:creationId xmlns:a16="http://schemas.microsoft.com/office/drawing/2014/main" id="{8A64A196-6AFD-9546-1E94-2F8DBEFC29B6}"/>
              </a:ext>
            </a:extLst>
          </xdr:cNvPr>
          <xdr:cNvPicPr>
            <a:picLocks noChangeAspect="1"/>
          </xdr:cNvPicPr>
        </xdr:nvPicPr>
        <xdr:blipFill>
          <a:blip xmlns:r="http://schemas.openxmlformats.org/officeDocument/2006/relationships" r:embed="rId11">
            <a:extLst>
              <a:ext uri="{96DAC541-7B7A-43D3-8B79-37D633B846F1}">
                <asvg:svgBlip xmlns:asvg="http://schemas.microsoft.com/office/drawing/2016/SVG/main" r:embed="rId12"/>
              </a:ext>
            </a:extLst>
          </a:blip>
          <a:stretch>
            <a:fillRect/>
          </a:stretch>
        </xdr:blipFill>
        <xdr:spPr>
          <a:xfrm>
            <a:off x="265494" y="99001"/>
            <a:ext cx="776889" cy="755704"/>
          </a:xfrm>
          <a:prstGeom prst="rect">
            <a:avLst/>
          </a:prstGeom>
        </xdr:spPr>
      </xdr:pic>
      <xdr:pic>
        <xdr:nvPicPr>
          <xdr:cNvPr id="16" name="Graphic 15" descr="Address Book with solid fill">
            <a:hlinkClick xmlns:r="http://schemas.openxmlformats.org/officeDocument/2006/relationships" r:id="rId2"/>
            <a:extLst>
              <a:ext uri="{FF2B5EF4-FFF2-40B4-BE49-F238E27FC236}">
                <a16:creationId xmlns:a16="http://schemas.microsoft.com/office/drawing/2014/main" id="{63953954-C37F-4056-02D6-7A5849F44EA1}"/>
              </a:ext>
            </a:extLst>
          </xdr:cNvPr>
          <xdr:cNvPicPr>
            <a:picLocks noChangeAspect="1"/>
          </xdr:cNvPicPr>
        </xdr:nvPicPr>
        <xdr:blipFill>
          <a:blip xmlns:r="http://schemas.openxmlformats.org/officeDocument/2006/relationships" r:embed="rId13">
            <a:extLst>
              <a:ext uri="{96DAC541-7B7A-43D3-8B79-37D633B846F1}">
                <asvg:svgBlip xmlns:asvg="http://schemas.microsoft.com/office/drawing/2016/SVG/main" r:embed="rId14"/>
              </a:ext>
            </a:extLst>
          </a:blip>
          <a:stretch>
            <a:fillRect/>
          </a:stretch>
        </xdr:blipFill>
        <xdr:spPr>
          <a:xfrm>
            <a:off x="265494" y="991919"/>
            <a:ext cx="757011" cy="759464"/>
          </a:xfrm>
          <a:prstGeom prst="rect">
            <a:avLst/>
          </a:prstGeom>
        </xdr:spPr>
      </xdr:pic>
      <xdr:pic>
        <xdr:nvPicPr>
          <xdr:cNvPr id="17" name="Graphic 16" descr="Closed book with solid fill">
            <a:hlinkClick xmlns:r="http://schemas.openxmlformats.org/officeDocument/2006/relationships" r:id="rId3"/>
            <a:extLst>
              <a:ext uri="{FF2B5EF4-FFF2-40B4-BE49-F238E27FC236}">
                <a16:creationId xmlns:a16="http://schemas.microsoft.com/office/drawing/2014/main" id="{71F02686-1CB7-1E65-CBCD-2E21FABA6205}"/>
              </a:ext>
            </a:extLst>
          </xdr:cNvPr>
          <xdr:cNvPicPr>
            <a:picLocks noChangeAspect="1"/>
          </xdr:cNvPicPr>
        </xdr:nvPicPr>
        <xdr:blipFill>
          <a:blip xmlns:r="http://schemas.openxmlformats.org/officeDocument/2006/relationships" r:embed="rId15">
            <a:extLst>
              <a:ext uri="{96DAC541-7B7A-43D3-8B79-37D633B846F1}">
                <asvg:svgBlip xmlns:asvg="http://schemas.microsoft.com/office/drawing/2016/SVG/main" r:embed="rId16"/>
              </a:ext>
            </a:extLst>
          </a:blip>
          <a:stretch>
            <a:fillRect/>
          </a:stretch>
        </xdr:blipFill>
        <xdr:spPr>
          <a:xfrm>
            <a:off x="265494" y="1870876"/>
            <a:ext cx="757011" cy="751085"/>
          </a:xfrm>
          <a:prstGeom prst="rect">
            <a:avLst/>
          </a:prstGeom>
        </xdr:spPr>
      </xdr:pic>
      <xdr:pic>
        <xdr:nvPicPr>
          <xdr:cNvPr id="18" name="Graphic 17" descr="Books on shelf with solid fill">
            <a:hlinkClick xmlns:r="http://schemas.openxmlformats.org/officeDocument/2006/relationships" r:id="rId4"/>
            <a:extLst>
              <a:ext uri="{FF2B5EF4-FFF2-40B4-BE49-F238E27FC236}">
                <a16:creationId xmlns:a16="http://schemas.microsoft.com/office/drawing/2014/main" id="{1776EC2F-DA6F-B70B-9A1E-E4B8BD824850}"/>
              </a:ext>
            </a:extLst>
          </xdr:cNvPr>
          <xdr:cNvPicPr>
            <a:picLocks noChangeAspect="1"/>
          </xdr:cNvPicPr>
        </xdr:nvPicPr>
        <xdr:blipFill>
          <a:blip xmlns:r="http://schemas.openxmlformats.org/officeDocument/2006/relationships" r:embed="rId17">
            <a:extLst>
              <a:ext uri="{96DAC541-7B7A-43D3-8B79-37D633B846F1}">
                <asvg:svgBlip xmlns:asvg="http://schemas.microsoft.com/office/drawing/2016/SVG/main" r:embed="rId18"/>
              </a:ext>
            </a:extLst>
          </a:blip>
          <a:stretch>
            <a:fillRect/>
          </a:stretch>
        </xdr:blipFill>
        <xdr:spPr>
          <a:xfrm>
            <a:off x="265494" y="5377021"/>
            <a:ext cx="767054" cy="759543"/>
          </a:xfrm>
          <a:prstGeom prst="rect">
            <a:avLst/>
          </a:prstGeom>
        </xdr:spPr>
      </xdr:pic>
      <xdr:pic>
        <xdr:nvPicPr>
          <xdr:cNvPr id="19" name="Graphic 18" descr="Users with solid fill">
            <a:hlinkClick xmlns:r="http://schemas.openxmlformats.org/officeDocument/2006/relationships" r:id="rId5"/>
            <a:extLst>
              <a:ext uri="{FF2B5EF4-FFF2-40B4-BE49-F238E27FC236}">
                <a16:creationId xmlns:a16="http://schemas.microsoft.com/office/drawing/2014/main" id="{E9F73FB8-4EAD-8C2E-C9E0-B7BEA19040D8}"/>
              </a:ext>
            </a:extLst>
          </xdr:cNvPr>
          <xdr:cNvPicPr>
            <a:picLocks noChangeAspect="1"/>
          </xdr:cNvPicPr>
        </xdr:nvPicPr>
        <xdr:blipFill>
          <a:blip xmlns:r="http://schemas.openxmlformats.org/officeDocument/2006/relationships" r:embed="rId19">
            <a:extLst>
              <a:ext uri="{96DAC541-7B7A-43D3-8B79-37D633B846F1}">
                <asvg:svgBlip xmlns:asvg="http://schemas.microsoft.com/office/drawing/2016/SVG/main" r:embed="rId20"/>
              </a:ext>
            </a:extLst>
          </a:blip>
          <a:stretch>
            <a:fillRect/>
          </a:stretch>
        </xdr:blipFill>
        <xdr:spPr>
          <a:xfrm>
            <a:off x="265494" y="8038608"/>
            <a:ext cx="766757" cy="756332"/>
          </a:xfrm>
          <a:prstGeom prst="rect">
            <a:avLst/>
          </a:prstGeom>
        </xdr:spPr>
      </xdr:pic>
      <xdr:pic>
        <xdr:nvPicPr>
          <xdr:cNvPr id="20" name="Graphic 19" descr="Document with solid fill">
            <a:hlinkClick xmlns:r="http://schemas.openxmlformats.org/officeDocument/2006/relationships" r:id="rId6"/>
            <a:extLst>
              <a:ext uri="{FF2B5EF4-FFF2-40B4-BE49-F238E27FC236}">
                <a16:creationId xmlns:a16="http://schemas.microsoft.com/office/drawing/2014/main" id="{8657CA32-1D80-F234-F62B-E58B63E29E82}"/>
              </a:ext>
            </a:extLst>
          </xdr:cNvPr>
          <xdr:cNvPicPr>
            <a:picLocks noChangeAspect="1"/>
          </xdr:cNvPicPr>
        </xdr:nvPicPr>
        <xdr:blipFill>
          <a:blip xmlns:r="http://schemas.openxmlformats.org/officeDocument/2006/relationships" r:embed="rId21">
            <a:extLst>
              <a:ext uri="{96DAC541-7B7A-43D3-8B79-37D633B846F1}">
                <asvg:svgBlip xmlns:asvg="http://schemas.microsoft.com/office/drawing/2016/SVG/main" r:embed="rId22"/>
              </a:ext>
            </a:extLst>
          </a:blip>
          <a:stretch>
            <a:fillRect/>
          </a:stretch>
        </xdr:blipFill>
        <xdr:spPr>
          <a:xfrm>
            <a:off x="265494" y="7124014"/>
            <a:ext cx="761383" cy="756331"/>
          </a:xfrm>
          <a:prstGeom prst="rect">
            <a:avLst/>
          </a:prstGeom>
        </xdr:spPr>
      </xdr:pic>
      <xdr:pic>
        <xdr:nvPicPr>
          <xdr:cNvPr id="21" name="Graphic 20" descr="Research with solid fill">
            <a:hlinkClick xmlns:r="http://schemas.openxmlformats.org/officeDocument/2006/relationships" r:id="rId7"/>
            <a:extLst>
              <a:ext uri="{FF2B5EF4-FFF2-40B4-BE49-F238E27FC236}">
                <a16:creationId xmlns:a16="http://schemas.microsoft.com/office/drawing/2014/main" id="{665550A5-5E66-1CA4-7B80-DD1D2882244D}"/>
              </a:ext>
            </a:extLst>
          </xdr:cNvPr>
          <xdr:cNvPicPr>
            <a:picLocks noChangeAspect="1"/>
          </xdr:cNvPicPr>
        </xdr:nvPicPr>
        <xdr:blipFill>
          <a:blip xmlns:r="http://schemas.openxmlformats.org/officeDocument/2006/relationships" r:embed="rId23">
            <a:extLst>
              <a:ext uri="{96DAC541-7B7A-43D3-8B79-37D633B846F1}">
                <asvg:svgBlip xmlns:asvg="http://schemas.microsoft.com/office/drawing/2016/SVG/main" r:embed="rId24"/>
              </a:ext>
            </a:extLst>
          </a:blip>
          <a:srcRect/>
          <a:stretch/>
        </xdr:blipFill>
        <xdr:spPr>
          <a:xfrm>
            <a:off x="265494" y="2759175"/>
            <a:ext cx="760910" cy="727528"/>
          </a:xfrm>
          <a:prstGeom prst="rect">
            <a:avLst/>
          </a:prstGeom>
        </xdr:spPr>
      </xdr:pic>
      <xdr:pic>
        <xdr:nvPicPr>
          <xdr:cNvPr id="22" name="Graphic 21" descr="Hierarchy with solid fill">
            <a:hlinkClick xmlns:r="http://schemas.openxmlformats.org/officeDocument/2006/relationships" r:id="rId8"/>
            <a:extLst>
              <a:ext uri="{FF2B5EF4-FFF2-40B4-BE49-F238E27FC236}">
                <a16:creationId xmlns:a16="http://schemas.microsoft.com/office/drawing/2014/main" id="{93270C0A-7002-A2AB-88D7-EA581D2A08C0}"/>
              </a:ext>
            </a:extLst>
          </xdr:cNvPr>
          <xdr:cNvPicPr>
            <a:picLocks noChangeAspect="1"/>
          </xdr:cNvPicPr>
        </xdr:nvPicPr>
        <xdr:blipFill>
          <a:blip xmlns:r="http://schemas.openxmlformats.org/officeDocument/2006/relationships" r:embed="rId25">
            <a:extLst>
              <a:ext uri="{96DAC541-7B7A-43D3-8B79-37D633B846F1}">
                <asvg:svgBlip xmlns:asvg="http://schemas.microsoft.com/office/drawing/2016/SVG/main" r:embed="rId26"/>
              </a:ext>
            </a:extLst>
          </a:blip>
          <a:stretch>
            <a:fillRect/>
          </a:stretch>
        </xdr:blipFill>
        <xdr:spPr>
          <a:xfrm>
            <a:off x="265494" y="3597336"/>
            <a:ext cx="754766" cy="755701"/>
          </a:xfrm>
          <a:prstGeom prst="rect">
            <a:avLst/>
          </a:prstGeom>
        </xdr:spPr>
      </xdr:pic>
      <xdr:pic>
        <xdr:nvPicPr>
          <xdr:cNvPr id="23" name="Graphic 22" descr="Postit Notes with solid fill">
            <a:hlinkClick xmlns:r="http://schemas.openxmlformats.org/officeDocument/2006/relationships" r:id="rId9"/>
            <a:extLst>
              <a:ext uri="{FF2B5EF4-FFF2-40B4-BE49-F238E27FC236}">
                <a16:creationId xmlns:a16="http://schemas.microsoft.com/office/drawing/2014/main" id="{6B0F365E-AA18-778E-9D88-8C861752F0F8}"/>
              </a:ext>
            </a:extLst>
          </xdr:cNvPr>
          <xdr:cNvPicPr>
            <a:picLocks noChangeAspect="1"/>
          </xdr:cNvPicPr>
        </xdr:nvPicPr>
        <xdr:blipFill>
          <a:blip xmlns:r="http://schemas.openxmlformats.org/officeDocument/2006/relationships" r:embed="rId27">
            <a:extLst>
              <a:ext uri="{96DAC541-7B7A-43D3-8B79-37D633B846F1}">
                <asvg:svgBlip xmlns:asvg="http://schemas.microsoft.com/office/drawing/2016/SVG/main" r:embed="rId28"/>
              </a:ext>
            </a:extLst>
          </a:blip>
          <a:stretch>
            <a:fillRect/>
          </a:stretch>
        </xdr:blipFill>
        <xdr:spPr>
          <a:xfrm>
            <a:off x="265494" y="4499110"/>
            <a:ext cx="754766" cy="755754"/>
          </a:xfrm>
          <a:prstGeom prst="rect">
            <a:avLst/>
          </a:prstGeom>
        </xdr:spPr>
      </xdr:pic>
      <xdr:pic>
        <xdr:nvPicPr>
          <xdr:cNvPr id="24" name="Graphic 23" descr="Money with solid fill">
            <a:hlinkClick xmlns:r="http://schemas.openxmlformats.org/officeDocument/2006/relationships" r:id="rId10"/>
            <a:extLst>
              <a:ext uri="{FF2B5EF4-FFF2-40B4-BE49-F238E27FC236}">
                <a16:creationId xmlns:a16="http://schemas.microsoft.com/office/drawing/2014/main" id="{3CB747E6-EA13-921A-908E-CCE1FC6CAD25}"/>
              </a:ext>
            </a:extLst>
          </xdr:cNvPr>
          <xdr:cNvPicPr>
            <a:picLocks noChangeAspect="1"/>
          </xdr:cNvPicPr>
        </xdr:nvPicPr>
        <xdr:blipFill>
          <a:blip xmlns:r="http://schemas.openxmlformats.org/officeDocument/2006/relationships" r:embed="rId29">
            <a:extLst>
              <a:ext uri="{96DAC541-7B7A-43D3-8B79-37D633B846F1}">
                <asvg:svgBlip xmlns:asvg="http://schemas.microsoft.com/office/drawing/2016/SVG/main" r:embed="rId30"/>
              </a:ext>
            </a:extLst>
          </a:blip>
          <a:srcRect/>
          <a:stretch/>
        </xdr:blipFill>
        <xdr:spPr>
          <a:xfrm>
            <a:off x="265494" y="6235676"/>
            <a:ext cx="767054" cy="733405"/>
          </a:xfrm>
          <a:prstGeom prst="rect">
            <a:avLst/>
          </a:prstGeom>
        </xdr:spPr>
      </xdr:pic>
    </xdr:grp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30480</xdr:colOff>
      <xdr:row>0</xdr:row>
      <xdr:rowOff>30480</xdr:rowOff>
    </xdr:from>
    <xdr:to>
      <xdr:col>5</xdr:col>
      <xdr:colOff>438149</xdr:colOff>
      <xdr:row>23</xdr:row>
      <xdr:rowOff>98709</xdr:rowOff>
    </xdr:to>
    <xdr:grpSp>
      <xdr:nvGrpSpPr>
        <xdr:cNvPr id="25" name="Group 24">
          <a:extLst>
            <a:ext uri="{FF2B5EF4-FFF2-40B4-BE49-F238E27FC236}">
              <a16:creationId xmlns:a16="http://schemas.microsoft.com/office/drawing/2014/main" id="{DF718FAE-A2C9-CF4E-111B-E6F2573C0ABD}"/>
            </a:ext>
          </a:extLst>
        </xdr:cNvPr>
        <xdr:cNvGrpSpPr/>
      </xdr:nvGrpSpPr>
      <xdr:grpSpPr>
        <a:xfrm>
          <a:off x="30480" y="30480"/>
          <a:ext cx="3169919" cy="8831229"/>
          <a:chOff x="30480" y="30480"/>
          <a:chExt cx="3193732" cy="8831229"/>
        </a:xfrm>
      </xdr:grpSpPr>
      <xdr:sp macro="" textlink="">
        <xdr:nvSpPr>
          <xdr:cNvPr id="3" name="Rectangle: Rounded Corners 2">
            <a:extLst>
              <a:ext uri="{FF2B5EF4-FFF2-40B4-BE49-F238E27FC236}">
                <a16:creationId xmlns:a16="http://schemas.microsoft.com/office/drawing/2014/main" id="{3FFD15E0-CAD9-A1A2-345C-26FA0A99A2A1}"/>
              </a:ext>
            </a:extLst>
          </xdr:cNvPr>
          <xdr:cNvSpPr/>
        </xdr:nvSpPr>
        <xdr:spPr>
          <a:xfrm>
            <a:off x="30480" y="30480"/>
            <a:ext cx="3193732" cy="8831229"/>
          </a:xfrm>
          <a:prstGeom prst="roundRect">
            <a:avLst>
              <a:gd name="adj" fmla="val 6618"/>
            </a:avLst>
          </a:prstGeom>
          <a:ln/>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t"/>
          <a:lstStyle/>
          <a:p>
            <a:pPr algn="l"/>
            <a:endParaRPr lang="en-US" sz="1100"/>
          </a:p>
        </xdr:txBody>
      </xdr:sp>
      <xdr:sp macro="" textlink="">
        <xdr:nvSpPr>
          <xdr:cNvPr id="5" name="Rectangle: Rounded Corners 4">
            <a:hlinkClick xmlns:r="http://schemas.openxmlformats.org/officeDocument/2006/relationships" r:id="rId1"/>
            <a:extLst>
              <a:ext uri="{FF2B5EF4-FFF2-40B4-BE49-F238E27FC236}">
                <a16:creationId xmlns:a16="http://schemas.microsoft.com/office/drawing/2014/main" id="{0221AAA6-E348-926A-6E81-C03153EABAD9}"/>
              </a:ext>
            </a:extLst>
          </xdr:cNvPr>
          <xdr:cNvSpPr/>
        </xdr:nvSpPr>
        <xdr:spPr>
          <a:xfrm>
            <a:off x="163250" y="99344"/>
            <a:ext cx="2933084" cy="813319"/>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lvl="0" algn="r"/>
            <a:r>
              <a:rPr lang="en-US" sz="1400" b="1">
                <a:solidFill>
                  <a:schemeClr val="bg1"/>
                </a:solidFill>
                <a:latin typeface="Georgia" panose="02040502050405020303" pitchFamily="18" charset="0"/>
              </a:rPr>
              <a:t>Table</a:t>
            </a:r>
            <a:r>
              <a:rPr lang="en-US" sz="1400" b="1" baseline="0">
                <a:solidFill>
                  <a:schemeClr val="bg1"/>
                </a:solidFill>
                <a:latin typeface="Georgia" panose="02040502050405020303" pitchFamily="18" charset="0"/>
              </a:rPr>
              <a:t> of Contents</a:t>
            </a:r>
            <a:endParaRPr lang="en-US" sz="1400" b="1">
              <a:solidFill>
                <a:schemeClr val="bg1"/>
              </a:solidFill>
              <a:latin typeface="Georgia" panose="02040502050405020303" pitchFamily="18" charset="0"/>
            </a:endParaRPr>
          </a:p>
        </xdr:txBody>
      </xdr:sp>
      <xdr:sp macro="" textlink="">
        <xdr:nvSpPr>
          <xdr:cNvPr id="6" name="Rectangle: Rounded Corners 5">
            <a:hlinkClick xmlns:r="http://schemas.openxmlformats.org/officeDocument/2006/relationships" r:id="rId2"/>
            <a:extLst>
              <a:ext uri="{FF2B5EF4-FFF2-40B4-BE49-F238E27FC236}">
                <a16:creationId xmlns:a16="http://schemas.microsoft.com/office/drawing/2014/main" id="{C7668348-E1E6-45DA-76F7-9E4E46075EC3}"/>
              </a:ext>
            </a:extLst>
          </xdr:cNvPr>
          <xdr:cNvSpPr/>
        </xdr:nvSpPr>
        <xdr:spPr>
          <a:xfrm>
            <a:off x="163250" y="976145"/>
            <a:ext cx="2933084" cy="813319"/>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lang="en-US" sz="1400" b="1">
                <a:solidFill>
                  <a:schemeClr val="bg1"/>
                </a:solidFill>
                <a:latin typeface="Georgia" panose="02040502050405020303" pitchFamily="18" charset="0"/>
                <a:ea typeface="+mn-ea"/>
                <a:cs typeface="+mn-cs"/>
              </a:rPr>
              <a:t>Contact Information</a:t>
            </a:r>
          </a:p>
        </xdr:txBody>
      </xdr:sp>
      <xdr:sp macro="" textlink="">
        <xdr:nvSpPr>
          <xdr:cNvPr id="7" name="Rectangle: Rounded Corners 6">
            <a:hlinkClick xmlns:r="http://schemas.openxmlformats.org/officeDocument/2006/relationships" r:id="rId3"/>
            <a:extLst>
              <a:ext uri="{FF2B5EF4-FFF2-40B4-BE49-F238E27FC236}">
                <a16:creationId xmlns:a16="http://schemas.microsoft.com/office/drawing/2014/main" id="{0364F38A-F54B-48C7-FD2E-90BA81389A4E}"/>
              </a:ext>
            </a:extLst>
          </xdr:cNvPr>
          <xdr:cNvSpPr/>
        </xdr:nvSpPr>
        <xdr:spPr>
          <a:xfrm>
            <a:off x="163250" y="1852947"/>
            <a:ext cx="2933084" cy="813319"/>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lang="en-US" sz="1400" b="1">
                <a:solidFill>
                  <a:schemeClr val="bg1"/>
                </a:solidFill>
                <a:latin typeface="Georgia" panose="02040502050405020303" pitchFamily="18" charset="0"/>
                <a:ea typeface="+mn-ea"/>
                <a:cs typeface="+mn-cs"/>
              </a:rPr>
              <a:t>Research </a:t>
            </a:r>
            <a:r>
              <a:rPr lang="en-US" sz="1400" b="1" baseline="0">
                <a:solidFill>
                  <a:schemeClr val="bg1"/>
                </a:solidFill>
                <a:latin typeface="Georgia" panose="02040502050405020303" pitchFamily="18" charset="0"/>
                <a:ea typeface="+mn-ea"/>
                <a:cs typeface="+mn-cs"/>
              </a:rPr>
              <a:t>Guidance</a:t>
            </a:r>
            <a:endParaRPr lang="en-US" sz="1400" b="1">
              <a:solidFill>
                <a:schemeClr val="bg1"/>
              </a:solidFill>
              <a:latin typeface="Georgia" panose="02040502050405020303" pitchFamily="18" charset="0"/>
              <a:ea typeface="+mn-ea"/>
              <a:cs typeface="+mn-cs"/>
            </a:endParaRPr>
          </a:p>
        </xdr:txBody>
      </xdr:sp>
      <xdr:sp macro="" textlink="">
        <xdr:nvSpPr>
          <xdr:cNvPr id="8" name="Rectangle: Rounded Corners 7">
            <a:hlinkClick xmlns:r="http://schemas.openxmlformats.org/officeDocument/2006/relationships" r:id="rId4"/>
            <a:extLst>
              <a:ext uri="{FF2B5EF4-FFF2-40B4-BE49-F238E27FC236}">
                <a16:creationId xmlns:a16="http://schemas.microsoft.com/office/drawing/2014/main" id="{D58CF462-897F-D520-C5CD-E7F057C50FEA}"/>
              </a:ext>
            </a:extLst>
          </xdr:cNvPr>
          <xdr:cNvSpPr/>
        </xdr:nvSpPr>
        <xdr:spPr>
          <a:xfrm>
            <a:off x="163250" y="5352622"/>
            <a:ext cx="2933084" cy="813319"/>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lang="en-US" sz="1400" b="1">
                <a:solidFill>
                  <a:schemeClr val="bg1"/>
                </a:solidFill>
                <a:latin typeface="Georgia" panose="02040502050405020303" pitchFamily="18" charset="0"/>
                <a:ea typeface="+mn-ea"/>
                <a:cs typeface="+mn-cs"/>
              </a:rPr>
              <a:t>Almanac</a:t>
            </a:r>
          </a:p>
        </xdr:txBody>
      </xdr:sp>
      <xdr:sp macro="" textlink="">
        <xdr:nvSpPr>
          <xdr:cNvPr id="9" name="Rectangle: Rounded Corners 8">
            <a:hlinkClick xmlns:r="http://schemas.openxmlformats.org/officeDocument/2006/relationships" r:id="rId5"/>
            <a:extLst>
              <a:ext uri="{FF2B5EF4-FFF2-40B4-BE49-F238E27FC236}">
                <a16:creationId xmlns:a16="http://schemas.microsoft.com/office/drawing/2014/main" id="{99B8AF06-8565-086F-005F-BAF12C534F93}"/>
              </a:ext>
            </a:extLst>
          </xdr:cNvPr>
          <xdr:cNvSpPr/>
        </xdr:nvSpPr>
        <xdr:spPr>
          <a:xfrm>
            <a:off x="163250" y="7983024"/>
            <a:ext cx="2933084" cy="813319"/>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lang="en-US" sz="1400" b="1">
                <a:solidFill>
                  <a:schemeClr val="bg1"/>
                </a:solidFill>
                <a:latin typeface="Georgia" panose="02040502050405020303" pitchFamily="18" charset="0"/>
                <a:ea typeface="+mn-ea"/>
                <a:cs typeface="+mn-cs"/>
              </a:rPr>
              <a:t>FTSE | FTFE</a:t>
            </a:r>
          </a:p>
        </xdr:txBody>
      </xdr:sp>
      <xdr:sp macro="" textlink="">
        <xdr:nvSpPr>
          <xdr:cNvPr id="10" name="Rectangle: Rounded Corners 9">
            <a:hlinkClick xmlns:r="http://schemas.openxmlformats.org/officeDocument/2006/relationships" r:id="rId6"/>
            <a:extLst>
              <a:ext uri="{FF2B5EF4-FFF2-40B4-BE49-F238E27FC236}">
                <a16:creationId xmlns:a16="http://schemas.microsoft.com/office/drawing/2014/main" id="{5478B59D-50D7-BDEF-ABEB-C1DDF9392B8B}"/>
              </a:ext>
            </a:extLst>
          </xdr:cNvPr>
          <xdr:cNvSpPr/>
        </xdr:nvSpPr>
        <xdr:spPr>
          <a:xfrm>
            <a:off x="163250" y="7106225"/>
            <a:ext cx="2933084" cy="813319"/>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algn="r"/>
            <a:r>
              <a:rPr lang="en-US" sz="1400" b="1">
                <a:solidFill>
                  <a:schemeClr val="bg1"/>
                </a:solidFill>
                <a:latin typeface="Georgia" panose="02040502050405020303" pitchFamily="18" charset="0"/>
                <a:ea typeface="+mn-ea"/>
                <a:cs typeface="+mn-cs"/>
              </a:rPr>
              <a:t>Academic</a:t>
            </a:r>
          </a:p>
          <a:p>
            <a:pPr algn="r"/>
            <a:r>
              <a:rPr lang="en-US" sz="1400" b="1">
                <a:solidFill>
                  <a:schemeClr val="bg1"/>
                </a:solidFill>
                <a:latin typeface="Georgia" panose="02040502050405020303" pitchFamily="18" charset="0"/>
                <a:ea typeface="+mn-ea"/>
                <a:cs typeface="+mn-cs"/>
              </a:rPr>
              <a:t>Space Model</a:t>
            </a:r>
          </a:p>
        </xdr:txBody>
      </xdr:sp>
      <xdr:sp macro="" textlink="">
        <xdr:nvSpPr>
          <xdr:cNvPr id="11" name="Rectangle: Rounded Corners 10">
            <a:hlinkClick xmlns:r="http://schemas.openxmlformats.org/officeDocument/2006/relationships" r:id="rId7"/>
            <a:extLst>
              <a:ext uri="{FF2B5EF4-FFF2-40B4-BE49-F238E27FC236}">
                <a16:creationId xmlns:a16="http://schemas.microsoft.com/office/drawing/2014/main" id="{780A767E-500A-F539-2634-1A17CCCDAD40}"/>
              </a:ext>
            </a:extLst>
          </xdr:cNvPr>
          <xdr:cNvSpPr/>
        </xdr:nvSpPr>
        <xdr:spPr>
          <a:xfrm>
            <a:off x="163250" y="2729748"/>
            <a:ext cx="2933084" cy="813319"/>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lang="en-US" sz="1400" b="1">
                <a:solidFill>
                  <a:schemeClr val="bg1"/>
                </a:solidFill>
                <a:latin typeface="Georgia" panose="02040502050405020303" pitchFamily="18" charset="0"/>
                <a:ea typeface="+mn-ea"/>
                <a:cs typeface="+mn-cs"/>
              </a:rPr>
              <a:t>Research</a:t>
            </a:r>
          </a:p>
          <a:p>
            <a:pPr marL="0" marR="0" lvl="0" indent="0" algn="r" defTabSz="914400" eaLnBrk="1" fontAlgn="auto" latinLnBrk="0" hangingPunct="1">
              <a:lnSpc>
                <a:spcPct val="100000"/>
              </a:lnSpc>
              <a:spcBef>
                <a:spcPts val="0"/>
              </a:spcBef>
              <a:spcAft>
                <a:spcPts val="0"/>
              </a:spcAft>
              <a:buClrTx/>
              <a:buSzTx/>
              <a:buFontTx/>
              <a:buNone/>
              <a:tabLst/>
              <a:defRPr/>
            </a:pPr>
            <a:r>
              <a:rPr lang="en-US" sz="1400" b="1">
                <a:solidFill>
                  <a:schemeClr val="bg1"/>
                </a:solidFill>
                <a:latin typeface="Georgia" panose="02040502050405020303" pitchFamily="18" charset="0"/>
                <a:ea typeface="+mn-ea"/>
                <a:cs typeface="+mn-cs"/>
              </a:rPr>
              <a:t>(by</a:t>
            </a:r>
            <a:r>
              <a:rPr lang="en-US" sz="1400" b="1" baseline="0">
                <a:solidFill>
                  <a:schemeClr val="bg1"/>
                </a:solidFill>
                <a:latin typeface="Georgia" panose="02040502050405020303" pitchFamily="18" charset="0"/>
                <a:ea typeface="+mn-ea"/>
                <a:cs typeface="+mn-cs"/>
              </a:rPr>
              <a:t> Institution)</a:t>
            </a:r>
            <a:endParaRPr lang="en-US" sz="1400" b="1">
              <a:solidFill>
                <a:schemeClr val="bg1"/>
              </a:solidFill>
              <a:latin typeface="Georgia" panose="02040502050405020303" pitchFamily="18" charset="0"/>
              <a:ea typeface="+mn-ea"/>
              <a:cs typeface="+mn-cs"/>
            </a:endParaRPr>
          </a:p>
        </xdr:txBody>
      </xdr:sp>
      <xdr:sp macro="" textlink="">
        <xdr:nvSpPr>
          <xdr:cNvPr id="12" name="Rectangle: Rounded Corners 11">
            <a:hlinkClick xmlns:r="http://schemas.openxmlformats.org/officeDocument/2006/relationships" r:id="rId8"/>
            <a:extLst>
              <a:ext uri="{FF2B5EF4-FFF2-40B4-BE49-F238E27FC236}">
                <a16:creationId xmlns:a16="http://schemas.microsoft.com/office/drawing/2014/main" id="{FBF4B8B6-C7BB-BAE9-C070-AA6C9A42E70B}"/>
              </a:ext>
            </a:extLst>
          </xdr:cNvPr>
          <xdr:cNvSpPr/>
        </xdr:nvSpPr>
        <xdr:spPr>
          <a:xfrm>
            <a:off x="163250" y="3606550"/>
            <a:ext cx="2933084" cy="813319"/>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algn="r"/>
            <a:r>
              <a:rPr lang="en-US" sz="1400" b="1">
                <a:solidFill>
                  <a:schemeClr val="bg1"/>
                </a:solidFill>
                <a:latin typeface="Georgia" panose="02040502050405020303" pitchFamily="18" charset="0"/>
                <a:ea typeface="+mn-ea"/>
                <a:cs typeface="+mn-cs"/>
              </a:rPr>
              <a:t>Summary</a:t>
            </a:r>
          </a:p>
          <a:p>
            <a:pPr algn="r"/>
            <a:r>
              <a:rPr lang="en-US" sz="1400" b="1">
                <a:solidFill>
                  <a:schemeClr val="bg1"/>
                </a:solidFill>
                <a:latin typeface="Georgia" panose="02040502050405020303" pitchFamily="18" charset="0"/>
                <a:ea typeface="+mn-ea"/>
                <a:cs typeface="+mn-cs"/>
              </a:rPr>
              <a:t>(by</a:t>
            </a:r>
            <a:r>
              <a:rPr lang="en-US" sz="1400" b="1" baseline="0">
                <a:solidFill>
                  <a:schemeClr val="bg1"/>
                </a:solidFill>
                <a:latin typeface="Georgia" panose="02040502050405020303" pitchFamily="18" charset="0"/>
                <a:ea typeface="+mn-ea"/>
                <a:cs typeface="+mn-cs"/>
              </a:rPr>
              <a:t> System)</a:t>
            </a:r>
            <a:endParaRPr lang="en-US" sz="1400" b="1">
              <a:solidFill>
                <a:schemeClr val="bg1"/>
              </a:solidFill>
              <a:latin typeface="Georgia" panose="02040502050405020303" pitchFamily="18" charset="0"/>
              <a:ea typeface="+mn-ea"/>
              <a:cs typeface="+mn-cs"/>
            </a:endParaRPr>
          </a:p>
        </xdr:txBody>
      </xdr:sp>
      <xdr:sp macro="" textlink="">
        <xdr:nvSpPr>
          <xdr:cNvPr id="13" name="Rectangle: Rounded Corners 12">
            <a:hlinkClick xmlns:r="http://schemas.openxmlformats.org/officeDocument/2006/relationships" r:id="rId9"/>
            <a:extLst>
              <a:ext uri="{FF2B5EF4-FFF2-40B4-BE49-F238E27FC236}">
                <a16:creationId xmlns:a16="http://schemas.microsoft.com/office/drawing/2014/main" id="{067A8595-1C77-28D1-26BB-E0691763A3E6}"/>
              </a:ext>
            </a:extLst>
          </xdr:cNvPr>
          <xdr:cNvSpPr/>
        </xdr:nvSpPr>
        <xdr:spPr>
          <a:xfrm>
            <a:off x="163250" y="4483351"/>
            <a:ext cx="2933084" cy="813319"/>
          </a:xfrm>
          <a:prstGeom prst="roundRect">
            <a:avLst/>
          </a:prstGeom>
          <a:solidFill>
            <a:schemeClr val="accent3"/>
          </a:solidFill>
          <a:ln w="9525">
            <a:solidFill>
              <a:schemeClr val="tx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algn="r"/>
            <a:r>
              <a:rPr lang="en-US" sz="1400" b="1">
                <a:solidFill>
                  <a:schemeClr val="tx1"/>
                </a:solidFill>
                <a:latin typeface="Georgia" panose="02040502050405020303" pitchFamily="18" charset="0"/>
                <a:ea typeface="+mn-ea"/>
                <a:cs typeface="+mn-cs"/>
              </a:rPr>
              <a:t>Summary </a:t>
            </a:r>
          </a:p>
          <a:p>
            <a:pPr algn="r"/>
            <a:r>
              <a:rPr lang="en-US" sz="1400" b="1">
                <a:solidFill>
                  <a:schemeClr val="tx1"/>
                </a:solidFill>
                <a:latin typeface="Georgia" panose="02040502050405020303" pitchFamily="18" charset="0"/>
                <a:ea typeface="+mn-ea"/>
                <a:cs typeface="+mn-cs"/>
              </a:rPr>
              <a:t>(by Institution Type)</a:t>
            </a:r>
          </a:p>
        </xdr:txBody>
      </xdr:sp>
      <xdr:sp macro="" textlink="">
        <xdr:nvSpPr>
          <xdr:cNvPr id="14" name="Rectangle: Rounded Corners 13">
            <a:hlinkClick xmlns:r="http://schemas.openxmlformats.org/officeDocument/2006/relationships" r:id="rId10"/>
            <a:extLst>
              <a:ext uri="{FF2B5EF4-FFF2-40B4-BE49-F238E27FC236}">
                <a16:creationId xmlns:a16="http://schemas.microsoft.com/office/drawing/2014/main" id="{6F8158A6-3E2D-2F6F-FFA8-89A0B0ABDBF7}"/>
              </a:ext>
            </a:extLst>
          </xdr:cNvPr>
          <xdr:cNvSpPr/>
        </xdr:nvSpPr>
        <xdr:spPr>
          <a:xfrm>
            <a:off x="163250" y="6229423"/>
            <a:ext cx="2933084" cy="813319"/>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algn="r"/>
            <a:r>
              <a:rPr lang="en-US" sz="1400" b="1">
                <a:solidFill>
                  <a:schemeClr val="bg1"/>
                </a:solidFill>
                <a:latin typeface="Georgia" panose="02040502050405020303" pitchFamily="18" charset="0"/>
                <a:ea typeface="+mn-ea"/>
                <a:cs typeface="+mn-cs"/>
              </a:rPr>
              <a:t>Source of Funds</a:t>
            </a:r>
          </a:p>
        </xdr:txBody>
      </xdr:sp>
      <xdr:pic>
        <xdr:nvPicPr>
          <xdr:cNvPr id="15" name="Graphic 14" descr="Home with solid fill">
            <a:hlinkClick xmlns:r="http://schemas.openxmlformats.org/officeDocument/2006/relationships" r:id="rId1"/>
            <a:extLst>
              <a:ext uri="{FF2B5EF4-FFF2-40B4-BE49-F238E27FC236}">
                <a16:creationId xmlns:a16="http://schemas.microsoft.com/office/drawing/2014/main" id="{7468AA1B-75FC-D3DD-5B3A-07EBC7A2C701}"/>
              </a:ext>
            </a:extLst>
          </xdr:cNvPr>
          <xdr:cNvPicPr>
            <a:picLocks noChangeAspect="1"/>
          </xdr:cNvPicPr>
        </xdr:nvPicPr>
        <xdr:blipFill>
          <a:blip xmlns:r="http://schemas.openxmlformats.org/officeDocument/2006/relationships" r:embed="rId11">
            <a:extLst>
              <a:ext uri="{96DAC541-7B7A-43D3-8B79-37D633B846F1}">
                <asvg:svgBlip xmlns:asvg="http://schemas.microsoft.com/office/drawing/2016/SVG/main" r:embed="rId12"/>
              </a:ext>
            </a:extLst>
          </a:blip>
          <a:stretch>
            <a:fillRect/>
          </a:stretch>
        </xdr:blipFill>
        <xdr:spPr>
          <a:xfrm>
            <a:off x="265494" y="99001"/>
            <a:ext cx="777842" cy="755704"/>
          </a:xfrm>
          <a:prstGeom prst="rect">
            <a:avLst/>
          </a:prstGeom>
        </xdr:spPr>
      </xdr:pic>
      <xdr:pic>
        <xdr:nvPicPr>
          <xdr:cNvPr id="16" name="Graphic 15" descr="Address Book with solid fill">
            <a:hlinkClick xmlns:r="http://schemas.openxmlformats.org/officeDocument/2006/relationships" r:id="rId2"/>
            <a:extLst>
              <a:ext uri="{FF2B5EF4-FFF2-40B4-BE49-F238E27FC236}">
                <a16:creationId xmlns:a16="http://schemas.microsoft.com/office/drawing/2014/main" id="{BA70BE3D-DF64-11DE-1279-F6E34047D607}"/>
              </a:ext>
            </a:extLst>
          </xdr:cNvPr>
          <xdr:cNvPicPr>
            <a:picLocks noChangeAspect="1"/>
          </xdr:cNvPicPr>
        </xdr:nvPicPr>
        <xdr:blipFill>
          <a:blip xmlns:r="http://schemas.openxmlformats.org/officeDocument/2006/relationships" r:embed="rId13">
            <a:extLst>
              <a:ext uri="{96DAC541-7B7A-43D3-8B79-37D633B846F1}">
                <asvg:svgBlip xmlns:asvg="http://schemas.microsoft.com/office/drawing/2016/SVG/main" r:embed="rId14"/>
              </a:ext>
            </a:extLst>
          </a:blip>
          <a:stretch>
            <a:fillRect/>
          </a:stretch>
        </xdr:blipFill>
        <xdr:spPr>
          <a:xfrm>
            <a:off x="265494" y="991919"/>
            <a:ext cx="757964" cy="759464"/>
          </a:xfrm>
          <a:prstGeom prst="rect">
            <a:avLst/>
          </a:prstGeom>
        </xdr:spPr>
      </xdr:pic>
      <xdr:pic>
        <xdr:nvPicPr>
          <xdr:cNvPr id="17" name="Graphic 16" descr="Closed book with solid fill">
            <a:hlinkClick xmlns:r="http://schemas.openxmlformats.org/officeDocument/2006/relationships" r:id="rId3"/>
            <a:extLst>
              <a:ext uri="{FF2B5EF4-FFF2-40B4-BE49-F238E27FC236}">
                <a16:creationId xmlns:a16="http://schemas.microsoft.com/office/drawing/2014/main" id="{BDE7F5BF-112E-8882-D1DC-0EDC79A8AA3C}"/>
              </a:ext>
            </a:extLst>
          </xdr:cNvPr>
          <xdr:cNvPicPr>
            <a:picLocks noChangeAspect="1"/>
          </xdr:cNvPicPr>
        </xdr:nvPicPr>
        <xdr:blipFill>
          <a:blip xmlns:r="http://schemas.openxmlformats.org/officeDocument/2006/relationships" r:embed="rId15">
            <a:extLst>
              <a:ext uri="{96DAC541-7B7A-43D3-8B79-37D633B846F1}">
                <asvg:svgBlip xmlns:asvg="http://schemas.microsoft.com/office/drawing/2016/SVG/main" r:embed="rId16"/>
              </a:ext>
            </a:extLst>
          </a:blip>
          <a:stretch>
            <a:fillRect/>
          </a:stretch>
        </xdr:blipFill>
        <xdr:spPr>
          <a:xfrm>
            <a:off x="265494" y="1870876"/>
            <a:ext cx="757964" cy="751085"/>
          </a:xfrm>
          <a:prstGeom prst="rect">
            <a:avLst/>
          </a:prstGeom>
        </xdr:spPr>
      </xdr:pic>
      <xdr:pic>
        <xdr:nvPicPr>
          <xdr:cNvPr id="18" name="Graphic 17" descr="Books on shelf with solid fill">
            <a:hlinkClick xmlns:r="http://schemas.openxmlformats.org/officeDocument/2006/relationships" r:id="rId4"/>
            <a:extLst>
              <a:ext uri="{FF2B5EF4-FFF2-40B4-BE49-F238E27FC236}">
                <a16:creationId xmlns:a16="http://schemas.microsoft.com/office/drawing/2014/main" id="{13996A5F-730A-3572-F671-D527B9E7714A}"/>
              </a:ext>
            </a:extLst>
          </xdr:cNvPr>
          <xdr:cNvPicPr>
            <a:picLocks noChangeAspect="1"/>
          </xdr:cNvPicPr>
        </xdr:nvPicPr>
        <xdr:blipFill>
          <a:blip xmlns:r="http://schemas.openxmlformats.org/officeDocument/2006/relationships" r:embed="rId17">
            <a:extLst>
              <a:ext uri="{96DAC541-7B7A-43D3-8B79-37D633B846F1}">
                <asvg:svgBlip xmlns:asvg="http://schemas.microsoft.com/office/drawing/2016/SVG/main" r:embed="rId18"/>
              </a:ext>
            </a:extLst>
          </a:blip>
          <a:stretch>
            <a:fillRect/>
          </a:stretch>
        </xdr:blipFill>
        <xdr:spPr>
          <a:xfrm>
            <a:off x="265494" y="5377021"/>
            <a:ext cx="768007" cy="759543"/>
          </a:xfrm>
          <a:prstGeom prst="rect">
            <a:avLst/>
          </a:prstGeom>
        </xdr:spPr>
      </xdr:pic>
      <xdr:pic>
        <xdr:nvPicPr>
          <xdr:cNvPr id="19" name="Graphic 18" descr="Users with solid fill">
            <a:hlinkClick xmlns:r="http://schemas.openxmlformats.org/officeDocument/2006/relationships" r:id="rId5"/>
            <a:extLst>
              <a:ext uri="{FF2B5EF4-FFF2-40B4-BE49-F238E27FC236}">
                <a16:creationId xmlns:a16="http://schemas.microsoft.com/office/drawing/2014/main" id="{157C5CB5-BB92-F7EB-49A4-FC76F996B1CD}"/>
              </a:ext>
            </a:extLst>
          </xdr:cNvPr>
          <xdr:cNvPicPr>
            <a:picLocks noChangeAspect="1"/>
          </xdr:cNvPicPr>
        </xdr:nvPicPr>
        <xdr:blipFill>
          <a:blip xmlns:r="http://schemas.openxmlformats.org/officeDocument/2006/relationships" r:embed="rId19">
            <a:extLst>
              <a:ext uri="{96DAC541-7B7A-43D3-8B79-37D633B846F1}">
                <asvg:svgBlip xmlns:asvg="http://schemas.microsoft.com/office/drawing/2016/SVG/main" r:embed="rId20"/>
              </a:ext>
            </a:extLst>
          </a:blip>
          <a:stretch>
            <a:fillRect/>
          </a:stretch>
        </xdr:blipFill>
        <xdr:spPr>
          <a:xfrm>
            <a:off x="265494" y="8038608"/>
            <a:ext cx="767710" cy="756332"/>
          </a:xfrm>
          <a:prstGeom prst="rect">
            <a:avLst/>
          </a:prstGeom>
        </xdr:spPr>
      </xdr:pic>
      <xdr:pic>
        <xdr:nvPicPr>
          <xdr:cNvPr id="20" name="Graphic 19" descr="Document with solid fill">
            <a:hlinkClick xmlns:r="http://schemas.openxmlformats.org/officeDocument/2006/relationships" r:id="rId6"/>
            <a:extLst>
              <a:ext uri="{FF2B5EF4-FFF2-40B4-BE49-F238E27FC236}">
                <a16:creationId xmlns:a16="http://schemas.microsoft.com/office/drawing/2014/main" id="{8254890E-7D4F-5A09-6635-FB6C069A629B}"/>
              </a:ext>
            </a:extLst>
          </xdr:cNvPr>
          <xdr:cNvPicPr>
            <a:picLocks noChangeAspect="1"/>
          </xdr:cNvPicPr>
        </xdr:nvPicPr>
        <xdr:blipFill>
          <a:blip xmlns:r="http://schemas.openxmlformats.org/officeDocument/2006/relationships" r:embed="rId21">
            <a:extLst>
              <a:ext uri="{96DAC541-7B7A-43D3-8B79-37D633B846F1}">
                <asvg:svgBlip xmlns:asvg="http://schemas.microsoft.com/office/drawing/2016/SVG/main" r:embed="rId22"/>
              </a:ext>
            </a:extLst>
          </a:blip>
          <a:stretch>
            <a:fillRect/>
          </a:stretch>
        </xdr:blipFill>
        <xdr:spPr>
          <a:xfrm>
            <a:off x="265494" y="7124014"/>
            <a:ext cx="762336" cy="756331"/>
          </a:xfrm>
          <a:prstGeom prst="rect">
            <a:avLst/>
          </a:prstGeom>
        </xdr:spPr>
      </xdr:pic>
      <xdr:pic>
        <xdr:nvPicPr>
          <xdr:cNvPr id="21" name="Graphic 20" descr="Research with solid fill">
            <a:hlinkClick xmlns:r="http://schemas.openxmlformats.org/officeDocument/2006/relationships" r:id="rId7"/>
            <a:extLst>
              <a:ext uri="{FF2B5EF4-FFF2-40B4-BE49-F238E27FC236}">
                <a16:creationId xmlns:a16="http://schemas.microsoft.com/office/drawing/2014/main" id="{59C20B63-0F34-7ED5-D714-933C46F0F9B2}"/>
              </a:ext>
            </a:extLst>
          </xdr:cNvPr>
          <xdr:cNvPicPr>
            <a:picLocks noChangeAspect="1"/>
          </xdr:cNvPicPr>
        </xdr:nvPicPr>
        <xdr:blipFill>
          <a:blip xmlns:r="http://schemas.openxmlformats.org/officeDocument/2006/relationships" r:embed="rId23">
            <a:extLst>
              <a:ext uri="{96DAC541-7B7A-43D3-8B79-37D633B846F1}">
                <asvg:svgBlip xmlns:asvg="http://schemas.microsoft.com/office/drawing/2016/SVG/main" r:embed="rId24"/>
              </a:ext>
            </a:extLst>
          </a:blip>
          <a:srcRect/>
          <a:stretch/>
        </xdr:blipFill>
        <xdr:spPr>
          <a:xfrm>
            <a:off x="265494" y="2759175"/>
            <a:ext cx="761863" cy="727528"/>
          </a:xfrm>
          <a:prstGeom prst="rect">
            <a:avLst/>
          </a:prstGeom>
        </xdr:spPr>
      </xdr:pic>
      <xdr:pic>
        <xdr:nvPicPr>
          <xdr:cNvPr id="22" name="Graphic 21" descr="Hierarchy with solid fill">
            <a:hlinkClick xmlns:r="http://schemas.openxmlformats.org/officeDocument/2006/relationships" r:id="rId8"/>
            <a:extLst>
              <a:ext uri="{FF2B5EF4-FFF2-40B4-BE49-F238E27FC236}">
                <a16:creationId xmlns:a16="http://schemas.microsoft.com/office/drawing/2014/main" id="{1FEEE6CC-1BD7-D902-1332-4C23EBC9F3FE}"/>
              </a:ext>
            </a:extLst>
          </xdr:cNvPr>
          <xdr:cNvPicPr>
            <a:picLocks noChangeAspect="1"/>
          </xdr:cNvPicPr>
        </xdr:nvPicPr>
        <xdr:blipFill>
          <a:blip xmlns:r="http://schemas.openxmlformats.org/officeDocument/2006/relationships" r:embed="rId25">
            <a:extLst>
              <a:ext uri="{96DAC541-7B7A-43D3-8B79-37D633B846F1}">
                <asvg:svgBlip xmlns:asvg="http://schemas.microsoft.com/office/drawing/2016/SVG/main" r:embed="rId26"/>
              </a:ext>
            </a:extLst>
          </a:blip>
          <a:stretch>
            <a:fillRect/>
          </a:stretch>
        </xdr:blipFill>
        <xdr:spPr>
          <a:xfrm>
            <a:off x="265494" y="3597336"/>
            <a:ext cx="755719" cy="755701"/>
          </a:xfrm>
          <a:prstGeom prst="rect">
            <a:avLst/>
          </a:prstGeom>
        </xdr:spPr>
      </xdr:pic>
      <xdr:pic>
        <xdr:nvPicPr>
          <xdr:cNvPr id="23" name="Graphic 22" descr="Postit Notes with solid fill">
            <a:hlinkClick xmlns:r="http://schemas.openxmlformats.org/officeDocument/2006/relationships" r:id="rId9"/>
            <a:extLst>
              <a:ext uri="{FF2B5EF4-FFF2-40B4-BE49-F238E27FC236}">
                <a16:creationId xmlns:a16="http://schemas.microsoft.com/office/drawing/2014/main" id="{5A378292-D5B2-36F7-BB1B-436CFAAEC5DB}"/>
              </a:ext>
            </a:extLst>
          </xdr:cNvPr>
          <xdr:cNvPicPr>
            <a:picLocks noChangeAspect="1"/>
          </xdr:cNvPicPr>
        </xdr:nvPicPr>
        <xdr:blipFill>
          <a:blip xmlns:r="http://schemas.openxmlformats.org/officeDocument/2006/relationships" r:embed="rId27">
            <a:extLst>
              <a:ext uri="{96DAC541-7B7A-43D3-8B79-37D633B846F1}">
                <asvg:svgBlip xmlns:asvg="http://schemas.microsoft.com/office/drawing/2016/SVG/main" r:embed="rId28"/>
              </a:ext>
            </a:extLst>
          </a:blip>
          <a:stretch>
            <a:fillRect/>
          </a:stretch>
        </xdr:blipFill>
        <xdr:spPr>
          <a:xfrm>
            <a:off x="265494" y="4499110"/>
            <a:ext cx="755719" cy="755754"/>
          </a:xfrm>
          <a:prstGeom prst="rect">
            <a:avLst/>
          </a:prstGeom>
        </xdr:spPr>
      </xdr:pic>
      <xdr:pic>
        <xdr:nvPicPr>
          <xdr:cNvPr id="24" name="Graphic 23" descr="Money with solid fill">
            <a:hlinkClick xmlns:r="http://schemas.openxmlformats.org/officeDocument/2006/relationships" r:id="rId10"/>
            <a:extLst>
              <a:ext uri="{FF2B5EF4-FFF2-40B4-BE49-F238E27FC236}">
                <a16:creationId xmlns:a16="http://schemas.microsoft.com/office/drawing/2014/main" id="{8F10D618-B759-45CA-4CA8-D3670F9CBA56}"/>
              </a:ext>
            </a:extLst>
          </xdr:cNvPr>
          <xdr:cNvPicPr>
            <a:picLocks noChangeAspect="1"/>
          </xdr:cNvPicPr>
        </xdr:nvPicPr>
        <xdr:blipFill>
          <a:blip xmlns:r="http://schemas.openxmlformats.org/officeDocument/2006/relationships" r:embed="rId29">
            <a:extLst>
              <a:ext uri="{96DAC541-7B7A-43D3-8B79-37D633B846F1}">
                <asvg:svgBlip xmlns:asvg="http://schemas.microsoft.com/office/drawing/2016/SVG/main" r:embed="rId30"/>
              </a:ext>
            </a:extLst>
          </a:blip>
          <a:srcRect/>
          <a:stretch/>
        </xdr:blipFill>
        <xdr:spPr>
          <a:xfrm>
            <a:off x="265494" y="6235676"/>
            <a:ext cx="768007" cy="733405"/>
          </a:xfrm>
          <a:prstGeom prst="rect">
            <a:avLst/>
          </a:prstGeom>
        </xdr:spPr>
      </xdr:pic>
    </xdr:grp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30480</xdr:colOff>
      <xdr:row>0</xdr:row>
      <xdr:rowOff>30480</xdr:rowOff>
    </xdr:from>
    <xdr:to>
      <xdr:col>5</xdr:col>
      <xdr:colOff>438149</xdr:colOff>
      <xdr:row>23</xdr:row>
      <xdr:rowOff>98709</xdr:rowOff>
    </xdr:to>
    <xdr:grpSp>
      <xdr:nvGrpSpPr>
        <xdr:cNvPr id="25" name="Group 24">
          <a:extLst>
            <a:ext uri="{FF2B5EF4-FFF2-40B4-BE49-F238E27FC236}">
              <a16:creationId xmlns:a16="http://schemas.microsoft.com/office/drawing/2014/main" id="{A6F1584B-90A4-CCB0-B4C8-67C6900EB001}"/>
            </a:ext>
          </a:extLst>
        </xdr:cNvPr>
        <xdr:cNvGrpSpPr/>
      </xdr:nvGrpSpPr>
      <xdr:grpSpPr>
        <a:xfrm>
          <a:off x="30480" y="30480"/>
          <a:ext cx="3169919" cy="8831229"/>
          <a:chOff x="30480" y="30480"/>
          <a:chExt cx="3188969" cy="8831229"/>
        </a:xfrm>
      </xdr:grpSpPr>
      <xdr:sp macro="" textlink="">
        <xdr:nvSpPr>
          <xdr:cNvPr id="3" name="Rectangle: Rounded Corners 2">
            <a:extLst>
              <a:ext uri="{FF2B5EF4-FFF2-40B4-BE49-F238E27FC236}">
                <a16:creationId xmlns:a16="http://schemas.microsoft.com/office/drawing/2014/main" id="{4D7F11F0-DDCB-3D34-C948-607E1A70240C}"/>
              </a:ext>
            </a:extLst>
          </xdr:cNvPr>
          <xdr:cNvSpPr/>
        </xdr:nvSpPr>
        <xdr:spPr>
          <a:xfrm>
            <a:off x="30480" y="30480"/>
            <a:ext cx="3188969" cy="8831229"/>
          </a:xfrm>
          <a:prstGeom prst="roundRect">
            <a:avLst>
              <a:gd name="adj" fmla="val 6618"/>
            </a:avLst>
          </a:prstGeom>
          <a:ln/>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t"/>
          <a:lstStyle/>
          <a:p>
            <a:pPr algn="l"/>
            <a:endParaRPr lang="en-US" sz="1100"/>
          </a:p>
        </xdr:txBody>
      </xdr:sp>
      <xdr:sp macro="" textlink="">
        <xdr:nvSpPr>
          <xdr:cNvPr id="5" name="Rectangle: Rounded Corners 4">
            <a:hlinkClick xmlns:r="http://schemas.openxmlformats.org/officeDocument/2006/relationships" r:id="rId1"/>
            <a:extLst>
              <a:ext uri="{FF2B5EF4-FFF2-40B4-BE49-F238E27FC236}">
                <a16:creationId xmlns:a16="http://schemas.microsoft.com/office/drawing/2014/main" id="{76D66C5D-A118-D62B-59B8-D31458065123}"/>
              </a:ext>
            </a:extLst>
          </xdr:cNvPr>
          <xdr:cNvSpPr/>
        </xdr:nvSpPr>
        <xdr:spPr>
          <a:xfrm>
            <a:off x="163250" y="99344"/>
            <a:ext cx="2928321" cy="813319"/>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lvl="0" algn="r"/>
            <a:r>
              <a:rPr lang="en-US" sz="1400" b="1">
                <a:solidFill>
                  <a:schemeClr val="bg1"/>
                </a:solidFill>
                <a:latin typeface="Georgia" panose="02040502050405020303" pitchFamily="18" charset="0"/>
              </a:rPr>
              <a:t>Table</a:t>
            </a:r>
            <a:r>
              <a:rPr lang="en-US" sz="1400" b="1" baseline="0">
                <a:solidFill>
                  <a:schemeClr val="bg1"/>
                </a:solidFill>
                <a:latin typeface="Georgia" panose="02040502050405020303" pitchFamily="18" charset="0"/>
              </a:rPr>
              <a:t> of Contents</a:t>
            </a:r>
            <a:endParaRPr lang="en-US" sz="1400" b="1">
              <a:solidFill>
                <a:schemeClr val="bg1"/>
              </a:solidFill>
              <a:latin typeface="Georgia" panose="02040502050405020303" pitchFamily="18" charset="0"/>
            </a:endParaRPr>
          </a:p>
        </xdr:txBody>
      </xdr:sp>
      <xdr:sp macro="" textlink="">
        <xdr:nvSpPr>
          <xdr:cNvPr id="6" name="Rectangle: Rounded Corners 5">
            <a:hlinkClick xmlns:r="http://schemas.openxmlformats.org/officeDocument/2006/relationships" r:id="rId2"/>
            <a:extLst>
              <a:ext uri="{FF2B5EF4-FFF2-40B4-BE49-F238E27FC236}">
                <a16:creationId xmlns:a16="http://schemas.microsoft.com/office/drawing/2014/main" id="{4709E486-D915-E171-A861-0CC899B4CEAF}"/>
              </a:ext>
            </a:extLst>
          </xdr:cNvPr>
          <xdr:cNvSpPr/>
        </xdr:nvSpPr>
        <xdr:spPr>
          <a:xfrm>
            <a:off x="163250" y="976145"/>
            <a:ext cx="2928321" cy="813319"/>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lang="en-US" sz="1400" b="1">
                <a:solidFill>
                  <a:schemeClr val="bg1"/>
                </a:solidFill>
                <a:latin typeface="Georgia" panose="02040502050405020303" pitchFamily="18" charset="0"/>
                <a:ea typeface="+mn-ea"/>
                <a:cs typeface="+mn-cs"/>
              </a:rPr>
              <a:t>Contact Information</a:t>
            </a:r>
          </a:p>
        </xdr:txBody>
      </xdr:sp>
      <xdr:sp macro="" textlink="">
        <xdr:nvSpPr>
          <xdr:cNvPr id="7" name="Rectangle: Rounded Corners 6">
            <a:hlinkClick xmlns:r="http://schemas.openxmlformats.org/officeDocument/2006/relationships" r:id="rId3"/>
            <a:extLst>
              <a:ext uri="{FF2B5EF4-FFF2-40B4-BE49-F238E27FC236}">
                <a16:creationId xmlns:a16="http://schemas.microsoft.com/office/drawing/2014/main" id="{3F479B5C-3674-8B29-ED5C-EA7CD6F1E334}"/>
              </a:ext>
            </a:extLst>
          </xdr:cNvPr>
          <xdr:cNvSpPr/>
        </xdr:nvSpPr>
        <xdr:spPr>
          <a:xfrm>
            <a:off x="163250" y="1852947"/>
            <a:ext cx="2928321" cy="813319"/>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lang="en-US" sz="1400" b="1">
                <a:solidFill>
                  <a:schemeClr val="bg1"/>
                </a:solidFill>
                <a:latin typeface="Georgia" panose="02040502050405020303" pitchFamily="18" charset="0"/>
                <a:ea typeface="+mn-ea"/>
                <a:cs typeface="+mn-cs"/>
              </a:rPr>
              <a:t>Research </a:t>
            </a:r>
            <a:r>
              <a:rPr lang="en-US" sz="1400" b="1" baseline="0">
                <a:solidFill>
                  <a:schemeClr val="bg1"/>
                </a:solidFill>
                <a:latin typeface="Georgia" panose="02040502050405020303" pitchFamily="18" charset="0"/>
                <a:ea typeface="+mn-ea"/>
                <a:cs typeface="+mn-cs"/>
              </a:rPr>
              <a:t>Guidance</a:t>
            </a:r>
            <a:endParaRPr lang="en-US" sz="1400" b="1">
              <a:solidFill>
                <a:schemeClr val="bg1"/>
              </a:solidFill>
              <a:latin typeface="Georgia" panose="02040502050405020303" pitchFamily="18" charset="0"/>
              <a:ea typeface="+mn-ea"/>
              <a:cs typeface="+mn-cs"/>
            </a:endParaRPr>
          </a:p>
        </xdr:txBody>
      </xdr:sp>
      <xdr:sp macro="" textlink="">
        <xdr:nvSpPr>
          <xdr:cNvPr id="8" name="Rectangle: Rounded Corners 7">
            <a:hlinkClick xmlns:r="http://schemas.openxmlformats.org/officeDocument/2006/relationships" r:id="rId4"/>
            <a:extLst>
              <a:ext uri="{FF2B5EF4-FFF2-40B4-BE49-F238E27FC236}">
                <a16:creationId xmlns:a16="http://schemas.microsoft.com/office/drawing/2014/main" id="{0E5146CA-198C-E052-B889-0CF33F78536A}"/>
              </a:ext>
            </a:extLst>
          </xdr:cNvPr>
          <xdr:cNvSpPr/>
        </xdr:nvSpPr>
        <xdr:spPr>
          <a:xfrm>
            <a:off x="163250" y="5352622"/>
            <a:ext cx="2928321" cy="813319"/>
          </a:xfrm>
          <a:prstGeom prst="roundRect">
            <a:avLst/>
          </a:prstGeom>
          <a:solidFill>
            <a:schemeClr val="accent3"/>
          </a:solidFill>
          <a:ln w="9525">
            <a:solidFill>
              <a:schemeClr val="tx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lang="en-US" sz="1400" b="1">
                <a:solidFill>
                  <a:schemeClr val="tx1"/>
                </a:solidFill>
                <a:latin typeface="Georgia" panose="02040502050405020303" pitchFamily="18" charset="0"/>
                <a:ea typeface="+mn-ea"/>
                <a:cs typeface="+mn-cs"/>
              </a:rPr>
              <a:t>Almanac</a:t>
            </a:r>
          </a:p>
        </xdr:txBody>
      </xdr:sp>
      <xdr:sp macro="" textlink="">
        <xdr:nvSpPr>
          <xdr:cNvPr id="9" name="Rectangle: Rounded Corners 8">
            <a:hlinkClick xmlns:r="http://schemas.openxmlformats.org/officeDocument/2006/relationships" r:id="rId5"/>
            <a:extLst>
              <a:ext uri="{FF2B5EF4-FFF2-40B4-BE49-F238E27FC236}">
                <a16:creationId xmlns:a16="http://schemas.microsoft.com/office/drawing/2014/main" id="{9F0E43AD-B3E3-4B5D-6311-D4E5E9BF442B}"/>
              </a:ext>
            </a:extLst>
          </xdr:cNvPr>
          <xdr:cNvSpPr/>
        </xdr:nvSpPr>
        <xdr:spPr>
          <a:xfrm>
            <a:off x="163250" y="7983024"/>
            <a:ext cx="2928321" cy="813319"/>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lang="en-US" sz="1400" b="1">
                <a:solidFill>
                  <a:schemeClr val="bg1"/>
                </a:solidFill>
                <a:latin typeface="Georgia" panose="02040502050405020303" pitchFamily="18" charset="0"/>
                <a:ea typeface="+mn-ea"/>
                <a:cs typeface="+mn-cs"/>
              </a:rPr>
              <a:t>FTSE | FTFE</a:t>
            </a:r>
          </a:p>
        </xdr:txBody>
      </xdr:sp>
      <xdr:sp macro="" textlink="">
        <xdr:nvSpPr>
          <xdr:cNvPr id="10" name="Rectangle: Rounded Corners 9">
            <a:hlinkClick xmlns:r="http://schemas.openxmlformats.org/officeDocument/2006/relationships" r:id="rId6"/>
            <a:extLst>
              <a:ext uri="{FF2B5EF4-FFF2-40B4-BE49-F238E27FC236}">
                <a16:creationId xmlns:a16="http://schemas.microsoft.com/office/drawing/2014/main" id="{08EE4816-63C9-0328-EBCA-03B32807F914}"/>
              </a:ext>
            </a:extLst>
          </xdr:cNvPr>
          <xdr:cNvSpPr/>
        </xdr:nvSpPr>
        <xdr:spPr>
          <a:xfrm>
            <a:off x="163250" y="7106225"/>
            <a:ext cx="2928321" cy="813319"/>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algn="r"/>
            <a:r>
              <a:rPr lang="en-US" sz="1400" b="1">
                <a:solidFill>
                  <a:schemeClr val="bg1"/>
                </a:solidFill>
                <a:latin typeface="Georgia" panose="02040502050405020303" pitchFamily="18" charset="0"/>
                <a:ea typeface="+mn-ea"/>
                <a:cs typeface="+mn-cs"/>
              </a:rPr>
              <a:t>Academic</a:t>
            </a:r>
          </a:p>
          <a:p>
            <a:pPr algn="r"/>
            <a:r>
              <a:rPr lang="en-US" sz="1400" b="1">
                <a:solidFill>
                  <a:schemeClr val="bg1"/>
                </a:solidFill>
                <a:latin typeface="Georgia" panose="02040502050405020303" pitchFamily="18" charset="0"/>
                <a:ea typeface="+mn-ea"/>
                <a:cs typeface="+mn-cs"/>
              </a:rPr>
              <a:t>Space Model</a:t>
            </a:r>
          </a:p>
        </xdr:txBody>
      </xdr:sp>
      <xdr:sp macro="" textlink="">
        <xdr:nvSpPr>
          <xdr:cNvPr id="11" name="Rectangle: Rounded Corners 10">
            <a:hlinkClick xmlns:r="http://schemas.openxmlformats.org/officeDocument/2006/relationships" r:id="rId7"/>
            <a:extLst>
              <a:ext uri="{FF2B5EF4-FFF2-40B4-BE49-F238E27FC236}">
                <a16:creationId xmlns:a16="http://schemas.microsoft.com/office/drawing/2014/main" id="{1654657C-0089-8FF9-453C-4A50B794FCDD}"/>
              </a:ext>
            </a:extLst>
          </xdr:cNvPr>
          <xdr:cNvSpPr/>
        </xdr:nvSpPr>
        <xdr:spPr>
          <a:xfrm>
            <a:off x="163250" y="2729748"/>
            <a:ext cx="2928321" cy="813319"/>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lang="en-US" sz="1400" b="1">
                <a:solidFill>
                  <a:schemeClr val="bg1"/>
                </a:solidFill>
                <a:latin typeface="Georgia" panose="02040502050405020303" pitchFamily="18" charset="0"/>
                <a:ea typeface="+mn-ea"/>
                <a:cs typeface="+mn-cs"/>
              </a:rPr>
              <a:t>Research</a:t>
            </a:r>
          </a:p>
          <a:p>
            <a:pPr marL="0" marR="0" lvl="0" indent="0" algn="r" defTabSz="914400" eaLnBrk="1" fontAlgn="auto" latinLnBrk="0" hangingPunct="1">
              <a:lnSpc>
                <a:spcPct val="100000"/>
              </a:lnSpc>
              <a:spcBef>
                <a:spcPts val="0"/>
              </a:spcBef>
              <a:spcAft>
                <a:spcPts val="0"/>
              </a:spcAft>
              <a:buClrTx/>
              <a:buSzTx/>
              <a:buFontTx/>
              <a:buNone/>
              <a:tabLst/>
              <a:defRPr/>
            </a:pPr>
            <a:r>
              <a:rPr lang="en-US" sz="1400" b="1">
                <a:solidFill>
                  <a:schemeClr val="bg1"/>
                </a:solidFill>
                <a:latin typeface="Georgia" panose="02040502050405020303" pitchFamily="18" charset="0"/>
                <a:ea typeface="+mn-ea"/>
                <a:cs typeface="+mn-cs"/>
              </a:rPr>
              <a:t>(by</a:t>
            </a:r>
            <a:r>
              <a:rPr lang="en-US" sz="1400" b="1" baseline="0">
                <a:solidFill>
                  <a:schemeClr val="bg1"/>
                </a:solidFill>
                <a:latin typeface="Georgia" panose="02040502050405020303" pitchFamily="18" charset="0"/>
                <a:ea typeface="+mn-ea"/>
                <a:cs typeface="+mn-cs"/>
              </a:rPr>
              <a:t> Institution)</a:t>
            </a:r>
            <a:endParaRPr lang="en-US" sz="1400" b="1">
              <a:solidFill>
                <a:schemeClr val="bg1"/>
              </a:solidFill>
              <a:latin typeface="Georgia" panose="02040502050405020303" pitchFamily="18" charset="0"/>
              <a:ea typeface="+mn-ea"/>
              <a:cs typeface="+mn-cs"/>
            </a:endParaRPr>
          </a:p>
        </xdr:txBody>
      </xdr:sp>
      <xdr:sp macro="" textlink="">
        <xdr:nvSpPr>
          <xdr:cNvPr id="12" name="Rectangle: Rounded Corners 11">
            <a:hlinkClick xmlns:r="http://schemas.openxmlformats.org/officeDocument/2006/relationships" r:id="rId8"/>
            <a:extLst>
              <a:ext uri="{FF2B5EF4-FFF2-40B4-BE49-F238E27FC236}">
                <a16:creationId xmlns:a16="http://schemas.microsoft.com/office/drawing/2014/main" id="{28D82F9B-8213-8845-DA3A-7F8F62E8D0FE}"/>
              </a:ext>
            </a:extLst>
          </xdr:cNvPr>
          <xdr:cNvSpPr/>
        </xdr:nvSpPr>
        <xdr:spPr>
          <a:xfrm>
            <a:off x="163250" y="3606550"/>
            <a:ext cx="2928321" cy="813319"/>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algn="r"/>
            <a:r>
              <a:rPr lang="en-US" sz="1400" b="1">
                <a:solidFill>
                  <a:schemeClr val="bg1"/>
                </a:solidFill>
                <a:latin typeface="Georgia" panose="02040502050405020303" pitchFamily="18" charset="0"/>
                <a:ea typeface="+mn-ea"/>
                <a:cs typeface="+mn-cs"/>
              </a:rPr>
              <a:t>Summary</a:t>
            </a:r>
          </a:p>
          <a:p>
            <a:pPr algn="r"/>
            <a:r>
              <a:rPr lang="en-US" sz="1400" b="1">
                <a:solidFill>
                  <a:schemeClr val="bg1"/>
                </a:solidFill>
                <a:latin typeface="Georgia" panose="02040502050405020303" pitchFamily="18" charset="0"/>
                <a:ea typeface="+mn-ea"/>
                <a:cs typeface="+mn-cs"/>
              </a:rPr>
              <a:t>(by</a:t>
            </a:r>
            <a:r>
              <a:rPr lang="en-US" sz="1400" b="1" baseline="0">
                <a:solidFill>
                  <a:schemeClr val="bg1"/>
                </a:solidFill>
                <a:latin typeface="Georgia" panose="02040502050405020303" pitchFamily="18" charset="0"/>
                <a:ea typeface="+mn-ea"/>
                <a:cs typeface="+mn-cs"/>
              </a:rPr>
              <a:t> System)</a:t>
            </a:r>
            <a:endParaRPr lang="en-US" sz="1400" b="1">
              <a:solidFill>
                <a:schemeClr val="bg1"/>
              </a:solidFill>
              <a:latin typeface="Georgia" panose="02040502050405020303" pitchFamily="18" charset="0"/>
              <a:ea typeface="+mn-ea"/>
              <a:cs typeface="+mn-cs"/>
            </a:endParaRPr>
          </a:p>
        </xdr:txBody>
      </xdr:sp>
      <xdr:sp macro="" textlink="">
        <xdr:nvSpPr>
          <xdr:cNvPr id="13" name="Rectangle: Rounded Corners 12">
            <a:hlinkClick xmlns:r="http://schemas.openxmlformats.org/officeDocument/2006/relationships" r:id="rId9"/>
            <a:extLst>
              <a:ext uri="{FF2B5EF4-FFF2-40B4-BE49-F238E27FC236}">
                <a16:creationId xmlns:a16="http://schemas.microsoft.com/office/drawing/2014/main" id="{61B9E2AB-4E4D-4010-E40E-CE69F0A0D663}"/>
              </a:ext>
            </a:extLst>
          </xdr:cNvPr>
          <xdr:cNvSpPr/>
        </xdr:nvSpPr>
        <xdr:spPr>
          <a:xfrm>
            <a:off x="163250" y="4483351"/>
            <a:ext cx="2928321" cy="813319"/>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algn="r"/>
            <a:r>
              <a:rPr lang="en-US" sz="1400" b="1">
                <a:solidFill>
                  <a:schemeClr val="bg1"/>
                </a:solidFill>
                <a:latin typeface="Georgia" panose="02040502050405020303" pitchFamily="18" charset="0"/>
                <a:ea typeface="+mn-ea"/>
                <a:cs typeface="+mn-cs"/>
              </a:rPr>
              <a:t>Summary </a:t>
            </a:r>
          </a:p>
          <a:p>
            <a:pPr algn="r"/>
            <a:r>
              <a:rPr lang="en-US" sz="1400" b="1">
                <a:solidFill>
                  <a:schemeClr val="bg1"/>
                </a:solidFill>
                <a:latin typeface="Georgia" panose="02040502050405020303" pitchFamily="18" charset="0"/>
                <a:ea typeface="+mn-ea"/>
                <a:cs typeface="+mn-cs"/>
              </a:rPr>
              <a:t>(by Institution Type)</a:t>
            </a:r>
          </a:p>
        </xdr:txBody>
      </xdr:sp>
      <xdr:sp macro="" textlink="">
        <xdr:nvSpPr>
          <xdr:cNvPr id="14" name="Rectangle: Rounded Corners 13">
            <a:hlinkClick xmlns:r="http://schemas.openxmlformats.org/officeDocument/2006/relationships" r:id="rId10"/>
            <a:extLst>
              <a:ext uri="{FF2B5EF4-FFF2-40B4-BE49-F238E27FC236}">
                <a16:creationId xmlns:a16="http://schemas.microsoft.com/office/drawing/2014/main" id="{7E86CA06-8AD6-BD2F-6F2F-7B163AC7AEA7}"/>
              </a:ext>
            </a:extLst>
          </xdr:cNvPr>
          <xdr:cNvSpPr/>
        </xdr:nvSpPr>
        <xdr:spPr>
          <a:xfrm>
            <a:off x="163250" y="6229423"/>
            <a:ext cx="2928321" cy="813319"/>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algn="r"/>
            <a:r>
              <a:rPr lang="en-US" sz="1400" b="1">
                <a:solidFill>
                  <a:schemeClr val="bg1"/>
                </a:solidFill>
                <a:latin typeface="Georgia" panose="02040502050405020303" pitchFamily="18" charset="0"/>
                <a:ea typeface="+mn-ea"/>
                <a:cs typeface="+mn-cs"/>
              </a:rPr>
              <a:t>Source of Funds</a:t>
            </a:r>
          </a:p>
        </xdr:txBody>
      </xdr:sp>
      <xdr:pic>
        <xdr:nvPicPr>
          <xdr:cNvPr id="15" name="Graphic 14" descr="Home with solid fill">
            <a:hlinkClick xmlns:r="http://schemas.openxmlformats.org/officeDocument/2006/relationships" r:id="rId1"/>
            <a:extLst>
              <a:ext uri="{FF2B5EF4-FFF2-40B4-BE49-F238E27FC236}">
                <a16:creationId xmlns:a16="http://schemas.microsoft.com/office/drawing/2014/main" id="{6144D730-FB9E-429D-5770-1D6D9AB067BC}"/>
              </a:ext>
            </a:extLst>
          </xdr:cNvPr>
          <xdr:cNvPicPr>
            <a:picLocks noChangeAspect="1"/>
          </xdr:cNvPicPr>
        </xdr:nvPicPr>
        <xdr:blipFill>
          <a:blip xmlns:r="http://schemas.openxmlformats.org/officeDocument/2006/relationships" r:embed="rId11">
            <a:extLst>
              <a:ext uri="{96DAC541-7B7A-43D3-8B79-37D633B846F1}">
                <asvg:svgBlip xmlns:asvg="http://schemas.microsoft.com/office/drawing/2016/SVG/main" r:embed="rId12"/>
              </a:ext>
            </a:extLst>
          </a:blip>
          <a:stretch>
            <a:fillRect/>
          </a:stretch>
        </xdr:blipFill>
        <xdr:spPr>
          <a:xfrm>
            <a:off x="265494" y="99001"/>
            <a:ext cx="776889" cy="755704"/>
          </a:xfrm>
          <a:prstGeom prst="rect">
            <a:avLst/>
          </a:prstGeom>
        </xdr:spPr>
      </xdr:pic>
      <xdr:pic>
        <xdr:nvPicPr>
          <xdr:cNvPr id="16" name="Graphic 15" descr="Address Book with solid fill">
            <a:hlinkClick xmlns:r="http://schemas.openxmlformats.org/officeDocument/2006/relationships" r:id="rId2"/>
            <a:extLst>
              <a:ext uri="{FF2B5EF4-FFF2-40B4-BE49-F238E27FC236}">
                <a16:creationId xmlns:a16="http://schemas.microsoft.com/office/drawing/2014/main" id="{409293AE-CDD1-7F81-8C8A-7A986079D9FB}"/>
              </a:ext>
            </a:extLst>
          </xdr:cNvPr>
          <xdr:cNvPicPr>
            <a:picLocks noChangeAspect="1"/>
          </xdr:cNvPicPr>
        </xdr:nvPicPr>
        <xdr:blipFill>
          <a:blip xmlns:r="http://schemas.openxmlformats.org/officeDocument/2006/relationships" r:embed="rId13">
            <a:extLst>
              <a:ext uri="{96DAC541-7B7A-43D3-8B79-37D633B846F1}">
                <asvg:svgBlip xmlns:asvg="http://schemas.microsoft.com/office/drawing/2016/SVG/main" r:embed="rId14"/>
              </a:ext>
            </a:extLst>
          </a:blip>
          <a:stretch>
            <a:fillRect/>
          </a:stretch>
        </xdr:blipFill>
        <xdr:spPr>
          <a:xfrm>
            <a:off x="265494" y="991919"/>
            <a:ext cx="757011" cy="759464"/>
          </a:xfrm>
          <a:prstGeom prst="rect">
            <a:avLst/>
          </a:prstGeom>
        </xdr:spPr>
      </xdr:pic>
      <xdr:pic>
        <xdr:nvPicPr>
          <xdr:cNvPr id="17" name="Graphic 16" descr="Closed book with solid fill">
            <a:hlinkClick xmlns:r="http://schemas.openxmlformats.org/officeDocument/2006/relationships" r:id="rId3"/>
            <a:extLst>
              <a:ext uri="{FF2B5EF4-FFF2-40B4-BE49-F238E27FC236}">
                <a16:creationId xmlns:a16="http://schemas.microsoft.com/office/drawing/2014/main" id="{B9BB5ABE-1DEB-08AE-83F5-EA93E0C1342B}"/>
              </a:ext>
            </a:extLst>
          </xdr:cNvPr>
          <xdr:cNvPicPr>
            <a:picLocks noChangeAspect="1"/>
          </xdr:cNvPicPr>
        </xdr:nvPicPr>
        <xdr:blipFill>
          <a:blip xmlns:r="http://schemas.openxmlformats.org/officeDocument/2006/relationships" r:embed="rId15">
            <a:extLst>
              <a:ext uri="{96DAC541-7B7A-43D3-8B79-37D633B846F1}">
                <asvg:svgBlip xmlns:asvg="http://schemas.microsoft.com/office/drawing/2016/SVG/main" r:embed="rId16"/>
              </a:ext>
            </a:extLst>
          </a:blip>
          <a:stretch>
            <a:fillRect/>
          </a:stretch>
        </xdr:blipFill>
        <xdr:spPr>
          <a:xfrm>
            <a:off x="265494" y="1870876"/>
            <a:ext cx="757011" cy="751085"/>
          </a:xfrm>
          <a:prstGeom prst="rect">
            <a:avLst/>
          </a:prstGeom>
        </xdr:spPr>
      </xdr:pic>
      <xdr:pic>
        <xdr:nvPicPr>
          <xdr:cNvPr id="18" name="Graphic 17" descr="Books on shelf with solid fill">
            <a:hlinkClick xmlns:r="http://schemas.openxmlformats.org/officeDocument/2006/relationships" r:id="rId4"/>
            <a:extLst>
              <a:ext uri="{FF2B5EF4-FFF2-40B4-BE49-F238E27FC236}">
                <a16:creationId xmlns:a16="http://schemas.microsoft.com/office/drawing/2014/main" id="{9D7E5A7A-5A53-9EC9-60D4-B827A9FDC573}"/>
              </a:ext>
            </a:extLst>
          </xdr:cNvPr>
          <xdr:cNvPicPr>
            <a:picLocks noChangeAspect="1"/>
          </xdr:cNvPicPr>
        </xdr:nvPicPr>
        <xdr:blipFill>
          <a:blip xmlns:r="http://schemas.openxmlformats.org/officeDocument/2006/relationships" r:embed="rId17">
            <a:extLst>
              <a:ext uri="{96DAC541-7B7A-43D3-8B79-37D633B846F1}">
                <asvg:svgBlip xmlns:asvg="http://schemas.microsoft.com/office/drawing/2016/SVG/main" r:embed="rId18"/>
              </a:ext>
            </a:extLst>
          </a:blip>
          <a:stretch>
            <a:fillRect/>
          </a:stretch>
        </xdr:blipFill>
        <xdr:spPr>
          <a:xfrm>
            <a:off x="265494" y="5377021"/>
            <a:ext cx="767054" cy="759543"/>
          </a:xfrm>
          <a:prstGeom prst="rect">
            <a:avLst/>
          </a:prstGeom>
        </xdr:spPr>
      </xdr:pic>
      <xdr:pic>
        <xdr:nvPicPr>
          <xdr:cNvPr id="19" name="Graphic 18" descr="Users with solid fill">
            <a:hlinkClick xmlns:r="http://schemas.openxmlformats.org/officeDocument/2006/relationships" r:id="rId5"/>
            <a:extLst>
              <a:ext uri="{FF2B5EF4-FFF2-40B4-BE49-F238E27FC236}">
                <a16:creationId xmlns:a16="http://schemas.microsoft.com/office/drawing/2014/main" id="{7EFABC94-E3D3-3463-B06F-0FAEDAE59149}"/>
              </a:ext>
            </a:extLst>
          </xdr:cNvPr>
          <xdr:cNvPicPr>
            <a:picLocks noChangeAspect="1"/>
          </xdr:cNvPicPr>
        </xdr:nvPicPr>
        <xdr:blipFill>
          <a:blip xmlns:r="http://schemas.openxmlformats.org/officeDocument/2006/relationships" r:embed="rId19">
            <a:extLst>
              <a:ext uri="{96DAC541-7B7A-43D3-8B79-37D633B846F1}">
                <asvg:svgBlip xmlns:asvg="http://schemas.microsoft.com/office/drawing/2016/SVG/main" r:embed="rId20"/>
              </a:ext>
            </a:extLst>
          </a:blip>
          <a:stretch>
            <a:fillRect/>
          </a:stretch>
        </xdr:blipFill>
        <xdr:spPr>
          <a:xfrm>
            <a:off x="265494" y="8038608"/>
            <a:ext cx="766757" cy="756332"/>
          </a:xfrm>
          <a:prstGeom prst="rect">
            <a:avLst/>
          </a:prstGeom>
        </xdr:spPr>
      </xdr:pic>
      <xdr:pic>
        <xdr:nvPicPr>
          <xdr:cNvPr id="20" name="Graphic 19" descr="Document with solid fill">
            <a:hlinkClick xmlns:r="http://schemas.openxmlformats.org/officeDocument/2006/relationships" r:id="rId6"/>
            <a:extLst>
              <a:ext uri="{FF2B5EF4-FFF2-40B4-BE49-F238E27FC236}">
                <a16:creationId xmlns:a16="http://schemas.microsoft.com/office/drawing/2014/main" id="{4ADB1EBF-E328-321C-B1CD-FAFAAE7B6A33}"/>
              </a:ext>
            </a:extLst>
          </xdr:cNvPr>
          <xdr:cNvPicPr>
            <a:picLocks noChangeAspect="1"/>
          </xdr:cNvPicPr>
        </xdr:nvPicPr>
        <xdr:blipFill>
          <a:blip xmlns:r="http://schemas.openxmlformats.org/officeDocument/2006/relationships" r:embed="rId21">
            <a:extLst>
              <a:ext uri="{96DAC541-7B7A-43D3-8B79-37D633B846F1}">
                <asvg:svgBlip xmlns:asvg="http://schemas.microsoft.com/office/drawing/2016/SVG/main" r:embed="rId22"/>
              </a:ext>
            </a:extLst>
          </a:blip>
          <a:stretch>
            <a:fillRect/>
          </a:stretch>
        </xdr:blipFill>
        <xdr:spPr>
          <a:xfrm>
            <a:off x="265494" y="7124014"/>
            <a:ext cx="761383" cy="756331"/>
          </a:xfrm>
          <a:prstGeom prst="rect">
            <a:avLst/>
          </a:prstGeom>
        </xdr:spPr>
      </xdr:pic>
      <xdr:pic>
        <xdr:nvPicPr>
          <xdr:cNvPr id="21" name="Graphic 20" descr="Research with solid fill">
            <a:hlinkClick xmlns:r="http://schemas.openxmlformats.org/officeDocument/2006/relationships" r:id="rId7"/>
            <a:extLst>
              <a:ext uri="{FF2B5EF4-FFF2-40B4-BE49-F238E27FC236}">
                <a16:creationId xmlns:a16="http://schemas.microsoft.com/office/drawing/2014/main" id="{D20747DB-273D-D8F2-66D9-9E9ADA73D1E2}"/>
              </a:ext>
            </a:extLst>
          </xdr:cNvPr>
          <xdr:cNvPicPr>
            <a:picLocks noChangeAspect="1"/>
          </xdr:cNvPicPr>
        </xdr:nvPicPr>
        <xdr:blipFill>
          <a:blip xmlns:r="http://schemas.openxmlformats.org/officeDocument/2006/relationships" r:embed="rId23">
            <a:extLst>
              <a:ext uri="{96DAC541-7B7A-43D3-8B79-37D633B846F1}">
                <asvg:svgBlip xmlns:asvg="http://schemas.microsoft.com/office/drawing/2016/SVG/main" r:embed="rId24"/>
              </a:ext>
            </a:extLst>
          </a:blip>
          <a:srcRect/>
          <a:stretch/>
        </xdr:blipFill>
        <xdr:spPr>
          <a:xfrm>
            <a:off x="265494" y="2759175"/>
            <a:ext cx="760910" cy="727528"/>
          </a:xfrm>
          <a:prstGeom prst="rect">
            <a:avLst/>
          </a:prstGeom>
        </xdr:spPr>
      </xdr:pic>
      <xdr:pic>
        <xdr:nvPicPr>
          <xdr:cNvPr id="22" name="Graphic 21" descr="Hierarchy with solid fill">
            <a:hlinkClick xmlns:r="http://schemas.openxmlformats.org/officeDocument/2006/relationships" r:id="rId8"/>
            <a:extLst>
              <a:ext uri="{FF2B5EF4-FFF2-40B4-BE49-F238E27FC236}">
                <a16:creationId xmlns:a16="http://schemas.microsoft.com/office/drawing/2014/main" id="{E30EA7CC-CD8F-2854-CFAC-658A7236477D}"/>
              </a:ext>
            </a:extLst>
          </xdr:cNvPr>
          <xdr:cNvPicPr>
            <a:picLocks noChangeAspect="1"/>
          </xdr:cNvPicPr>
        </xdr:nvPicPr>
        <xdr:blipFill>
          <a:blip xmlns:r="http://schemas.openxmlformats.org/officeDocument/2006/relationships" r:embed="rId25">
            <a:extLst>
              <a:ext uri="{96DAC541-7B7A-43D3-8B79-37D633B846F1}">
                <asvg:svgBlip xmlns:asvg="http://schemas.microsoft.com/office/drawing/2016/SVG/main" r:embed="rId26"/>
              </a:ext>
            </a:extLst>
          </a:blip>
          <a:stretch>
            <a:fillRect/>
          </a:stretch>
        </xdr:blipFill>
        <xdr:spPr>
          <a:xfrm>
            <a:off x="265494" y="3597336"/>
            <a:ext cx="754766" cy="755701"/>
          </a:xfrm>
          <a:prstGeom prst="rect">
            <a:avLst/>
          </a:prstGeom>
        </xdr:spPr>
      </xdr:pic>
      <xdr:pic>
        <xdr:nvPicPr>
          <xdr:cNvPr id="23" name="Graphic 22" descr="Postit Notes with solid fill">
            <a:hlinkClick xmlns:r="http://schemas.openxmlformats.org/officeDocument/2006/relationships" r:id="rId9"/>
            <a:extLst>
              <a:ext uri="{FF2B5EF4-FFF2-40B4-BE49-F238E27FC236}">
                <a16:creationId xmlns:a16="http://schemas.microsoft.com/office/drawing/2014/main" id="{248B2BF3-986A-628D-02D7-CC91B049B05E}"/>
              </a:ext>
            </a:extLst>
          </xdr:cNvPr>
          <xdr:cNvPicPr>
            <a:picLocks noChangeAspect="1"/>
          </xdr:cNvPicPr>
        </xdr:nvPicPr>
        <xdr:blipFill>
          <a:blip xmlns:r="http://schemas.openxmlformats.org/officeDocument/2006/relationships" r:embed="rId27">
            <a:extLst>
              <a:ext uri="{96DAC541-7B7A-43D3-8B79-37D633B846F1}">
                <asvg:svgBlip xmlns:asvg="http://schemas.microsoft.com/office/drawing/2016/SVG/main" r:embed="rId28"/>
              </a:ext>
            </a:extLst>
          </a:blip>
          <a:stretch>
            <a:fillRect/>
          </a:stretch>
        </xdr:blipFill>
        <xdr:spPr>
          <a:xfrm>
            <a:off x="265494" y="4499110"/>
            <a:ext cx="754766" cy="755754"/>
          </a:xfrm>
          <a:prstGeom prst="rect">
            <a:avLst/>
          </a:prstGeom>
        </xdr:spPr>
      </xdr:pic>
      <xdr:pic>
        <xdr:nvPicPr>
          <xdr:cNvPr id="24" name="Graphic 23" descr="Money with solid fill">
            <a:hlinkClick xmlns:r="http://schemas.openxmlformats.org/officeDocument/2006/relationships" r:id="rId10"/>
            <a:extLst>
              <a:ext uri="{FF2B5EF4-FFF2-40B4-BE49-F238E27FC236}">
                <a16:creationId xmlns:a16="http://schemas.microsoft.com/office/drawing/2014/main" id="{04425875-1033-D28C-CE80-A618983ECFF8}"/>
              </a:ext>
            </a:extLst>
          </xdr:cNvPr>
          <xdr:cNvPicPr>
            <a:picLocks noChangeAspect="1"/>
          </xdr:cNvPicPr>
        </xdr:nvPicPr>
        <xdr:blipFill>
          <a:blip xmlns:r="http://schemas.openxmlformats.org/officeDocument/2006/relationships" r:embed="rId29">
            <a:extLst>
              <a:ext uri="{96DAC541-7B7A-43D3-8B79-37D633B846F1}">
                <asvg:svgBlip xmlns:asvg="http://schemas.microsoft.com/office/drawing/2016/SVG/main" r:embed="rId30"/>
              </a:ext>
            </a:extLst>
          </a:blip>
          <a:srcRect/>
          <a:stretch/>
        </xdr:blipFill>
        <xdr:spPr>
          <a:xfrm>
            <a:off x="265494" y="6235676"/>
            <a:ext cx="767054" cy="733405"/>
          </a:xfrm>
          <a:prstGeom prst="rect">
            <a:avLst/>
          </a:prstGeom>
        </xdr:spPr>
      </xdr:pic>
    </xdr:grp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30480</xdr:colOff>
      <xdr:row>0</xdr:row>
      <xdr:rowOff>30480</xdr:rowOff>
    </xdr:from>
    <xdr:to>
      <xdr:col>5</xdr:col>
      <xdr:colOff>438149</xdr:colOff>
      <xdr:row>23</xdr:row>
      <xdr:rowOff>98709</xdr:rowOff>
    </xdr:to>
    <xdr:grpSp>
      <xdr:nvGrpSpPr>
        <xdr:cNvPr id="25" name="Group 24">
          <a:extLst>
            <a:ext uri="{FF2B5EF4-FFF2-40B4-BE49-F238E27FC236}">
              <a16:creationId xmlns:a16="http://schemas.microsoft.com/office/drawing/2014/main" id="{73EB3A78-4F9B-BCF8-4308-F6E23342D23A}"/>
            </a:ext>
          </a:extLst>
        </xdr:cNvPr>
        <xdr:cNvGrpSpPr/>
      </xdr:nvGrpSpPr>
      <xdr:grpSpPr>
        <a:xfrm>
          <a:off x="30480" y="30480"/>
          <a:ext cx="3169919" cy="8831229"/>
          <a:chOff x="30480" y="30480"/>
          <a:chExt cx="3188969" cy="8831229"/>
        </a:xfrm>
      </xdr:grpSpPr>
      <xdr:sp macro="" textlink="">
        <xdr:nvSpPr>
          <xdr:cNvPr id="3" name="Rectangle: Rounded Corners 2">
            <a:extLst>
              <a:ext uri="{FF2B5EF4-FFF2-40B4-BE49-F238E27FC236}">
                <a16:creationId xmlns:a16="http://schemas.microsoft.com/office/drawing/2014/main" id="{5107C2C3-29C9-8DCE-50D8-95D20C15DEA3}"/>
              </a:ext>
            </a:extLst>
          </xdr:cNvPr>
          <xdr:cNvSpPr/>
        </xdr:nvSpPr>
        <xdr:spPr>
          <a:xfrm>
            <a:off x="30480" y="30480"/>
            <a:ext cx="3188969" cy="8831229"/>
          </a:xfrm>
          <a:prstGeom prst="roundRect">
            <a:avLst>
              <a:gd name="adj" fmla="val 6618"/>
            </a:avLst>
          </a:prstGeom>
          <a:ln/>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t"/>
          <a:lstStyle/>
          <a:p>
            <a:pPr algn="l"/>
            <a:endParaRPr lang="en-US" sz="1100"/>
          </a:p>
        </xdr:txBody>
      </xdr:sp>
      <xdr:sp macro="" textlink="">
        <xdr:nvSpPr>
          <xdr:cNvPr id="5" name="Rectangle: Rounded Corners 4">
            <a:hlinkClick xmlns:r="http://schemas.openxmlformats.org/officeDocument/2006/relationships" r:id="rId1"/>
            <a:extLst>
              <a:ext uri="{FF2B5EF4-FFF2-40B4-BE49-F238E27FC236}">
                <a16:creationId xmlns:a16="http://schemas.microsoft.com/office/drawing/2014/main" id="{4E4D86E6-C960-EC46-2A19-59DF528DEB1C}"/>
              </a:ext>
            </a:extLst>
          </xdr:cNvPr>
          <xdr:cNvSpPr/>
        </xdr:nvSpPr>
        <xdr:spPr>
          <a:xfrm>
            <a:off x="163250" y="99344"/>
            <a:ext cx="2928321" cy="813319"/>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lvl="0" algn="r"/>
            <a:r>
              <a:rPr lang="en-US" sz="1400" b="1">
                <a:solidFill>
                  <a:schemeClr val="bg1"/>
                </a:solidFill>
                <a:latin typeface="Georgia" panose="02040502050405020303" pitchFamily="18" charset="0"/>
              </a:rPr>
              <a:t>Table</a:t>
            </a:r>
            <a:r>
              <a:rPr lang="en-US" sz="1400" b="1" baseline="0">
                <a:solidFill>
                  <a:schemeClr val="bg1"/>
                </a:solidFill>
                <a:latin typeface="Georgia" panose="02040502050405020303" pitchFamily="18" charset="0"/>
              </a:rPr>
              <a:t> of Contents</a:t>
            </a:r>
            <a:endParaRPr lang="en-US" sz="1400" b="1">
              <a:solidFill>
                <a:schemeClr val="bg1"/>
              </a:solidFill>
              <a:latin typeface="Georgia" panose="02040502050405020303" pitchFamily="18" charset="0"/>
            </a:endParaRPr>
          </a:p>
        </xdr:txBody>
      </xdr:sp>
      <xdr:sp macro="" textlink="">
        <xdr:nvSpPr>
          <xdr:cNvPr id="6" name="Rectangle: Rounded Corners 5">
            <a:hlinkClick xmlns:r="http://schemas.openxmlformats.org/officeDocument/2006/relationships" r:id="rId2"/>
            <a:extLst>
              <a:ext uri="{FF2B5EF4-FFF2-40B4-BE49-F238E27FC236}">
                <a16:creationId xmlns:a16="http://schemas.microsoft.com/office/drawing/2014/main" id="{9B56CBF1-0E2B-35FF-1770-3963719063F5}"/>
              </a:ext>
            </a:extLst>
          </xdr:cNvPr>
          <xdr:cNvSpPr/>
        </xdr:nvSpPr>
        <xdr:spPr>
          <a:xfrm>
            <a:off x="163250" y="976145"/>
            <a:ext cx="2928321" cy="813319"/>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lang="en-US" sz="1400" b="1">
                <a:solidFill>
                  <a:schemeClr val="bg1"/>
                </a:solidFill>
                <a:latin typeface="Georgia" panose="02040502050405020303" pitchFamily="18" charset="0"/>
                <a:ea typeface="+mn-ea"/>
                <a:cs typeface="+mn-cs"/>
              </a:rPr>
              <a:t>Contact Information</a:t>
            </a:r>
          </a:p>
        </xdr:txBody>
      </xdr:sp>
      <xdr:sp macro="" textlink="">
        <xdr:nvSpPr>
          <xdr:cNvPr id="7" name="Rectangle: Rounded Corners 6">
            <a:hlinkClick xmlns:r="http://schemas.openxmlformats.org/officeDocument/2006/relationships" r:id="rId3"/>
            <a:extLst>
              <a:ext uri="{FF2B5EF4-FFF2-40B4-BE49-F238E27FC236}">
                <a16:creationId xmlns:a16="http://schemas.microsoft.com/office/drawing/2014/main" id="{7936C33C-E548-C132-F700-BDB205083E37}"/>
              </a:ext>
            </a:extLst>
          </xdr:cNvPr>
          <xdr:cNvSpPr/>
        </xdr:nvSpPr>
        <xdr:spPr>
          <a:xfrm>
            <a:off x="163250" y="1852947"/>
            <a:ext cx="2928321" cy="813319"/>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lang="en-US" sz="1400" b="1">
                <a:solidFill>
                  <a:schemeClr val="bg1"/>
                </a:solidFill>
                <a:latin typeface="Georgia" panose="02040502050405020303" pitchFamily="18" charset="0"/>
                <a:ea typeface="+mn-ea"/>
                <a:cs typeface="+mn-cs"/>
              </a:rPr>
              <a:t>Research </a:t>
            </a:r>
            <a:r>
              <a:rPr lang="en-US" sz="1400" b="1" baseline="0">
                <a:solidFill>
                  <a:schemeClr val="bg1"/>
                </a:solidFill>
                <a:latin typeface="Georgia" panose="02040502050405020303" pitchFamily="18" charset="0"/>
                <a:ea typeface="+mn-ea"/>
                <a:cs typeface="+mn-cs"/>
              </a:rPr>
              <a:t>Guidance</a:t>
            </a:r>
            <a:endParaRPr lang="en-US" sz="1400" b="1">
              <a:solidFill>
                <a:schemeClr val="bg1"/>
              </a:solidFill>
              <a:latin typeface="Georgia" panose="02040502050405020303" pitchFamily="18" charset="0"/>
              <a:ea typeface="+mn-ea"/>
              <a:cs typeface="+mn-cs"/>
            </a:endParaRPr>
          </a:p>
        </xdr:txBody>
      </xdr:sp>
      <xdr:sp macro="" textlink="">
        <xdr:nvSpPr>
          <xdr:cNvPr id="8" name="Rectangle: Rounded Corners 7">
            <a:hlinkClick xmlns:r="http://schemas.openxmlformats.org/officeDocument/2006/relationships" r:id="rId4"/>
            <a:extLst>
              <a:ext uri="{FF2B5EF4-FFF2-40B4-BE49-F238E27FC236}">
                <a16:creationId xmlns:a16="http://schemas.microsoft.com/office/drawing/2014/main" id="{F51A98D5-E2F1-CDF9-F8E5-C69CDADDE84E}"/>
              </a:ext>
            </a:extLst>
          </xdr:cNvPr>
          <xdr:cNvSpPr/>
        </xdr:nvSpPr>
        <xdr:spPr>
          <a:xfrm>
            <a:off x="163250" y="5352622"/>
            <a:ext cx="2928321" cy="813319"/>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lang="en-US" sz="1400" b="1">
                <a:solidFill>
                  <a:schemeClr val="bg1"/>
                </a:solidFill>
                <a:latin typeface="Georgia" panose="02040502050405020303" pitchFamily="18" charset="0"/>
                <a:ea typeface="+mn-ea"/>
                <a:cs typeface="+mn-cs"/>
              </a:rPr>
              <a:t>Almanac</a:t>
            </a:r>
          </a:p>
        </xdr:txBody>
      </xdr:sp>
      <xdr:sp macro="" textlink="">
        <xdr:nvSpPr>
          <xdr:cNvPr id="9" name="Rectangle: Rounded Corners 8">
            <a:hlinkClick xmlns:r="http://schemas.openxmlformats.org/officeDocument/2006/relationships" r:id="rId5"/>
            <a:extLst>
              <a:ext uri="{FF2B5EF4-FFF2-40B4-BE49-F238E27FC236}">
                <a16:creationId xmlns:a16="http://schemas.microsoft.com/office/drawing/2014/main" id="{AABB2696-678C-1B4A-BCA4-A69C15C6EC13}"/>
              </a:ext>
            </a:extLst>
          </xdr:cNvPr>
          <xdr:cNvSpPr/>
        </xdr:nvSpPr>
        <xdr:spPr>
          <a:xfrm>
            <a:off x="163250" y="7983024"/>
            <a:ext cx="2928321" cy="813319"/>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lang="en-US" sz="1400" b="1">
                <a:solidFill>
                  <a:schemeClr val="bg1"/>
                </a:solidFill>
                <a:latin typeface="Georgia" panose="02040502050405020303" pitchFamily="18" charset="0"/>
                <a:ea typeface="+mn-ea"/>
                <a:cs typeface="+mn-cs"/>
              </a:rPr>
              <a:t>FTSE | FTFE</a:t>
            </a:r>
          </a:p>
        </xdr:txBody>
      </xdr:sp>
      <xdr:sp macro="" textlink="">
        <xdr:nvSpPr>
          <xdr:cNvPr id="10" name="Rectangle: Rounded Corners 9">
            <a:hlinkClick xmlns:r="http://schemas.openxmlformats.org/officeDocument/2006/relationships" r:id="rId6"/>
            <a:extLst>
              <a:ext uri="{FF2B5EF4-FFF2-40B4-BE49-F238E27FC236}">
                <a16:creationId xmlns:a16="http://schemas.microsoft.com/office/drawing/2014/main" id="{728F20D0-62A3-8DBF-0E5F-02A87D728830}"/>
              </a:ext>
            </a:extLst>
          </xdr:cNvPr>
          <xdr:cNvSpPr/>
        </xdr:nvSpPr>
        <xdr:spPr>
          <a:xfrm>
            <a:off x="163250" y="7106225"/>
            <a:ext cx="2928321" cy="813319"/>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algn="r"/>
            <a:r>
              <a:rPr lang="en-US" sz="1400" b="1">
                <a:solidFill>
                  <a:schemeClr val="bg1"/>
                </a:solidFill>
                <a:latin typeface="Georgia" panose="02040502050405020303" pitchFamily="18" charset="0"/>
                <a:ea typeface="+mn-ea"/>
                <a:cs typeface="+mn-cs"/>
              </a:rPr>
              <a:t>Academic</a:t>
            </a:r>
          </a:p>
          <a:p>
            <a:pPr algn="r"/>
            <a:r>
              <a:rPr lang="en-US" sz="1400" b="1">
                <a:solidFill>
                  <a:schemeClr val="bg1"/>
                </a:solidFill>
                <a:latin typeface="Georgia" panose="02040502050405020303" pitchFamily="18" charset="0"/>
                <a:ea typeface="+mn-ea"/>
                <a:cs typeface="+mn-cs"/>
              </a:rPr>
              <a:t>Space Model</a:t>
            </a:r>
          </a:p>
        </xdr:txBody>
      </xdr:sp>
      <xdr:sp macro="" textlink="">
        <xdr:nvSpPr>
          <xdr:cNvPr id="11" name="Rectangle: Rounded Corners 10">
            <a:hlinkClick xmlns:r="http://schemas.openxmlformats.org/officeDocument/2006/relationships" r:id="rId7"/>
            <a:extLst>
              <a:ext uri="{FF2B5EF4-FFF2-40B4-BE49-F238E27FC236}">
                <a16:creationId xmlns:a16="http://schemas.microsoft.com/office/drawing/2014/main" id="{D0CF509B-1AE5-C0E2-737A-D895FE120FFE}"/>
              </a:ext>
            </a:extLst>
          </xdr:cNvPr>
          <xdr:cNvSpPr/>
        </xdr:nvSpPr>
        <xdr:spPr>
          <a:xfrm>
            <a:off x="163250" y="2729748"/>
            <a:ext cx="2928321" cy="813319"/>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lang="en-US" sz="1400" b="1">
                <a:solidFill>
                  <a:schemeClr val="bg1"/>
                </a:solidFill>
                <a:latin typeface="Georgia" panose="02040502050405020303" pitchFamily="18" charset="0"/>
                <a:ea typeface="+mn-ea"/>
                <a:cs typeface="+mn-cs"/>
              </a:rPr>
              <a:t>Research</a:t>
            </a:r>
          </a:p>
          <a:p>
            <a:pPr marL="0" marR="0" lvl="0" indent="0" algn="r" defTabSz="914400" eaLnBrk="1" fontAlgn="auto" latinLnBrk="0" hangingPunct="1">
              <a:lnSpc>
                <a:spcPct val="100000"/>
              </a:lnSpc>
              <a:spcBef>
                <a:spcPts val="0"/>
              </a:spcBef>
              <a:spcAft>
                <a:spcPts val="0"/>
              </a:spcAft>
              <a:buClrTx/>
              <a:buSzTx/>
              <a:buFontTx/>
              <a:buNone/>
              <a:tabLst/>
              <a:defRPr/>
            </a:pPr>
            <a:r>
              <a:rPr lang="en-US" sz="1400" b="1">
                <a:solidFill>
                  <a:schemeClr val="bg1"/>
                </a:solidFill>
                <a:latin typeface="Georgia" panose="02040502050405020303" pitchFamily="18" charset="0"/>
                <a:ea typeface="+mn-ea"/>
                <a:cs typeface="+mn-cs"/>
              </a:rPr>
              <a:t>(by</a:t>
            </a:r>
            <a:r>
              <a:rPr lang="en-US" sz="1400" b="1" baseline="0">
                <a:solidFill>
                  <a:schemeClr val="bg1"/>
                </a:solidFill>
                <a:latin typeface="Georgia" panose="02040502050405020303" pitchFamily="18" charset="0"/>
                <a:ea typeface="+mn-ea"/>
                <a:cs typeface="+mn-cs"/>
              </a:rPr>
              <a:t> Institution)</a:t>
            </a:r>
            <a:endParaRPr lang="en-US" sz="1400" b="1">
              <a:solidFill>
                <a:schemeClr val="bg1"/>
              </a:solidFill>
              <a:latin typeface="Georgia" panose="02040502050405020303" pitchFamily="18" charset="0"/>
              <a:ea typeface="+mn-ea"/>
              <a:cs typeface="+mn-cs"/>
            </a:endParaRPr>
          </a:p>
        </xdr:txBody>
      </xdr:sp>
      <xdr:sp macro="" textlink="">
        <xdr:nvSpPr>
          <xdr:cNvPr id="12" name="Rectangle: Rounded Corners 11">
            <a:hlinkClick xmlns:r="http://schemas.openxmlformats.org/officeDocument/2006/relationships" r:id="rId8"/>
            <a:extLst>
              <a:ext uri="{FF2B5EF4-FFF2-40B4-BE49-F238E27FC236}">
                <a16:creationId xmlns:a16="http://schemas.microsoft.com/office/drawing/2014/main" id="{EDE0DF55-0C8A-7A32-6EE6-DC11A356B2AA}"/>
              </a:ext>
            </a:extLst>
          </xdr:cNvPr>
          <xdr:cNvSpPr/>
        </xdr:nvSpPr>
        <xdr:spPr>
          <a:xfrm>
            <a:off x="163250" y="3606550"/>
            <a:ext cx="2928321" cy="813319"/>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algn="r"/>
            <a:r>
              <a:rPr lang="en-US" sz="1400" b="1">
                <a:solidFill>
                  <a:schemeClr val="bg1"/>
                </a:solidFill>
                <a:latin typeface="Georgia" panose="02040502050405020303" pitchFamily="18" charset="0"/>
                <a:ea typeface="+mn-ea"/>
                <a:cs typeface="+mn-cs"/>
              </a:rPr>
              <a:t>Summary</a:t>
            </a:r>
          </a:p>
          <a:p>
            <a:pPr algn="r"/>
            <a:r>
              <a:rPr lang="en-US" sz="1400" b="1">
                <a:solidFill>
                  <a:schemeClr val="bg1"/>
                </a:solidFill>
                <a:latin typeface="Georgia" panose="02040502050405020303" pitchFamily="18" charset="0"/>
                <a:ea typeface="+mn-ea"/>
                <a:cs typeface="+mn-cs"/>
              </a:rPr>
              <a:t>(by</a:t>
            </a:r>
            <a:r>
              <a:rPr lang="en-US" sz="1400" b="1" baseline="0">
                <a:solidFill>
                  <a:schemeClr val="bg1"/>
                </a:solidFill>
                <a:latin typeface="Georgia" panose="02040502050405020303" pitchFamily="18" charset="0"/>
                <a:ea typeface="+mn-ea"/>
                <a:cs typeface="+mn-cs"/>
              </a:rPr>
              <a:t> System)</a:t>
            </a:r>
            <a:endParaRPr lang="en-US" sz="1400" b="1">
              <a:solidFill>
                <a:schemeClr val="bg1"/>
              </a:solidFill>
              <a:latin typeface="Georgia" panose="02040502050405020303" pitchFamily="18" charset="0"/>
              <a:ea typeface="+mn-ea"/>
              <a:cs typeface="+mn-cs"/>
            </a:endParaRPr>
          </a:p>
        </xdr:txBody>
      </xdr:sp>
      <xdr:sp macro="" textlink="">
        <xdr:nvSpPr>
          <xdr:cNvPr id="13" name="Rectangle: Rounded Corners 12">
            <a:hlinkClick xmlns:r="http://schemas.openxmlformats.org/officeDocument/2006/relationships" r:id="rId9"/>
            <a:extLst>
              <a:ext uri="{FF2B5EF4-FFF2-40B4-BE49-F238E27FC236}">
                <a16:creationId xmlns:a16="http://schemas.microsoft.com/office/drawing/2014/main" id="{883142C9-7A7A-4D9B-6370-C7E24E3AB1AE}"/>
              </a:ext>
            </a:extLst>
          </xdr:cNvPr>
          <xdr:cNvSpPr/>
        </xdr:nvSpPr>
        <xdr:spPr>
          <a:xfrm>
            <a:off x="163250" y="4483351"/>
            <a:ext cx="2928321" cy="813319"/>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algn="r"/>
            <a:r>
              <a:rPr lang="en-US" sz="1400" b="1">
                <a:solidFill>
                  <a:schemeClr val="bg1"/>
                </a:solidFill>
                <a:latin typeface="Georgia" panose="02040502050405020303" pitchFamily="18" charset="0"/>
                <a:ea typeface="+mn-ea"/>
                <a:cs typeface="+mn-cs"/>
              </a:rPr>
              <a:t>Summary </a:t>
            </a:r>
          </a:p>
          <a:p>
            <a:pPr algn="r"/>
            <a:r>
              <a:rPr lang="en-US" sz="1400" b="1">
                <a:solidFill>
                  <a:schemeClr val="bg1"/>
                </a:solidFill>
                <a:latin typeface="Georgia" panose="02040502050405020303" pitchFamily="18" charset="0"/>
                <a:ea typeface="+mn-ea"/>
                <a:cs typeface="+mn-cs"/>
              </a:rPr>
              <a:t>(by Institution Type)</a:t>
            </a:r>
          </a:p>
        </xdr:txBody>
      </xdr:sp>
      <xdr:sp macro="" textlink="">
        <xdr:nvSpPr>
          <xdr:cNvPr id="14" name="Rectangle: Rounded Corners 13">
            <a:hlinkClick xmlns:r="http://schemas.openxmlformats.org/officeDocument/2006/relationships" r:id="rId10"/>
            <a:extLst>
              <a:ext uri="{FF2B5EF4-FFF2-40B4-BE49-F238E27FC236}">
                <a16:creationId xmlns:a16="http://schemas.microsoft.com/office/drawing/2014/main" id="{B66717E9-8739-B6C6-D191-32DF0442AA40}"/>
              </a:ext>
            </a:extLst>
          </xdr:cNvPr>
          <xdr:cNvSpPr/>
        </xdr:nvSpPr>
        <xdr:spPr>
          <a:xfrm>
            <a:off x="163250" y="6229423"/>
            <a:ext cx="2928321" cy="813319"/>
          </a:xfrm>
          <a:prstGeom prst="roundRect">
            <a:avLst/>
          </a:prstGeom>
          <a:solidFill>
            <a:schemeClr val="accent3"/>
          </a:solidFill>
          <a:ln w="9525">
            <a:solidFill>
              <a:schemeClr val="tx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algn="r"/>
            <a:r>
              <a:rPr lang="en-US" sz="1400" b="1">
                <a:solidFill>
                  <a:schemeClr val="tx1"/>
                </a:solidFill>
                <a:latin typeface="Georgia" panose="02040502050405020303" pitchFamily="18" charset="0"/>
                <a:ea typeface="+mn-ea"/>
                <a:cs typeface="+mn-cs"/>
              </a:rPr>
              <a:t>Source of Funds</a:t>
            </a:r>
          </a:p>
        </xdr:txBody>
      </xdr:sp>
      <xdr:pic>
        <xdr:nvPicPr>
          <xdr:cNvPr id="15" name="Graphic 14" descr="Home with solid fill">
            <a:hlinkClick xmlns:r="http://schemas.openxmlformats.org/officeDocument/2006/relationships" r:id="rId1"/>
            <a:extLst>
              <a:ext uri="{FF2B5EF4-FFF2-40B4-BE49-F238E27FC236}">
                <a16:creationId xmlns:a16="http://schemas.microsoft.com/office/drawing/2014/main" id="{9BDB45A5-970B-A0E2-D6F5-8A07FE8D0648}"/>
              </a:ext>
            </a:extLst>
          </xdr:cNvPr>
          <xdr:cNvPicPr>
            <a:picLocks noChangeAspect="1"/>
          </xdr:cNvPicPr>
        </xdr:nvPicPr>
        <xdr:blipFill>
          <a:blip xmlns:r="http://schemas.openxmlformats.org/officeDocument/2006/relationships" r:embed="rId11">
            <a:extLst>
              <a:ext uri="{96DAC541-7B7A-43D3-8B79-37D633B846F1}">
                <asvg:svgBlip xmlns:asvg="http://schemas.microsoft.com/office/drawing/2016/SVG/main" r:embed="rId12"/>
              </a:ext>
            </a:extLst>
          </a:blip>
          <a:stretch>
            <a:fillRect/>
          </a:stretch>
        </xdr:blipFill>
        <xdr:spPr>
          <a:xfrm>
            <a:off x="265494" y="99001"/>
            <a:ext cx="776889" cy="755704"/>
          </a:xfrm>
          <a:prstGeom prst="rect">
            <a:avLst/>
          </a:prstGeom>
        </xdr:spPr>
      </xdr:pic>
      <xdr:pic>
        <xdr:nvPicPr>
          <xdr:cNvPr id="16" name="Graphic 15" descr="Address Book with solid fill">
            <a:hlinkClick xmlns:r="http://schemas.openxmlformats.org/officeDocument/2006/relationships" r:id="rId2"/>
            <a:extLst>
              <a:ext uri="{FF2B5EF4-FFF2-40B4-BE49-F238E27FC236}">
                <a16:creationId xmlns:a16="http://schemas.microsoft.com/office/drawing/2014/main" id="{E2C59835-DBF6-5C50-DB48-F11377098F60}"/>
              </a:ext>
            </a:extLst>
          </xdr:cNvPr>
          <xdr:cNvPicPr>
            <a:picLocks noChangeAspect="1"/>
          </xdr:cNvPicPr>
        </xdr:nvPicPr>
        <xdr:blipFill>
          <a:blip xmlns:r="http://schemas.openxmlformats.org/officeDocument/2006/relationships" r:embed="rId13">
            <a:extLst>
              <a:ext uri="{96DAC541-7B7A-43D3-8B79-37D633B846F1}">
                <asvg:svgBlip xmlns:asvg="http://schemas.microsoft.com/office/drawing/2016/SVG/main" r:embed="rId14"/>
              </a:ext>
            </a:extLst>
          </a:blip>
          <a:stretch>
            <a:fillRect/>
          </a:stretch>
        </xdr:blipFill>
        <xdr:spPr>
          <a:xfrm>
            <a:off x="265494" y="991919"/>
            <a:ext cx="757011" cy="759464"/>
          </a:xfrm>
          <a:prstGeom prst="rect">
            <a:avLst/>
          </a:prstGeom>
        </xdr:spPr>
      </xdr:pic>
      <xdr:pic>
        <xdr:nvPicPr>
          <xdr:cNvPr id="17" name="Graphic 16" descr="Closed book with solid fill">
            <a:hlinkClick xmlns:r="http://schemas.openxmlformats.org/officeDocument/2006/relationships" r:id="rId3"/>
            <a:extLst>
              <a:ext uri="{FF2B5EF4-FFF2-40B4-BE49-F238E27FC236}">
                <a16:creationId xmlns:a16="http://schemas.microsoft.com/office/drawing/2014/main" id="{B234B2EF-D40F-9FD9-A1C0-E98EDE97FE3F}"/>
              </a:ext>
            </a:extLst>
          </xdr:cNvPr>
          <xdr:cNvPicPr>
            <a:picLocks noChangeAspect="1"/>
          </xdr:cNvPicPr>
        </xdr:nvPicPr>
        <xdr:blipFill>
          <a:blip xmlns:r="http://schemas.openxmlformats.org/officeDocument/2006/relationships" r:embed="rId15">
            <a:extLst>
              <a:ext uri="{96DAC541-7B7A-43D3-8B79-37D633B846F1}">
                <asvg:svgBlip xmlns:asvg="http://schemas.microsoft.com/office/drawing/2016/SVG/main" r:embed="rId16"/>
              </a:ext>
            </a:extLst>
          </a:blip>
          <a:stretch>
            <a:fillRect/>
          </a:stretch>
        </xdr:blipFill>
        <xdr:spPr>
          <a:xfrm>
            <a:off x="265494" y="1870876"/>
            <a:ext cx="757011" cy="751085"/>
          </a:xfrm>
          <a:prstGeom prst="rect">
            <a:avLst/>
          </a:prstGeom>
        </xdr:spPr>
      </xdr:pic>
      <xdr:pic>
        <xdr:nvPicPr>
          <xdr:cNvPr id="18" name="Graphic 17" descr="Books on shelf with solid fill">
            <a:hlinkClick xmlns:r="http://schemas.openxmlformats.org/officeDocument/2006/relationships" r:id="rId4"/>
            <a:extLst>
              <a:ext uri="{FF2B5EF4-FFF2-40B4-BE49-F238E27FC236}">
                <a16:creationId xmlns:a16="http://schemas.microsoft.com/office/drawing/2014/main" id="{A7777D45-7365-2D5C-0149-9C1276F09017}"/>
              </a:ext>
            </a:extLst>
          </xdr:cNvPr>
          <xdr:cNvPicPr>
            <a:picLocks noChangeAspect="1"/>
          </xdr:cNvPicPr>
        </xdr:nvPicPr>
        <xdr:blipFill>
          <a:blip xmlns:r="http://schemas.openxmlformats.org/officeDocument/2006/relationships" r:embed="rId17">
            <a:extLst>
              <a:ext uri="{96DAC541-7B7A-43D3-8B79-37D633B846F1}">
                <asvg:svgBlip xmlns:asvg="http://schemas.microsoft.com/office/drawing/2016/SVG/main" r:embed="rId18"/>
              </a:ext>
            </a:extLst>
          </a:blip>
          <a:stretch>
            <a:fillRect/>
          </a:stretch>
        </xdr:blipFill>
        <xdr:spPr>
          <a:xfrm>
            <a:off x="265494" y="5377021"/>
            <a:ext cx="767054" cy="759543"/>
          </a:xfrm>
          <a:prstGeom prst="rect">
            <a:avLst/>
          </a:prstGeom>
        </xdr:spPr>
      </xdr:pic>
      <xdr:pic>
        <xdr:nvPicPr>
          <xdr:cNvPr id="19" name="Graphic 18" descr="Users with solid fill">
            <a:hlinkClick xmlns:r="http://schemas.openxmlformats.org/officeDocument/2006/relationships" r:id="rId5"/>
            <a:extLst>
              <a:ext uri="{FF2B5EF4-FFF2-40B4-BE49-F238E27FC236}">
                <a16:creationId xmlns:a16="http://schemas.microsoft.com/office/drawing/2014/main" id="{B9690033-05CA-62CC-D64D-E52CEDF8123A}"/>
              </a:ext>
            </a:extLst>
          </xdr:cNvPr>
          <xdr:cNvPicPr>
            <a:picLocks noChangeAspect="1"/>
          </xdr:cNvPicPr>
        </xdr:nvPicPr>
        <xdr:blipFill>
          <a:blip xmlns:r="http://schemas.openxmlformats.org/officeDocument/2006/relationships" r:embed="rId19">
            <a:extLst>
              <a:ext uri="{96DAC541-7B7A-43D3-8B79-37D633B846F1}">
                <asvg:svgBlip xmlns:asvg="http://schemas.microsoft.com/office/drawing/2016/SVG/main" r:embed="rId20"/>
              </a:ext>
            </a:extLst>
          </a:blip>
          <a:stretch>
            <a:fillRect/>
          </a:stretch>
        </xdr:blipFill>
        <xdr:spPr>
          <a:xfrm>
            <a:off x="265494" y="8038608"/>
            <a:ext cx="766757" cy="756332"/>
          </a:xfrm>
          <a:prstGeom prst="rect">
            <a:avLst/>
          </a:prstGeom>
        </xdr:spPr>
      </xdr:pic>
      <xdr:pic>
        <xdr:nvPicPr>
          <xdr:cNvPr id="20" name="Graphic 19" descr="Document with solid fill">
            <a:hlinkClick xmlns:r="http://schemas.openxmlformats.org/officeDocument/2006/relationships" r:id="rId6"/>
            <a:extLst>
              <a:ext uri="{FF2B5EF4-FFF2-40B4-BE49-F238E27FC236}">
                <a16:creationId xmlns:a16="http://schemas.microsoft.com/office/drawing/2014/main" id="{16B3FF1C-6CD5-80A1-AB67-5B3F50439CA8}"/>
              </a:ext>
            </a:extLst>
          </xdr:cNvPr>
          <xdr:cNvPicPr>
            <a:picLocks noChangeAspect="1"/>
          </xdr:cNvPicPr>
        </xdr:nvPicPr>
        <xdr:blipFill>
          <a:blip xmlns:r="http://schemas.openxmlformats.org/officeDocument/2006/relationships" r:embed="rId21">
            <a:extLst>
              <a:ext uri="{96DAC541-7B7A-43D3-8B79-37D633B846F1}">
                <asvg:svgBlip xmlns:asvg="http://schemas.microsoft.com/office/drawing/2016/SVG/main" r:embed="rId22"/>
              </a:ext>
            </a:extLst>
          </a:blip>
          <a:stretch>
            <a:fillRect/>
          </a:stretch>
        </xdr:blipFill>
        <xdr:spPr>
          <a:xfrm>
            <a:off x="265494" y="7124014"/>
            <a:ext cx="761383" cy="756331"/>
          </a:xfrm>
          <a:prstGeom prst="rect">
            <a:avLst/>
          </a:prstGeom>
        </xdr:spPr>
      </xdr:pic>
      <xdr:pic>
        <xdr:nvPicPr>
          <xdr:cNvPr id="21" name="Graphic 20" descr="Research with solid fill">
            <a:hlinkClick xmlns:r="http://schemas.openxmlformats.org/officeDocument/2006/relationships" r:id="rId7"/>
            <a:extLst>
              <a:ext uri="{FF2B5EF4-FFF2-40B4-BE49-F238E27FC236}">
                <a16:creationId xmlns:a16="http://schemas.microsoft.com/office/drawing/2014/main" id="{2556AD82-55FD-B28E-86DA-F2CC024EA0C1}"/>
              </a:ext>
            </a:extLst>
          </xdr:cNvPr>
          <xdr:cNvPicPr>
            <a:picLocks noChangeAspect="1"/>
          </xdr:cNvPicPr>
        </xdr:nvPicPr>
        <xdr:blipFill>
          <a:blip xmlns:r="http://schemas.openxmlformats.org/officeDocument/2006/relationships" r:embed="rId23">
            <a:extLst>
              <a:ext uri="{96DAC541-7B7A-43D3-8B79-37D633B846F1}">
                <asvg:svgBlip xmlns:asvg="http://schemas.microsoft.com/office/drawing/2016/SVG/main" r:embed="rId24"/>
              </a:ext>
            </a:extLst>
          </a:blip>
          <a:srcRect/>
          <a:stretch/>
        </xdr:blipFill>
        <xdr:spPr>
          <a:xfrm>
            <a:off x="265494" y="2759175"/>
            <a:ext cx="760910" cy="727528"/>
          </a:xfrm>
          <a:prstGeom prst="rect">
            <a:avLst/>
          </a:prstGeom>
        </xdr:spPr>
      </xdr:pic>
      <xdr:pic>
        <xdr:nvPicPr>
          <xdr:cNvPr id="22" name="Graphic 21" descr="Hierarchy with solid fill">
            <a:hlinkClick xmlns:r="http://schemas.openxmlformats.org/officeDocument/2006/relationships" r:id="rId8"/>
            <a:extLst>
              <a:ext uri="{FF2B5EF4-FFF2-40B4-BE49-F238E27FC236}">
                <a16:creationId xmlns:a16="http://schemas.microsoft.com/office/drawing/2014/main" id="{E3F146D3-CB66-30C5-C9EA-A1702D05E279}"/>
              </a:ext>
            </a:extLst>
          </xdr:cNvPr>
          <xdr:cNvPicPr>
            <a:picLocks noChangeAspect="1"/>
          </xdr:cNvPicPr>
        </xdr:nvPicPr>
        <xdr:blipFill>
          <a:blip xmlns:r="http://schemas.openxmlformats.org/officeDocument/2006/relationships" r:embed="rId25">
            <a:extLst>
              <a:ext uri="{96DAC541-7B7A-43D3-8B79-37D633B846F1}">
                <asvg:svgBlip xmlns:asvg="http://schemas.microsoft.com/office/drawing/2016/SVG/main" r:embed="rId26"/>
              </a:ext>
            </a:extLst>
          </a:blip>
          <a:stretch>
            <a:fillRect/>
          </a:stretch>
        </xdr:blipFill>
        <xdr:spPr>
          <a:xfrm>
            <a:off x="265494" y="3597336"/>
            <a:ext cx="754766" cy="755701"/>
          </a:xfrm>
          <a:prstGeom prst="rect">
            <a:avLst/>
          </a:prstGeom>
        </xdr:spPr>
      </xdr:pic>
      <xdr:pic>
        <xdr:nvPicPr>
          <xdr:cNvPr id="23" name="Graphic 22" descr="Postit Notes with solid fill">
            <a:hlinkClick xmlns:r="http://schemas.openxmlformats.org/officeDocument/2006/relationships" r:id="rId9"/>
            <a:extLst>
              <a:ext uri="{FF2B5EF4-FFF2-40B4-BE49-F238E27FC236}">
                <a16:creationId xmlns:a16="http://schemas.microsoft.com/office/drawing/2014/main" id="{22AFF4F6-DFC0-8F0B-DB26-348B07EB4B0C}"/>
              </a:ext>
            </a:extLst>
          </xdr:cNvPr>
          <xdr:cNvPicPr>
            <a:picLocks noChangeAspect="1"/>
          </xdr:cNvPicPr>
        </xdr:nvPicPr>
        <xdr:blipFill>
          <a:blip xmlns:r="http://schemas.openxmlformats.org/officeDocument/2006/relationships" r:embed="rId27">
            <a:extLst>
              <a:ext uri="{96DAC541-7B7A-43D3-8B79-37D633B846F1}">
                <asvg:svgBlip xmlns:asvg="http://schemas.microsoft.com/office/drawing/2016/SVG/main" r:embed="rId28"/>
              </a:ext>
            </a:extLst>
          </a:blip>
          <a:stretch>
            <a:fillRect/>
          </a:stretch>
        </xdr:blipFill>
        <xdr:spPr>
          <a:xfrm>
            <a:off x="265494" y="4499110"/>
            <a:ext cx="754766" cy="755754"/>
          </a:xfrm>
          <a:prstGeom prst="rect">
            <a:avLst/>
          </a:prstGeom>
        </xdr:spPr>
      </xdr:pic>
      <xdr:pic>
        <xdr:nvPicPr>
          <xdr:cNvPr id="24" name="Graphic 23" descr="Money with solid fill">
            <a:hlinkClick xmlns:r="http://schemas.openxmlformats.org/officeDocument/2006/relationships" r:id="rId10"/>
            <a:extLst>
              <a:ext uri="{FF2B5EF4-FFF2-40B4-BE49-F238E27FC236}">
                <a16:creationId xmlns:a16="http://schemas.microsoft.com/office/drawing/2014/main" id="{5349B064-B368-8A5F-C34D-33FBF949F43E}"/>
              </a:ext>
            </a:extLst>
          </xdr:cNvPr>
          <xdr:cNvPicPr>
            <a:picLocks noChangeAspect="1"/>
          </xdr:cNvPicPr>
        </xdr:nvPicPr>
        <xdr:blipFill>
          <a:blip xmlns:r="http://schemas.openxmlformats.org/officeDocument/2006/relationships" r:embed="rId29">
            <a:extLst>
              <a:ext uri="{96DAC541-7B7A-43D3-8B79-37D633B846F1}">
                <asvg:svgBlip xmlns:asvg="http://schemas.microsoft.com/office/drawing/2016/SVG/main" r:embed="rId30"/>
              </a:ext>
            </a:extLst>
          </a:blip>
          <a:srcRect/>
          <a:stretch/>
        </xdr:blipFill>
        <xdr:spPr>
          <a:xfrm>
            <a:off x="265494" y="6235676"/>
            <a:ext cx="767054" cy="733405"/>
          </a:xfrm>
          <a:prstGeom prst="rect">
            <a:avLst/>
          </a:prstGeom>
        </xdr:spPr>
      </xdr:pic>
    </xdr:grp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30480</xdr:colOff>
      <xdr:row>0</xdr:row>
      <xdr:rowOff>30480</xdr:rowOff>
    </xdr:from>
    <xdr:to>
      <xdr:col>5</xdr:col>
      <xdr:colOff>438149</xdr:colOff>
      <xdr:row>23</xdr:row>
      <xdr:rowOff>98709</xdr:rowOff>
    </xdr:to>
    <xdr:grpSp>
      <xdr:nvGrpSpPr>
        <xdr:cNvPr id="26" name="Group 25">
          <a:extLst>
            <a:ext uri="{FF2B5EF4-FFF2-40B4-BE49-F238E27FC236}">
              <a16:creationId xmlns:a16="http://schemas.microsoft.com/office/drawing/2014/main" id="{92BA295D-4E72-4969-2A97-F01994271070}"/>
            </a:ext>
          </a:extLst>
        </xdr:cNvPr>
        <xdr:cNvGrpSpPr/>
      </xdr:nvGrpSpPr>
      <xdr:grpSpPr>
        <a:xfrm>
          <a:off x="30480" y="30480"/>
          <a:ext cx="3169919" cy="8831229"/>
          <a:chOff x="30480" y="30480"/>
          <a:chExt cx="3191900" cy="8831229"/>
        </a:xfrm>
      </xdr:grpSpPr>
      <xdr:sp macro="" textlink="">
        <xdr:nvSpPr>
          <xdr:cNvPr id="3" name="Rectangle: Rounded Corners 2">
            <a:extLst>
              <a:ext uri="{FF2B5EF4-FFF2-40B4-BE49-F238E27FC236}">
                <a16:creationId xmlns:a16="http://schemas.microsoft.com/office/drawing/2014/main" id="{8E764F65-F02A-F9D9-3E14-EE81266388F9}"/>
              </a:ext>
            </a:extLst>
          </xdr:cNvPr>
          <xdr:cNvSpPr/>
        </xdr:nvSpPr>
        <xdr:spPr>
          <a:xfrm>
            <a:off x="30480" y="30480"/>
            <a:ext cx="3191900" cy="8831229"/>
          </a:xfrm>
          <a:prstGeom prst="roundRect">
            <a:avLst>
              <a:gd name="adj" fmla="val 6618"/>
            </a:avLst>
          </a:prstGeom>
          <a:ln/>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t"/>
          <a:lstStyle/>
          <a:p>
            <a:pPr algn="l"/>
            <a:endParaRPr lang="en-US" sz="1100"/>
          </a:p>
        </xdr:txBody>
      </xdr:sp>
      <xdr:sp macro="" textlink="">
        <xdr:nvSpPr>
          <xdr:cNvPr id="5" name="Rectangle: Rounded Corners 4">
            <a:hlinkClick xmlns:r="http://schemas.openxmlformats.org/officeDocument/2006/relationships" r:id="rId1"/>
            <a:extLst>
              <a:ext uri="{FF2B5EF4-FFF2-40B4-BE49-F238E27FC236}">
                <a16:creationId xmlns:a16="http://schemas.microsoft.com/office/drawing/2014/main" id="{869BDA3F-8A57-60E5-B0BB-409FD9A021CA}"/>
              </a:ext>
            </a:extLst>
          </xdr:cNvPr>
          <xdr:cNvSpPr/>
        </xdr:nvSpPr>
        <xdr:spPr>
          <a:xfrm>
            <a:off x="163023" y="99344"/>
            <a:ext cx="2931697" cy="813319"/>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lvl="0" algn="r"/>
            <a:r>
              <a:rPr lang="en-US" sz="1400" b="1">
                <a:solidFill>
                  <a:schemeClr val="bg1"/>
                </a:solidFill>
                <a:latin typeface="Georgia" panose="02040502050405020303" pitchFamily="18" charset="0"/>
              </a:rPr>
              <a:t>Table</a:t>
            </a:r>
            <a:r>
              <a:rPr lang="en-US" sz="1400" b="1" baseline="0">
                <a:solidFill>
                  <a:schemeClr val="bg1"/>
                </a:solidFill>
                <a:latin typeface="Georgia" panose="02040502050405020303" pitchFamily="18" charset="0"/>
              </a:rPr>
              <a:t> of Contents</a:t>
            </a:r>
            <a:endParaRPr lang="en-US" sz="1400" b="1">
              <a:solidFill>
                <a:schemeClr val="bg1"/>
              </a:solidFill>
              <a:latin typeface="Georgia" panose="02040502050405020303" pitchFamily="18" charset="0"/>
            </a:endParaRPr>
          </a:p>
        </xdr:txBody>
      </xdr:sp>
      <xdr:sp macro="" textlink="">
        <xdr:nvSpPr>
          <xdr:cNvPr id="6" name="Rectangle: Rounded Corners 5">
            <a:hlinkClick xmlns:r="http://schemas.openxmlformats.org/officeDocument/2006/relationships" r:id="rId2"/>
            <a:extLst>
              <a:ext uri="{FF2B5EF4-FFF2-40B4-BE49-F238E27FC236}">
                <a16:creationId xmlns:a16="http://schemas.microsoft.com/office/drawing/2014/main" id="{D8F693E2-F01D-7B86-5144-E6958F153DD5}"/>
              </a:ext>
            </a:extLst>
          </xdr:cNvPr>
          <xdr:cNvSpPr/>
        </xdr:nvSpPr>
        <xdr:spPr>
          <a:xfrm>
            <a:off x="163023" y="976145"/>
            <a:ext cx="2931697" cy="813319"/>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lang="en-US" sz="1400" b="1">
                <a:solidFill>
                  <a:schemeClr val="bg1"/>
                </a:solidFill>
                <a:latin typeface="Georgia" panose="02040502050405020303" pitchFamily="18" charset="0"/>
                <a:ea typeface="+mn-ea"/>
                <a:cs typeface="+mn-cs"/>
              </a:rPr>
              <a:t>Contact Information</a:t>
            </a:r>
          </a:p>
        </xdr:txBody>
      </xdr:sp>
      <xdr:sp macro="" textlink="">
        <xdr:nvSpPr>
          <xdr:cNvPr id="7" name="Rectangle: Rounded Corners 6">
            <a:hlinkClick xmlns:r="http://schemas.openxmlformats.org/officeDocument/2006/relationships" r:id="rId3"/>
            <a:extLst>
              <a:ext uri="{FF2B5EF4-FFF2-40B4-BE49-F238E27FC236}">
                <a16:creationId xmlns:a16="http://schemas.microsoft.com/office/drawing/2014/main" id="{4F602A2F-2BE7-0481-F8CC-8D9F2983FF0C}"/>
              </a:ext>
            </a:extLst>
          </xdr:cNvPr>
          <xdr:cNvSpPr/>
        </xdr:nvSpPr>
        <xdr:spPr>
          <a:xfrm>
            <a:off x="163023" y="1852947"/>
            <a:ext cx="2931697" cy="813319"/>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lang="en-US" sz="1400" b="1">
                <a:solidFill>
                  <a:schemeClr val="bg1"/>
                </a:solidFill>
                <a:latin typeface="Georgia" panose="02040502050405020303" pitchFamily="18" charset="0"/>
                <a:ea typeface="+mn-ea"/>
                <a:cs typeface="+mn-cs"/>
              </a:rPr>
              <a:t>Research </a:t>
            </a:r>
            <a:r>
              <a:rPr lang="en-US" sz="1400" b="1" baseline="0">
                <a:solidFill>
                  <a:schemeClr val="bg1"/>
                </a:solidFill>
                <a:latin typeface="Georgia" panose="02040502050405020303" pitchFamily="18" charset="0"/>
                <a:ea typeface="+mn-ea"/>
                <a:cs typeface="+mn-cs"/>
              </a:rPr>
              <a:t>Guidance</a:t>
            </a:r>
            <a:endParaRPr lang="en-US" sz="1400" b="1">
              <a:solidFill>
                <a:schemeClr val="bg1"/>
              </a:solidFill>
              <a:latin typeface="Georgia" panose="02040502050405020303" pitchFamily="18" charset="0"/>
              <a:ea typeface="+mn-ea"/>
              <a:cs typeface="+mn-cs"/>
            </a:endParaRPr>
          </a:p>
        </xdr:txBody>
      </xdr:sp>
      <xdr:sp macro="" textlink="">
        <xdr:nvSpPr>
          <xdr:cNvPr id="9" name="Rectangle: Rounded Corners 8">
            <a:hlinkClick xmlns:r="http://schemas.openxmlformats.org/officeDocument/2006/relationships" r:id="rId4"/>
            <a:extLst>
              <a:ext uri="{FF2B5EF4-FFF2-40B4-BE49-F238E27FC236}">
                <a16:creationId xmlns:a16="http://schemas.microsoft.com/office/drawing/2014/main" id="{BEE5F65F-62F4-85A9-234F-4FDB790167CF}"/>
              </a:ext>
            </a:extLst>
          </xdr:cNvPr>
          <xdr:cNvSpPr/>
        </xdr:nvSpPr>
        <xdr:spPr>
          <a:xfrm>
            <a:off x="163023" y="7983024"/>
            <a:ext cx="2931697" cy="813319"/>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lang="en-US" sz="1400" b="1">
                <a:solidFill>
                  <a:schemeClr val="bg1"/>
                </a:solidFill>
                <a:latin typeface="Georgia" panose="02040502050405020303" pitchFamily="18" charset="0"/>
                <a:ea typeface="+mn-ea"/>
                <a:cs typeface="+mn-cs"/>
              </a:rPr>
              <a:t>FTSE | FTFE</a:t>
            </a:r>
          </a:p>
        </xdr:txBody>
      </xdr:sp>
      <xdr:sp macro="" textlink="">
        <xdr:nvSpPr>
          <xdr:cNvPr id="10" name="Rectangle: Rounded Corners 9">
            <a:hlinkClick xmlns:r="http://schemas.openxmlformats.org/officeDocument/2006/relationships" r:id="rId5"/>
            <a:extLst>
              <a:ext uri="{FF2B5EF4-FFF2-40B4-BE49-F238E27FC236}">
                <a16:creationId xmlns:a16="http://schemas.microsoft.com/office/drawing/2014/main" id="{B2A52929-622F-E7BD-6577-50230B04A11F}"/>
              </a:ext>
            </a:extLst>
          </xdr:cNvPr>
          <xdr:cNvSpPr/>
        </xdr:nvSpPr>
        <xdr:spPr>
          <a:xfrm>
            <a:off x="163023" y="7106225"/>
            <a:ext cx="2931697" cy="813319"/>
          </a:xfrm>
          <a:prstGeom prst="roundRect">
            <a:avLst/>
          </a:prstGeom>
          <a:solidFill>
            <a:schemeClr val="accent3"/>
          </a:solidFill>
          <a:ln w="9525">
            <a:solidFill>
              <a:schemeClr val="tx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algn="r"/>
            <a:r>
              <a:rPr lang="en-US" sz="1400" b="1">
                <a:solidFill>
                  <a:schemeClr val="tx1"/>
                </a:solidFill>
                <a:latin typeface="Georgia" panose="02040502050405020303" pitchFamily="18" charset="0"/>
                <a:ea typeface="+mn-ea"/>
                <a:cs typeface="+mn-cs"/>
              </a:rPr>
              <a:t>Academic</a:t>
            </a:r>
          </a:p>
          <a:p>
            <a:pPr algn="r"/>
            <a:r>
              <a:rPr lang="en-US" sz="1400" b="1">
                <a:solidFill>
                  <a:schemeClr val="tx1"/>
                </a:solidFill>
                <a:latin typeface="Georgia" panose="02040502050405020303" pitchFamily="18" charset="0"/>
                <a:ea typeface="+mn-ea"/>
                <a:cs typeface="+mn-cs"/>
              </a:rPr>
              <a:t>Space Model</a:t>
            </a:r>
          </a:p>
        </xdr:txBody>
      </xdr:sp>
      <xdr:sp macro="" textlink="">
        <xdr:nvSpPr>
          <xdr:cNvPr id="11" name="Rectangle: Rounded Corners 10">
            <a:hlinkClick xmlns:r="http://schemas.openxmlformats.org/officeDocument/2006/relationships" r:id="rId6"/>
            <a:extLst>
              <a:ext uri="{FF2B5EF4-FFF2-40B4-BE49-F238E27FC236}">
                <a16:creationId xmlns:a16="http://schemas.microsoft.com/office/drawing/2014/main" id="{2E055B4C-E2E3-2F63-B4EC-814C9D8E9D2D}"/>
              </a:ext>
            </a:extLst>
          </xdr:cNvPr>
          <xdr:cNvSpPr/>
        </xdr:nvSpPr>
        <xdr:spPr>
          <a:xfrm>
            <a:off x="163023" y="2729748"/>
            <a:ext cx="2931697" cy="813319"/>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lang="en-US" sz="1400" b="1">
                <a:solidFill>
                  <a:schemeClr val="bg1"/>
                </a:solidFill>
                <a:latin typeface="Georgia" panose="02040502050405020303" pitchFamily="18" charset="0"/>
                <a:ea typeface="+mn-ea"/>
                <a:cs typeface="+mn-cs"/>
              </a:rPr>
              <a:t>Research</a:t>
            </a:r>
          </a:p>
          <a:p>
            <a:pPr marL="0" marR="0" lvl="0" indent="0" algn="r" defTabSz="914400" eaLnBrk="1" fontAlgn="auto" latinLnBrk="0" hangingPunct="1">
              <a:lnSpc>
                <a:spcPct val="100000"/>
              </a:lnSpc>
              <a:spcBef>
                <a:spcPts val="0"/>
              </a:spcBef>
              <a:spcAft>
                <a:spcPts val="0"/>
              </a:spcAft>
              <a:buClrTx/>
              <a:buSzTx/>
              <a:buFontTx/>
              <a:buNone/>
              <a:tabLst/>
              <a:defRPr/>
            </a:pPr>
            <a:r>
              <a:rPr lang="en-US" sz="1400" b="1">
                <a:solidFill>
                  <a:schemeClr val="bg1"/>
                </a:solidFill>
                <a:latin typeface="Georgia" panose="02040502050405020303" pitchFamily="18" charset="0"/>
                <a:ea typeface="+mn-ea"/>
                <a:cs typeface="+mn-cs"/>
              </a:rPr>
              <a:t>(by</a:t>
            </a:r>
            <a:r>
              <a:rPr lang="en-US" sz="1400" b="1" baseline="0">
                <a:solidFill>
                  <a:schemeClr val="bg1"/>
                </a:solidFill>
                <a:latin typeface="Georgia" panose="02040502050405020303" pitchFamily="18" charset="0"/>
                <a:ea typeface="+mn-ea"/>
                <a:cs typeface="+mn-cs"/>
              </a:rPr>
              <a:t> Institution)</a:t>
            </a:r>
            <a:endParaRPr lang="en-US" sz="1400" b="1">
              <a:solidFill>
                <a:schemeClr val="bg1"/>
              </a:solidFill>
              <a:latin typeface="Georgia" panose="02040502050405020303" pitchFamily="18" charset="0"/>
              <a:ea typeface="+mn-ea"/>
              <a:cs typeface="+mn-cs"/>
            </a:endParaRPr>
          </a:p>
        </xdr:txBody>
      </xdr:sp>
      <xdr:sp macro="" textlink="">
        <xdr:nvSpPr>
          <xdr:cNvPr id="13" name="Rectangle: Rounded Corners 12">
            <a:hlinkClick xmlns:r="http://schemas.openxmlformats.org/officeDocument/2006/relationships" r:id="rId7"/>
            <a:extLst>
              <a:ext uri="{FF2B5EF4-FFF2-40B4-BE49-F238E27FC236}">
                <a16:creationId xmlns:a16="http://schemas.microsoft.com/office/drawing/2014/main" id="{8A1D26EA-BE57-7E11-65A2-5DC82A2BB67D}"/>
              </a:ext>
            </a:extLst>
          </xdr:cNvPr>
          <xdr:cNvSpPr/>
        </xdr:nvSpPr>
        <xdr:spPr>
          <a:xfrm>
            <a:off x="163023" y="4483351"/>
            <a:ext cx="2931697" cy="813319"/>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algn="r"/>
            <a:r>
              <a:rPr lang="en-US" sz="1400" b="1">
                <a:solidFill>
                  <a:schemeClr val="bg1"/>
                </a:solidFill>
                <a:latin typeface="Georgia" panose="02040502050405020303" pitchFamily="18" charset="0"/>
                <a:ea typeface="+mn-ea"/>
                <a:cs typeface="+mn-cs"/>
              </a:rPr>
              <a:t>Summary </a:t>
            </a:r>
          </a:p>
          <a:p>
            <a:pPr algn="r"/>
            <a:r>
              <a:rPr lang="en-US" sz="1400" b="1">
                <a:solidFill>
                  <a:schemeClr val="bg1"/>
                </a:solidFill>
                <a:latin typeface="Georgia" panose="02040502050405020303" pitchFamily="18" charset="0"/>
                <a:ea typeface="+mn-ea"/>
                <a:cs typeface="+mn-cs"/>
              </a:rPr>
              <a:t>(by Institution Type)</a:t>
            </a:r>
          </a:p>
        </xdr:txBody>
      </xdr:sp>
      <xdr:sp macro="" textlink="">
        <xdr:nvSpPr>
          <xdr:cNvPr id="14" name="Rectangle: Rounded Corners 13">
            <a:hlinkClick xmlns:r="http://schemas.openxmlformats.org/officeDocument/2006/relationships" r:id="rId8"/>
            <a:extLst>
              <a:ext uri="{FF2B5EF4-FFF2-40B4-BE49-F238E27FC236}">
                <a16:creationId xmlns:a16="http://schemas.microsoft.com/office/drawing/2014/main" id="{71D73DDB-F1CE-D1ED-2FF5-D85FD4FDF69D}"/>
              </a:ext>
            </a:extLst>
          </xdr:cNvPr>
          <xdr:cNvSpPr/>
        </xdr:nvSpPr>
        <xdr:spPr>
          <a:xfrm>
            <a:off x="163023" y="6229423"/>
            <a:ext cx="2931697" cy="813319"/>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algn="r"/>
            <a:r>
              <a:rPr lang="en-US" sz="1400" b="1">
                <a:solidFill>
                  <a:schemeClr val="bg1"/>
                </a:solidFill>
                <a:latin typeface="Georgia" panose="02040502050405020303" pitchFamily="18" charset="0"/>
                <a:ea typeface="+mn-ea"/>
                <a:cs typeface="+mn-cs"/>
              </a:rPr>
              <a:t>Source of Funds</a:t>
            </a:r>
          </a:p>
        </xdr:txBody>
      </xdr:sp>
      <xdr:pic>
        <xdr:nvPicPr>
          <xdr:cNvPr id="15" name="Graphic 14" descr="Home with solid fill">
            <a:hlinkClick xmlns:r="http://schemas.openxmlformats.org/officeDocument/2006/relationships" r:id="rId1"/>
            <a:extLst>
              <a:ext uri="{FF2B5EF4-FFF2-40B4-BE49-F238E27FC236}">
                <a16:creationId xmlns:a16="http://schemas.microsoft.com/office/drawing/2014/main" id="{421D5819-0704-7B5C-4346-16B76D471E86}"/>
              </a:ext>
            </a:extLst>
          </xdr:cNvPr>
          <xdr:cNvPicPr>
            <a:picLocks noChangeAspect="1"/>
          </xdr:cNvPicPr>
        </xdr:nvPicPr>
        <xdr:blipFill>
          <a:blip xmlns:r="http://schemas.openxmlformats.org/officeDocument/2006/relationships" r:embed="rId9">
            <a:extLst>
              <a:ext uri="{96DAC541-7B7A-43D3-8B79-37D633B846F1}">
                <asvg:svgBlip xmlns:asvg="http://schemas.microsoft.com/office/drawing/2016/SVG/main" r:embed="rId10"/>
              </a:ext>
            </a:extLst>
          </a:blip>
          <a:stretch>
            <a:fillRect/>
          </a:stretch>
        </xdr:blipFill>
        <xdr:spPr>
          <a:xfrm>
            <a:off x="265093" y="99001"/>
            <a:ext cx="777238" cy="755704"/>
          </a:xfrm>
          <a:prstGeom prst="rect">
            <a:avLst/>
          </a:prstGeom>
        </xdr:spPr>
      </xdr:pic>
      <xdr:pic>
        <xdr:nvPicPr>
          <xdr:cNvPr id="16" name="Graphic 15" descr="Address Book with solid fill">
            <a:hlinkClick xmlns:r="http://schemas.openxmlformats.org/officeDocument/2006/relationships" r:id="rId2"/>
            <a:extLst>
              <a:ext uri="{FF2B5EF4-FFF2-40B4-BE49-F238E27FC236}">
                <a16:creationId xmlns:a16="http://schemas.microsoft.com/office/drawing/2014/main" id="{714F5887-0D21-7488-99BB-90380A80A40B}"/>
              </a:ext>
            </a:extLst>
          </xdr:cNvPr>
          <xdr:cNvPicPr>
            <a:picLocks noChangeAspect="1"/>
          </xdr:cNvPicPr>
        </xdr:nvPicPr>
        <xdr:blipFill>
          <a:blip xmlns:r="http://schemas.openxmlformats.org/officeDocument/2006/relationships" r:embed="rId11">
            <a:extLst>
              <a:ext uri="{96DAC541-7B7A-43D3-8B79-37D633B846F1}">
                <asvg:svgBlip xmlns:asvg="http://schemas.microsoft.com/office/drawing/2016/SVG/main" r:embed="rId12"/>
              </a:ext>
            </a:extLst>
          </a:blip>
          <a:stretch>
            <a:fillRect/>
          </a:stretch>
        </xdr:blipFill>
        <xdr:spPr>
          <a:xfrm>
            <a:off x="265093" y="991919"/>
            <a:ext cx="757394" cy="759464"/>
          </a:xfrm>
          <a:prstGeom prst="rect">
            <a:avLst/>
          </a:prstGeom>
        </xdr:spPr>
      </xdr:pic>
      <xdr:pic>
        <xdr:nvPicPr>
          <xdr:cNvPr id="17" name="Graphic 16" descr="Closed book with solid fill">
            <a:hlinkClick xmlns:r="http://schemas.openxmlformats.org/officeDocument/2006/relationships" r:id="rId3"/>
            <a:extLst>
              <a:ext uri="{FF2B5EF4-FFF2-40B4-BE49-F238E27FC236}">
                <a16:creationId xmlns:a16="http://schemas.microsoft.com/office/drawing/2014/main" id="{98D0DBC6-CA27-0CCB-2363-78B5C22AA693}"/>
              </a:ext>
            </a:extLst>
          </xdr:cNvPr>
          <xdr:cNvPicPr>
            <a:picLocks noChangeAspect="1"/>
          </xdr:cNvPicPr>
        </xdr:nvPicPr>
        <xdr:blipFill>
          <a:blip xmlns:r="http://schemas.openxmlformats.org/officeDocument/2006/relationships" r:embed="rId13">
            <a:extLst>
              <a:ext uri="{96DAC541-7B7A-43D3-8B79-37D633B846F1}">
                <asvg:svgBlip xmlns:asvg="http://schemas.microsoft.com/office/drawing/2016/SVG/main" r:embed="rId14"/>
              </a:ext>
            </a:extLst>
          </a:blip>
          <a:stretch>
            <a:fillRect/>
          </a:stretch>
        </xdr:blipFill>
        <xdr:spPr>
          <a:xfrm>
            <a:off x="265093" y="1870876"/>
            <a:ext cx="757394" cy="751085"/>
          </a:xfrm>
          <a:prstGeom prst="rect">
            <a:avLst/>
          </a:prstGeom>
        </xdr:spPr>
      </xdr:pic>
      <xdr:pic>
        <xdr:nvPicPr>
          <xdr:cNvPr id="19" name="Graphic 18" descr="Users with solid fill">
            <a:hlinkClick xmlns:r="http://schemas.openxmlformats.org/officeDocument/2006/relationships" r:id="rId4"/>
            <a:extLst>
              <a:ext uri="{FF2B5EF4-FFF2-40B4-BE49-F238E27FC236}">
                <a16:creationId xmlns:a16="http://schemas.microsoft.com/office/drawing/2014/main" id="{FBBC4770-03F7-E711-1A0D-8691EF0819DE}"/>
              </a:ext>
            </a:extLst>
          </xdr:cNvPr>
          <xdr:cNvPicPr>
            <a:picLocks noChangeAspect="1"/>
          </xdr:cNvPicPr>
        </xdr:nvPicPr>
        <xdr:blipFill>
          <a:blip xmlns:r="http://schemas.openxmlformats.org/officeDocument/2006/relationships" r:embed="rId15">
            <a:extLst>
              <a:ext uri="{96DAC541-7B7A-43D3-8B79-37D633B846F1}">
                <asvg:svgBlip xmlns:asvg="http://schemas.microsoft.com/office/drawing/2016/SVG/main" r:embed="rId16"/>
              </a:ext>
            </a:extLst>
          </a:blip>
          <a:stretch>
            <a:fillRect/>
          </a:stretch>
        </xdr:blipFill>
        <xdr:spPr>
          <a:xfrm>
            <a:off x="265093" y="8038608"/>
            <a:ext cx="767123" cy="756332"/>
          </a:xfrm>
          <a:prstGeom prst="rect">
            <a:avLst/>
          </a:prstGeom>
        </xdr:spPr>
      </xdr:pic>
      <xdr:pic>
        <xdr:nvPicPr>
          <xdr:cNvPr id="20" name="Graphic 19" descr="Document with solid fill">
            <a:hlinkClick xmlns:r="http://schemas.openxmlformats.org/officeDocument/2006/relationships" r:id="rId5"/>
            <a:extLst>
              <a:ext uri="{FF2B5EF4-FFF2-40B4-BE49-F238E27FC236}">
                <a16:creationId xmlns:a16="http://schemas.microsoft.com/office/drawing/2014/main" id="{3F05280E-4A44-ECFC-D60B-1E96C33D4BB3}"/>
              </a:ext>
            </a:extLst>
          </xdr:cNvPr>
          <xdr:cNvPicPr>
            <a:picLocks noChangeAspect="1"/>
          </xdr:cNvPicPr>
        </xdr:nvPicPr>
        <xdr:blipFill>
          <a:blip xmlns:r="http://schemas.openxmlformats.org/officeDocument/2006/relationships" r:embed="rId17">
            <a:extLst>
              <a:ext uri="{96DAC541-7B7A-43D3-8B79-37D633B846F1}">
                <asvg:svgBlip xmlns:asvg="http://schemas.microsoft.com/office/drawing/2016/SVG/main" r:embed="rId18"/>
              </a:ext>
            </a:extLst>
          </a:blip>
          <a:stretch>
            <a:fillRect/>
          </a:stretch>
        </xdr:blipFill>
        <xdr:spPr>
          <a:xfrm>
            <a:off x="265093" y="7124014"/>
            <a:ext cx="761758" cy="756331"/>
          </a:xfrm>
          <a:prstGeom prst="rect">
            <a:avLst/>
          </a:prstGeom>
        </xdr:spPr>
      </xdr:pic>
      <xdr:pic>
        <xdr:nvPicPr>
          <xdr:cNvPr id="21" name="Graphic 20" descr="Research with solid fill">
            <a:hlinkClick xmlns:r="http://schemas.openxmlformats.org/officeDocument/2006/relationships" r:id="rId6"/>
            <a:extLst>
              <a:ext uri="{FF2B5EF4-FFF2-40B4-BE49-F238E27FC236}">
                <a16:creationId xmlns:a16="http://schemas.microsoft.com/office/drawing/2014/main" id="{39439D84-8C58-1047-11EC-ACF0F645779F}"/>
              </a:ext>
            </a:extLst>
          </xdr:cNvPr>
          <xdr:cNvPicPr>
            <a:picLocks noChangeAspect="1"/>
          </xdr:cNvPicPr>
        </xdr:nvPicPr>
        <xdr:blipFill>
          <a:blip xmlns:r="http://schemas.openxmlformats.org/officeDocument/2006/relationships" r:embed="rId19">
            <a:extLst>
              <a:ext uri="{96DAC541-7B7A-43D3-8B79-37D633B846F1}">
                <asvg:svgBlip xmlns:asvg="http://schemas.microsoft.com/office/drawing/2016/SVG/main" r:embed="rId20"/>
              </a:ext>
            </a:extLst>
          </a:blip>
          <a:srcRect/>
          <a:stretch/>
        </xdr:blipFill>
        <xdr:spPr>
          <a:xfrm>
            <a:off x="265093" y="2759175"/>
            <a:ext cx="761286" cy="727528"/>
          </a:xfrm>
          <a:prstGeom prst="rect">
            <a:avLst/>
          </a:prstGeom>
        </xdr:spPr>
      </xdr:pic>
      <xdr:pic>
        <xdr:nvPicPr>
          <xdr:cNvPr id="23" name="Graphic 22" descr="Postit Notes with solid fill">
            <a:hlinkClick xmlns:r="http://schemas.openxmlformats.org/officeDocument/2006/relationships" r:id="rId7"/>
            <a:extLst>
              <a:ext uri="{FF2B5EF4-FFF2-40B4-BE49-F238E27FC236}">
                <a16:creationId xmlns:a16="http://schemas.microsoft.com/office/drawing/2014/main" id="{127A2124-4459-355C-D9F9-951261B6F089}"/>
              </a:ext>
            </a:extLst>
          </xdr:cNvPr>
          <xdr:cNvPicPr>
            <a:picLocks noChangeAspect="1"/>
          </xdr:cNvPicPr>
        </xdr:nvPicPr>
        <xdr:blipFill>
          <a:blip xmlns:r="http://schemas.openxmlformats.org/officeDocument/2006/relationships" r:embed="rId21">
            <a:extLst>
              <a:ext uri="{96DAC541-7B7A-43D3-8B79-37D633B846F1}">
                <asvg:svgBlip xmlns:asvg="http://schemas.microsoft.com/office/drawing/2016/SVG/main" r:embed="rId22"/>
              </a:ext>
            </a:extLst>
          </a:blip>
          <a:stretch>
            <a:fillRect/>
          </a:stretch>
        </xdr:blipFill>
        <xdr:spPr>
          <a:xfrm>
            <a:off x="265093" y="4499110"/>
            <a:ext cx="755153" cy="755754"/>
          </a:xfrm>
          <a:prstGeom prst="rect">
            <a:avLst/>
          </a:prstGeom>
        </xdr:spPr>
      </xdr:pic>
      <xdr:pic>
        <xdr:nvPicPr>
          <xdr:cNvPr id="24" name="Graphic 23" descr="Money with solid fill">
            <a:hlinkClick xmlns:r="http://schemas.openxmlformats.org/officeDocument/2006/relationships" r:id="rId8"/>
            <a:extLst>
              <a:ext uri="{FF2B5EF4-FFF2-40B4-BE49-F238E27FC236}">
                <a16:creationId xmlns:a16="http://schemas.microsoft.com/office/drawing/2014/main" id="{F4897AE5-F8A4-7577-4093-485FB7D31559}"/>
              </a:ext>
            </a:extLst>
          </xdr:cNvPr>
          <xdr:cNvPicPr>
            <a:picLocks noChangeAspect="1"/>
          </xdr:cNvPicPr>
        </xdr:nvPicPr>
        <xdr:blipFill>
          <a:blip xmlns:r="http://schemas.openxmlformats.org/officeDocument/2006/relationships" r:embed="rId23">
            <a:extLst>
              <a:ext uri="{96DAC541-7B7A-43D3-8B79-37D633B846F1}">
                <asvg:svgBlip xmlns:asvg="http://schemas.microsoft.com/office/drawing/2016/SVG/main" r:embed="rId24"/>
              </a:ext>
            </a:extLst>
          </a:blip>
          <a:srcRect/>
          <a:stretch/>
        </xdr:blipFill>
        <xdr:spPr>
          <a:xfrm>
            <a:off x="265093" y="6235676"/>
            <a:ext cx="767420" cy="733405"/>
          </a:xfrm>
          <a:prstGeom prst="rect">
            <a:avLst/>
          </a:prstGeom>
        </xdr:spPr>
      </xdr:pic>
      <xdr:sp macro="" textlink="">
        <xdr:nvSpPr>
          <xdr:cNvPr id="8" name="Rectangle: Rounded Corners 7">
            <a:hlinkClick xmlns:r="http://schemas.openxmlformats.org/officeDocument/2006/relationships" r:id="rId25"/>
            <a:extLst>
              <a:ext uri="{FF2B5EF4-FFF2-40B4-BE49-F238E27FC236}">
                <a16:creationId xmlns:a16="http://schemas.microsoft.com/office/drawing/2014/main" id="{1F2255AB-A287-EA21-5FF5-B11F9E1D2E3D}"/>
              </a:ext>
            </a:extLst>
          </xdr:cNvPr>
          <xdr:cNvSpPr/>
        </xdr:nvSpPr>
        <xdr:spPr>
          <a:xfrm>
            <a:off x="163250" y="5352622"/>
            <a:ext cx="2931252" cy="813319"/>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lang="en-US" sz="1400" b="1">
                <a:solidFill>
                  <a:schemeClr val="bg1"/>
                </a:solidFill>
                <a:latin typeface="Georgia" panose="02040502050405020303" pitchFamily="18" charset="0"/>
                <a:ea typeface="+mn-ea"/>
                <a:cs typeface="+mn-cs"/>
              </a:rPr>
              <a:t>Almanac</a:t>
            </a:r>
          </a:p>
        </xdr:txBody>
      </xdr:sp>
      <xdr:sp macro="" textlink="">
        <xdr:nvSpPr>
          <xdr:cNvPr id="12" name="Rectangle: Rounded Corners 11">
            <a:hlinkClick xmlns:r="http://schemas.openxmlformats.org/officeDocument/2006/relationships" r:id="rId26"/>
            <a:extLst>
              <a:ext uri="{FF2B5EF4-FFF2-40B4-BE49-F238E27FC236}">
                <a16:creationId xmlns:a16="http://schemas.microsoft.com/office/drawing/2014/main" id="{55D72900-93F8-C917-9186-F36A50791B3A}"/>
              </a:ext>
            </a:extLst>
          </xdr:cNvPr>
          <xdr:cNvSpPr/>
        </xdr:nvSpPr>
        <xdr:spPr>
          <a:xfrm>
            <a:off x="163250" y="3606550"/>
            <a:ext cx="2931252" cy="813319"/>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algn="r"/>
            <a:r>
              <a:rPr lang="en-US" sz="1400" b="1">
                <a:solidFill>
                  <a:schemeClr val="bg1"/>
                </a:solidFill>
                <a:latin typeface="Georgia" panose="02040502050405020303" pitchFamily="18" charset="0"/>
                <a:ea typeface="+mn-ea"/>
                <a:cs typeface="+mn-cs"/>
              </a:rPr>
              <a:t>Summary</a:t>
            </a:r>
          </a:p>
          <a:p>
            <a:pPr algn="r"/>
            <a:r>
              <a:rPr lang="en-US" sz="1400" b="1">
                <a:solidFill>
                  <a:schemeClr val="bg1"/>
                </a:solidFill>
                <a:latin typeface="Georgia" panose="02040502050405020303" pitchFamily="18" charset="0"/>
                <a:ea typeface="+mn-ea"/>
                <a:cs typeface="+mn-cs"/>
              </a:rPr>
              <a:t>(by</a:t>
            </a:r>
            <a:r>
              <a:rPr lang="en-US" sz="1400" b="1" baseline="0">
                <a:solidFill>
                  <a:schemeClr val="bg1"/>
                </a:solidFill>
                <a:latin typeface="Georgia" panose="02040502050405020303" pitchFamily="18" charset="0"/>
                <a:ea typeface="+mn-ea"/>
                <a:cs typeface="+mn-cs"/>
              </a:rPr>
              <a:t> System)</a:t>
            </a:r>
            <a:endParaRPr lang="en-US" sz="1400" b="1">
              <a:solidFill>
                <a:schemeClr val="bg1"/>
              </a:solidFill>
              <a:latin typeface="Georgia" panose="02040502050405020303" pitchFamily="18" charset="0"/>
              <a:ea typeface="+mn-ea"/>
              <a:cs typeface="+mn-cs"/>
            </a:endParaRPr>
          </a:p>
        </xdr:txBody>
      </xdr:sp>
      <xdr:pic>
        <xdr:nvPicPr>
          <xdr:cNvPr id="18" name="Graphic 17" descr="Books on shelf with solid fill">
            <a:hlinkClick xmlns:r="http://schemas.openxmlformats.org/officeDocument/2006/relationships" r:id="rId25"/>
            <a:extLst>
              <a:ext uri="{FF2B5EF4-FFF2-40B4-BE49-F238E27FC236}">
                <a16:creationId xmlns:a16="http://schemas.microsoft.com/office/drawing/2014/main" id="{BD49B411-E432-3DDF-340F-4CE71B2BBF90}"/>
              </a:ext>
            </a:extLst>
          </xdr:cNvPr>
          <xdr:cNvPicPr>
            <a:picLocks noChangeAspect="1"/>
          </xdr:cNvPicPr>
        </xdr:nvPicPr>
        <xdr:blipFill>
          <a:blip xmlns:r="http://schemas.openxmlformats.org/officeDocument/2006/relationships" r:embed="rId27">
            <a:extLst>
              <a:ext uri="{96DAC541-7B7A-43D3-8B79-37D633B846F1}">
                <asvg:svgBlip xmlns:asvg="http://schemas.microsoft.com/office/drawing/2016/SVG/main" r:embed="rId28"/>
              </a:ext>
            </a:extLst>
          </a:blip>
          <a:stretch>
            <a:fillRect/>
          </a:stretch>
        </xdr:blipFill>
        <xdr:spPr>
          <a:xfrm>
            <a:off x="265494" y="5377021"/>
            <a:ext cx="767640" cy="759543"/>
          </a:xfrm>
          <a:prstGeom prst="rect">
            <a:avLst/>
          </a:prstGeom>
        </xdr:spPr>
      </xdr:pic>
      <xdr:pic>
        <xdr:nvPicPr>
          <xdr:cNvPr id="22" name="Graphic 21" descr="Hierarchy with solid fill">
            <a:hlinkClick xmlns:r="http://schemas.openxmlformats.org/officeDocument/2006/relationships" r:id="rId26"/>
            <a:extLst>
              <a:ext uri="{FF2B5EF4-FFF2-40B4-BE49-F238E27FC236}">
                <a16:creationId xmlns:a16="http://schemas.microsoft.com/office/drawing/2014/main" id="{91FFA168-D063-277F-000D-53FD1E082752}"/>
              </a:ext>
            </a:extLst>
          </xdr:cNvPr>
          <xdr:cNvPicPr>
            <a:picLocks noChangeAspect="1"/>
          </xdr:cNvPicPr>
        </xdr:nvPicPr>
        <xdr:blipFill>
          <a:blip xmlns:r="http://schemas.openxmlformats.org/officeDocument/2006/relationships" r:embed="rId29">
            <a:extLst>
              <a:ext uri="{96DAC541-7B7A-43D3-8B79-37D633B846F1}">
                <asvg:svgBlip xmlns:asvg="http://schemas.microsoft.com/office/drawing/2016/SVG/main" r:embed="rId30"/>
              </a:ext>
            </a:extLst>
          </a:blip>
          <a:stretch>
            <a:fillRect/>
          </a:stretch>
        </xdr:blipFill>
        <xdr:spPr>
          <a:xfrm>
            <a:off x="265494" y="3597336"/>
            <a:ext cx="755352" cy="755701"/>
          </a:xfrm>
          <a:prstGeom prst="rect">
            <a:avLst/>
          </a:prstGeom>
        </xdr:spPr>
      </xdr:pic>
    </xdr:grp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C4296167-3456-4427-9744-C36AEAF8CD3E}" name="Table4" displayName="Table4" ref="H1:N87" totalsRowShown="0" headerRowDxfId="302" dataDxfId="301" headerRowCellStyle="Accent1">
  <sortState xmlns:xlrd2="http://schemas.microsoft.com/office/spreadsheetml/2017/richdata2" ref="H2:N87">
    <sortCondition ref="H1:H87"/>
  </sortState>
  <tableColumns count="7">
    <tableColumn id="1" xr3:uid="{17C69444-70D5-4694-AA9E-4640E7C77507}" name="Institution Name" dataDxfId="300"/>
    <tableColumn id="2" xr3:uid="{B8DF7626-C1F9-4229-8673-23C67EF9BF6A}" name="Name" dataDxfId="299">
      <calculatedColumnFormula>PROPER(_xlfn.XLOOKUP(H2,ResearchInput[Institution Name],ResearchInput[First],"",0,1)&amp;" "&amp;_xlfn.XLOOKUP(H2,ResearchInput[Institution Name],ResearchInput[Last],"",0,1))</calculatedColumnFormula>
    </tableColumn>
    <tableColumn id="3" xr3:uid="{3402D947-195B-4337-AEC7-FB4A500FD125}" name="Phone Number" dataDxfId="298">
      <calculatedColumnFormula>_xlfn.XLOOKUP(H2,ResearchInput[Institution Name],ResearchInput[Phone],"",0,1)</calculatedColumnFormula>
    </tableColumn>
    <tableColumn id="4" xr3:uid="{5AB78681-102C-48A0-A077-3751C21466AA}" name="Email Address" dataDxfId="297">
      <calculatedColumnFormula>LOWER(_xlfn.XLOOKUP(H2,ResearchInput[Institution Name],ResearchInput[Email],"",0,1))</calculatedColumnFormula>
    </tableColumn>
    <tableColumn id="5" xr3:uid="{C0E84F5B-AB36-4942-A63E-3ED24543C273}" name="Name (alt)" dataDxfId="296">
      <calculatedColumnFormula>PROPER(_xlfn.XLOOKUP(H2,ResearchInput[Institution Name],ResearchInput[First.ALT],"",0,1)&amp;" "&amp;_xlfn.XLOOKUP(H2,ResearchInput[Institution Name],ResearchInput[Last.ALT],"",0,1))</calculatedColumnFormula>
    </tableColumn>
    <tableColumn id="6" xr3:uid="{44560AC5-DCA0-4705-B015-B5948690C23D}" name="Phone Number (alt)" dataDxfId="295">
      <calculatedColumnFormula>_xlfn.XLOOKUP(H2,ResearchInput[Institution Name],ResearchInput[Phone.ALT],"",0,1)</calculatedColumnFormula>
    </tableColumn>
    <tableColumn id="7" xr3:uid="{113B3CC1-B614-4BD0-B5F2-0A5909828BA4}" name="Email Address (alt)" dataDxfId="294">
      <calculatedColumnFormula>LOWER(_xlfn.XLOOKUP(H2,ResearchInput[Institution Name],ResearchInput[Email.ALT],"",0,1))</calculatedColumnFormula>
    </tableColumn>
  </tableColumns>
  <tableStyleInfo name="Input"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E788D2EC-F500-43AF-B589-220194C7CEC7}" name="FTSEHRI" displayName="FTSEHRI" ref="H7:Q78" totalsRowCount="1" headerRowDxfId="293" dataDxfId="291" totalsRowDxfId="289" headerRowBorderDxfId="292" tableBorderDxfId="290" totalsRowBorderDxfId="288">
  <tableColumns count="10">
    <tableColumn id="1" xr3:uid="{D526088C-4B6F-4E02-94E4-731D8046393B}" name="Academic Institutions" dataDxfId="287" totalsRowDxfId="286"/>
    <tableColumn id="2" xr3:uid="{9237D85F-1345-42DC-9FA1-857402E5365C}" name="FICE" dataDxfId="285" totalsRowDxfId="284"/>
    <tableColumn id="5" xr3:uid="{7007D8BD-C92F-40D1-8F20-B0FE151EBBAF}" name="Undergraduate" totalsRowLabel="2" dataDxfId="283" totalsRowDxfId="282"/>
    <tableColumn id="6" xr3:uid="{3AF84446-DD37-40ED-921B-DEA502A8D9B6}" name="Master's¹" totalsRowFunction="custom" dataDxfId="281" totalsRowDxfId="280">
      <totalsRowFormula>SUM(K8,K13,K19,K29,K39,K40,K44,K53,K60,K67,K72,K75,K76,K77)</totalsRowFormula>
    </tableColumn>
    <tableColumn id="7" xr3:uid="{BE1CA7E0-F352-4BB4-B16B-B242802D4325}" name="Doctoral" totalsRowFunction="custom" dataDxfId="279" totalsRowDxfId="278">
      <totalsRowFormula>SUM(L8,L13,L19,L29,L39,L40,L44,L53,L60,L67,L72,L75,L76,L77)</totalsRowFormula>
    </tableColumn>
    <tableColumn id="8" xr3:uid="{D87EB219-4624-4C61-AB53-1A8AA5E6B19B}" name="Total" totalsRowFunction="custom" dataDxfId="277" totalsRowDxfId="276">
      <totalsRowFormula>SUM(M8,M13,M19,M29,M39,M40,M44,M53,M60,M67,M72,M75,M76,M77)</totalsRowFormula>
    </tableColumn>
    <tableColumn id="9" xr3:uid="{5ED6CBA5-541D-452E-BE11-C2FB7DA52FB3}" name="Prof &amp; Special-Prof Headcount" totalsRowFunction="custom" dataDxfId="275" totalsRowDxfId="274">
      <totalsRowFormula>SUM(N8,N13,N19,N29,N39,N40,N44,N53,N60,N67,N72,N75,N76,N77)</totalsRowFormula>
    </tableColumn>
    <tableColumn id="11" xr3:uid="{4C1EFEEC-DF56-4255-A876-5BE07A57C745}" name="Full-Time Student_x000a_Equivalents²" totalsRowFunction="custom" dataDxfId="273" totalsRowDxfId="272">
      <calculatedColumnFormula>ROUND(SUM(FTSEHRI[[#This Row],[Undergraduate]]/30,FTSEHRI[[#This Row],[Master''s¹]]/24,FTSEHRI[[#This Row],[Doctoral]]/18),0)</calculatedColumnFormula>
      <totalsRowFormula>SUM(O8,O13,O19,O29,O39,O40,O44,O53,O60,O67,O72,O75,O76,O77)</totalsRowFormula>
    </tableColumn>
    <tableColumn id="3" xr3:uid="{BB90E7ED-2F07-4BE5-9E4D-942AF40E148B}" name="State Funded _x000a_FTSE³" totalsRowFunction="custom" dataDxfId="271" totalsRowDxfId="270">
      <totalsRowFormula>SUM(P8,P13,P19,P29,P39,P40,P44,P53,P60,P67,P72,P75,P76,P77)</totalsRowFormula>
    </tableColumn>
    <tableColumn id="4" xr3:uid="{24982256-F176-4247-9E87-B98E617B594A}" name="T/TT Fall_x000a_Faculty FTE⁴" totalsRowFunction="custom" dataDxfId="269" totalsRowDxfId="268">
      <totalsRowFormula>SUM(Q8,Q13,Q19,Q29,Q39,Q40,Q44,Q53,Q60,Q67,Q72,Q75,Q76,Q77)</totalsRowFormula>
    </tableColumn>
  </tableColumns>
  <tableStyleInfo name="Standard"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A837617D-74D5-4865-B756-D9B12E6C0393}" name="FTSETSTC" displayName="FTSETSTC" ref="H87:P97" totalsRowCount="1" headerRowDxfId="267" dataDxfId="265" totalsRowDxfId="264" headerRowBorderDxfId="266" totalsRowBorderDxfId="263">
  <autoFilter ref="H87:P96" xr:uid="{804C7259-5A5C-4293-91C1-114F64A64D01}"/>
  <sortState xmlns:xlrd2="http://schemas.microsoft.com/office/spreadsheetml/2017/richdata2" ref="H88:P96">
    <sortCondition ref="H84:H93"/>
  </sortState>
  <tableColumns count="9">
    <tableColumn id="1" xr3:uid="{E874AC40-5C2C-4655-AD0F-63A78F46C63D}" name="Academic Institutions" dataDxfId="262" totalsRowDxfId="261"/>
    <tableColumn id="2" xr3:uid="{E4C6F3AC-7D95-44DA-810A-D857B58EE572}" name="FICE" dataDxfId="260" totalsRowDxfId="259" dataCellStyle="FICE"/>
    <tableColumn id="3" xr3:uid="{4A7CF472-DB98-4544-B596-EBEC333065F6}" name="Academic_x000a_ SCH" totalsRowFunction="sum" dataDxfId="258" totalsRowDxfId="257"/>
    <tableColumn id="4" xr3:uid="{BB71987E-6FFD-4EFD-9FBD-388137F8BBC6}" name="Technical_x000a_ SCH" totalsRowFunction="sum" dataDxfId="256" totalsRowDxfId="255"/>
    <tableColumn id="5" xr3:uid="{95A340A9-E0B9-4C5A-989B-BF37A80C9E47}" name="BAT SCH" totalsRowFunction="sum" dataDxfId="254" totalsRowDxfId="253"/>
    <tableColumn id="6" xr3:uid="{6371AAA6-FA6B-4D47-A047-03723702675B}" name="Continuing Ed. SCH" totalsRowFunction="sum" dataDxfId="252" totalsRowDxfId="251"/>
    <tableColumn id="11" xr3:uid="{8D4FC21E-09C6-4E41-B487-0B58B103CD4C}" name="Full-Time Student_x000a_Equivalents1" totalsRowFunction="sum" dataDxfId="250" totalsRowDxfId="249"/>
    <tableColumn id="7" xr3:uid="{6C029FB4-3335-410C-AF8C-1AAF3C9700A7}" name="State Funded _x000a_FTSE²" totalsRowLabel="16,522.21" dataDxfId="248" totalsRowDxfId="247"/>
    <tableColumn id="8" xr3:uid="{3437AEF2-8F0A-457C-9114-C0B0C9386298}" name="Fall _x000a_Faculty FTE" totalsRowFunction="sum" dataDxfId="246" totalsRowDxfId="245"/>
  </tableColumns>
  <tableStyleInfo name="Standard"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F101FE54-9601-4F42-A785-CD47636B01C9}" name="FTSEUNIV" displayName="FTSEUNIV" ref="H103:Q140" totalsRowCount="1" headerRowDxfId="244" dataDxfId="242" totalsRowDxfId="240" headerRowBorderDxfId="243" tableBorderDxfId="241" totalsRowBorderDxfId="239">
  <autoFilter ref="H103:Q139" xr:uid="{4B094412-737E-4A14-B4F4-3622FDE7119C}"/>
  <tableColumns count="10">
    <tableColumn id="1" xr3:uid="{C928C202-9483-48A1-96CB-B5AEB0DE9365}" name="Academic Institutions" dataDxfId="238" totalsRowDxfId="237"/>
    <tableColumn id="3" xr3:uid="{76A322D7-7620-49E5-98C1-B7F743A1122B}" name="FICE" dataDxfId="236" totalsRowDxfId="235" dataCellStyle="FICE"/>
    <tableColumn id="4" xr3:uid="{9D325598-9843-49A0-B3E8-64F545D693FE}" name="Undergraduate" totalsRowFunction="sum" dataDxfId="234" totalsRowDxfId="233"/>
    <tableColumn id="5" xr3:uid="{6F60AACA-3E23-401B-8838-84202A080AA8}" name="Master's" totalsRowFunction="sum" dataDxfId="232" totalsRowDxfId="231"/>
    <tableColumn id="6" xr3:uid="{9D5C49AC-CB43-4B65-9F0E-D7F0BBF6CE5E}" name="Doctoral" totalsRowFunction="sum" dataDxfId="230" totalsRowDxfId="229"/>
    <tableColumn id="7" xr3:uid="{C8A49DA6-F007-49DE-B2BF-49488B76C965}" name="Professional &amp; Special-Prof" totalsRowFunction="sum" dataDxfId="228" totalsRowDxfId="227"/>
    <tableColumn id="8" xr3:uid="{391CDB48-31C4-436C-883D-61E309F18478}" name="Optometry" totalsRowFunction="sum" dataDxfId="226" totalsRowDxfId="225"/>
    <tableColumn id="9" xr3:uid="{A6928543-5534-4AC9-9E5F-68EFB02CBBCE}" name="Full-Time Student_x000a_Equivalents¹" totalsRowFunction="sum" dataDxfId="224" totalsRowDxfId="223"/>
    <tableColumn id="10" xr3:uid="{D91755C4-ECEB-494A-B192-6449957FA6D2}" name="State Funded _x000a_FTSE²" totalsRowFunction="sum" dataDxfId="222" totalsRowDxfId="221"/>
    <tableColumn id="11" xr3:uid="{EE6A9FCB-D9F0-425F-9D4F-A9F952F7CDB1}" name="T/TT Fall_x000a_Faculty FTE³" totalsRowFunction="sum" dataDxfId="220" totalsRowDxfId="219"/>
  </tableColumns>
  <tableStyleInfo name="Standard"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8FFE8973-5168-4995-814D-2250C8440226}" name="Index" displayName="Index" ref="A1:D95" totalsRowShown="0" headerRowDxfId="218" dataDxfId="217">
  <autoFilter ref="A1:D95" xr:uid="{8FFE8973-5168-4995-814D-2250C8440226}"/>
  <sortState xmlns:xlrd2="http://schemas.microsoft.com/office/spreadsheetml/2017/richdata2" ref="A2:D95">
    <sortCondition ref="A1:A95"/>
  </sortState>
  <tableColumns count="4">
    <tableColumn id="1" xr3:uid="{91F3AAFF-CAA0-4BF5-A36A-BD7BEEABA199}" name="Institution Name" dataDxfId="216"/>
    <tableColumn id="2" xr3:uid="{088788B7-AA1F-4671-AD18-7BA5C7FE7C0A}" name="Institution Type" dataDxfId="215"/>
    <tableColumn id="3" xr3:uid="{4CF2C38C-A1F8-4BF0-97A8-E0048E1ADD0F}" name="Type" dataDxfId="214"/>
    <tableColumn id="4" xr3:uid="{AF8B3E1B-A30E-41BE-8A60-4C9E9EFED4EF}" name="Sort" dataDxfId="213">
      <calculatedColumnFormula>VLOOKUP(Index[[#This Row],[Institution Name]],ResearchInput[[Institution Name]:[Sort]],5,FALSE)</calculatedColumnFormula>
    </tableColumn>
  </tableColumns>
  <tableStyleInfo name="Default"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769CAC40-4B31-4FB9-B7DE-E9CE36B02DD2}" name="ResearchInput" displayName="ResearchInput" ref="A1:GY95" totalsRowShown="0" headerRowDxfId="212" dataDxfId="211">
  <autoFilter ref="A1:GY95" xr:uid="{769CAC40-4B31-4FB9-B7DE-E9CE36B02DD2}"/>
  <tableColumns count="207">
    <tableColumn id="1" xr3:uid="{6F30A118-3A10-4F90-8AB7-1D0064DA09EE}" name="Institution Name" dataDxfId="210"/>
    <tableColumn id="3" xr3:uid="{9C7683DD-2DE2-4621-BCC4-438C333E8235}" name="Institution Type" dataDxfId="209"/>
    <tableColumn id="186" xr3:uid="{FB162684-6CA7-415F-828D-57F161D63582}" name="System" dataDxfId="208"/>
    <tableColumn id="187" xr3:uid="{80C423A8-3C79-4E37-9D5A-E3A57E239FA3}" name="Type" dataDxfId="207"/>
    <tableColumn id="188" xr3:uid="{92E0D151-A0EE-4642-80AD-C91511DD6789}" name="Sort" dataDxfId="206"/>
    <tableColumn id="189" xr3:uid="{CCBB566C-E116-4504-9135-9F8A6DCC8445}" name="Status" dataDxfId="205"/>
    <tableColumn id="190" xr3:uid="{160F328B-6863-48CF-9BBB-AC2E970B556C}" name="PEER" dataDxfId="204"/>
    <tableColumn id="191" xr3:uid="{A01D8EF2-C788-49EB-ABD3-AC926FCB24C7}" name="FICE" dataDxfId="203"/>
    <tableColumn id="2" xr3:uid="{F978040A-B55F-435F-A009-7B5CBEC2973E}" name="Fed.AFR" dataDxfId="202"/>
    <tableColumn id="205" xr3:uid="{49D07259-4964-4E79-AC07-B44307100DD7}" name="St.AFR" dataDxfId="201"/>
    <tableColumn id="206" xr3:uid="{041DD594-7558-4870-9489-C8CC826DBFA7}" name="St.C&amp;G.AFR" dataDxfId="200"/>
    <tableColumn id="207" xr3:uid="{9E046415-4A4A-4EC1-8AB6-37698CFC0E78}" name="St.All.AFR" dataDxfId="199"/>
    <tableColumn id="208" xr3:uid="{8C6CD0EB-D965-4FB2-8248-DCE01F690C64}" name="Inst.AFR" dataDxfId="198"/>
    <tableColumn id="209" xr3:uid="{F595B6CB-2490-4E77-82D3-4C31274EF7AA}" name="P4P.AFR" dataDxfId="197"/>
    <tableColumn id="210" xr3:uid="{B42B6DD7-764D-4906-B867-4FAA7D22FDB9}" name="PNP.AFR" dataDxfId="196"/>
    <tableColumn id="4" xr3:uid="{E93D6E96-0CF0-47A3-BD12-FDB81A293A7C}" name="P.All.AFR" dataDxfId="195"/>
    <tableColumn id="5" xr3:uid="{661C11D5-A0EC-4C94-8379-67F8E24C8C8A}" name="Fed.Not" dataDxfId="194"/>
    <tableColumn id="6" xr3:uid="{105F481C-B7C2-4063-9DC9-4E16F6BB9821}" name="St.Not" dataDxfId="193"/>
    <tableColumn id="7" xr3:uid="{10370B61-5F4C-49CC-84D8-453181591023}" name="St.C&amp;G.Not" dataDxfId="192"/>
    <tableColumn id="8" xr3:uid="{D8974ECE-B0AB-4B48-8289-E4D8A42964D9}" name="St.All.Not" dataDxfId="191"/>
    <tableColumn id="9" xr3:uid="{9440AB53-10BC-455E-B69A-97DD20179DDE}" name="Inst.Not" dataDxfId="190"/>
    <tableColumn id="10" xr3:uid="{C6AA3A46-043D-4F64-B378-69A5A3956419}" name="P4P.Not" dataDxfId="189"/>
    <tableColumn id="11" xr3:uid="{43555955-FFA4-42DB-BB72-2A81DAF276DF}" name="PNP.Not" dataDxfId="188"/>
    <tableColumn id="12" xr3:uid="{82C2F930-4AFF-4BE7-B61F-1A2907555FE7}" name="P.All.Not" dataDxfId="187"/>
    <tableColumn id="13" xr3:uid="{63F2640B-0FE7-4F39-9F2B-2C44C2D79DD2}" name="Fed.Pass" dataDxfId="186"/>
    <tableColumn id="14" xr3:uid="{EFDB29D9-A281-48E1-8C76-1EE87FA17916}" name="St.Pass" dataDxfId="185"/>
    <tableColumn id="15" xr3:uid="{81631092-EBF3-47AD-AC60-C66255E81CCE}" name="St.C&amp;G.Pass" dataDxfId="184"/>
    <tableColumn id="16" xr3:uid="{67ABCDE0-50AE-4A3C-A414-3388B2E655F1}" name="St.All.Pass" dataDxfId="183"/>
    <tableColumn id="17" xr3:uid="{C98FA394-0A9A-4D03-B679-F88CD217BAFD}" name="Inst.Pass" dataDxfId="182"/>
    <tableColumn id="18" xr3:uid="{DADEA2EE-610A-4AF7-A32A-EA4DDCA6BC7C}" name="P4P.Pass" dataDxfId="181"/>
    <tableColumn id="19" xr3:uid="{31817471-2761-41E9-A5BE-553A34BEA658}" name="PNP.Pass" dataDxfId="180"/>
    <tableColumn id="20" xr3:uid="{E611F3A3-6786-4E24-BB96-20424740FB6A}" name="P.All.Pass" dataDxfId="179"/>
    <tableColumn id="21" xr3:uid="{DEF43DE2-1831-4A77-A327-D10CFE45F061}" name="Fed.RecIDC" dataDxfId="178"/>
    <tableColumn id="22" xr3:uid="{E12F43FE-4F56-4C2D-9A50-38B5B5CDFEFD}" name="St.RecIDC" dataDxfId="177"/>
    <tableColumn id="23" xr3:uid="{6E2C4056-3EFD-4EE4-96DA-6B1F3F78FDD6}" name="St.C&amp;G.RecIDC" dataDxfId="176"/>
    <tableColumn id="24" xr3:uid="{DFEE924B-4352-4EB9-8ABA-D404978C2647}" name="St.All.RecIDC" dataDxfId="175"/>
    <tableColumn id="25" xr3:uid="{3EE6EDD4-FA28-4725-9420-574D31D4BEAD}" name="Inst.RecIDC" dataDxfId="174"/>
    <tableColumn id="26" xr3:uid="{C2CA2A8D-E0A8-414C-B3C9-48AA296CFA98}" name="P4P.RecIDC" dataDxfId="173"/>
    <tableColumn id="27" xr3:uid="{B2B7F4D7-E593-425F-BBA8-D19AFB7C0AA3}" name="PNP.RecIDC" dataDxfId="172"/>
    <tableColumn id="28" xr3:uid="{37E10BAB-49D6-471B-91BD-7179214B036B}" name="P.All.RecIDC" dataDxfId="171"/>
    <tableColumn id="29" xr3:uid="{66C61C70-628E-4D81-A7DF-F0AC6E48E6D1}" name="Fed.Cap" dataDxfId="170"/>
    <tableColumn id="30" xr3:uid="{6F292D41-FE19-4C5C-A88A-4188DE037FBB}" name="St.Cap" dataDxfId="169"/>
    <tableColumn id="31" xr3:uid="{F9563AF4-CF29-499C-8D2A-B4E7FBCBA625}" name="St.C&amp;G.Cap" dataDxfId="168"/>
    <tableColumn id="32" xr3:uid="{6C07A449-871F-4F54-9535-ACAC2B43B6AE}" name="St.All.Cap" dataDxfId="167"/>
    <tableColumn id="33" xr3:uid="{38E981C0-00CE-413F-AAEA-5CF8E24B23EC}" name="Inst.Cap" dataDxfId="166"/>
    <tableColumn id="34" xr3:uid="{0A9E1C0B-5B25-4959-BF25-E04A213FD02E}" name="P4P.Cap" dataDxfId="165"/>
    <tableColumn id="35" xr3:uid="{0341F36A-00E8-46BA-8951-A9D0A034E5C4}" name="PNP.Cap" dataDxfId="164"/>
    <tableColumn id="36" xr3:uid="{4CCAF2E7-9BBF-4555-8EFF-982CA598E9F8}" name="P.All.Cap" dataDxfId="163"/>
    <tableColumn id="37" xr3:uid="{668F6AD3-9B07-437A-92C5-1928DD63C900}" name="Fed.501" dataDxfId="162"/>
    <tableColumn id="38" xr3:uid="{08E61AE0-FDF9-4529-B8D4-EA6979252D7C}" name="St.501" dataDxfId="161"/>
    <tableColumn id="39" xr3:uid="{7BA30DCA-2326-4707-A9ED-5C7871ABC062}" name="St.C&amp;G.501" dataDxfId="160"/>
    <tableColumn id="40" xr3:uid="{9C1F06C9-2D7B-4DCE-9236-40F1D60B5817}" name="St.All.501" dataDxfId="159"/>
    <tableColumn id="41" xr3:uid="{71032985-2D29-46C7-B010-BDE650DEDA8C}" name="Inst.501" dataDxfId="158"/>
    <tableColumn id="42" xr3:uid="{72CE0B79-BDF9-484F-B022-62C3AC646FC6}" name="P4P.501" dataDxfId="157"/>
    <tableColumn id="43" xr3:uid="{D9D00218-9FE9-4B48-932C-387900ADC7BF}" name="PNP.501" dataDxfId="156"/>
    <tableColumn id="44" xr3:uid="{35A5DD92-9FF6-4588-A3A9-DAC894B2F1A8}" name="P.All.501" dataDxfId="155"/>
    <tableColumn id="45" xr3:uid="{454736E7-B42F-42CE-96ED-B4B1A40812B3}" name="Fed.Pass2" dataDxfId="154"/>
    <tableColumn id="46" xr3:uid="{D3C411A4-3BB0-4A96-8036-C6EEA4DE426D}" name="St.Pass2" dataDxfId="153"/>
    <tableColumn id="47" xr3:uid="{3565C72C-0698-4BAD-8F21-32E6AF56BB3C}" name="St.C&amp;G.Pass2" dataDxfId="152"/>
    <tableColumn id="48" xr3:uid="{87198DFB-395B-43DC-A2E6-649EC0A9F1CE}" name="St.All.Pass2" dataDxfId="151"/>
    <tableColumn id="49" xr3:uid="{F031A63A-66DB-4954-9E2A-E30AE0E01470}" name="Inst.Pass2" dataDxfId="150"/>
    <tableColumn id="50" xr3:uid="{FACA7DB9-32B4-48FD-8102-879A0BFC0E1F}" name="P4P.Pass2" dataDxfId="149"/>
    <tableColumn id="51" xr3:uid="{F4408FB3-78D3-41D7-9F9B-E2940E345784}" name="PNP.Pass2" dataDxfId="148"/>
    <tableColumn id="52" xr3:uid="{40D5879B-A967-485F-8FB8-07A70437BD52}" name="P.All.Pass2" dataDxfId="147"/>
    <tableColumn id="53" xr3:uid="{A64CD2B3-4F17-40DF-95F2-6E1D4E7A2088}" name="Fed.Pass3" dataDxfId="146"/>
    <tableColumn id="54" xr3:uid="{90BC6FAB-6C8D-4181-B9F8-471653A04497}" name="St.Pass3" dataDxfId="145"/>
    <tableColumn id="55" xr3:uid="{2EE21DA9-0AE4-4FFB-85BC-76C66A4B078E}" name="St.C&amp;G.Pass3" dataDxfId="144"/>
    <tableColumn id="56" xr3:uid="{BF93FA13-BEEB-44B8-B9E9-78582C0A5C78}" name="St.All.Pass3" dataDxfId="143"/>
    <tableColumn id="57" xr3:uid="{F683784F-F41A-4E63-BE77-CFB4601C9DE8}" name="Inst.Pass3" dataDxfId="142"/>
    <tableColumn id="58" xr3:uid="{20095EB1-AE65-4178-AAFA-BABA7ED1BB1E}" name="P4P.Pass3" dataDxfId="141"/>
    <tableColumn id="59" xr3:uid="{EC8E366E-63BE-4947-963E-EC30EA187626}" name="PNP.Pass3" dataDxfId="140"/>
    <tableColumn id="60" xr3:uid="{34A702F9-08C0-423A-BC39-02A46EA823A4}" name="P.All.Pass3" dataDxfId="139"/>
    <tableColumn id="61" xr3:uid="{8248ECEB-B474-4012-8834-B27A9FB9E4A5}" name="Fed.Comp" dataDxfId="138"/>
    <tableColumn id="62" xr3:uid="{66F5567C-423B-43A2-9329-6FCEE18B5490}" name="St.Comp" dataDxfId="137"/>
    <tableColumn id="63" xr3:uid="{5A2FBA7F-8C20-4B38-ABBA-F89313E3E265}" name="St.C&amp;G.Comp" dataDxfId="136"/>
    <tableColumn id="64" xr3:uid="{D3A8CBC3-FEAB-444A-8C0F-89AAB7A42C0A}" name="St.All.Comp" dataDxfId="135"/>
    <tableColumn id="65" xr3:uid="{CF8D4639-B621-40C0-8B42-A588C53572DF}" name="Inst.Comp" dataDxfId="134"/>
    <tableColumn id="66" xr3:uid="{D8A20F58-238D-43B3-9763-48B44DA54753}" name="P4P.Comp" dataDxfId="133"/>
    <tableColumn id="67" xr3:uid="{D5713C0B-8A48-4BE3-8498-0E5EEE7049B5}" name="PNP.Comp" dataDxfId="132"/>
    <tableColumn id="68" xr3:uid="{AA767D6D-7533-40FC-95C8-79D56203B6E8}" name="P.All.Comp" dataDxfId="131"/>
    <tableColumn id="69" xr3:uid="{EA0E69C1-001E-4E66-90BB-5F5699C1B323}" name="Fed.Eng" dataDxfId="130"/>
    <tableColumn id="70" xr3:uid="{3043BDF4-6428-48FC-B782-EA5E9985688A}" name="St.Eng" dataDxfId="129"/>
    <tableColumn id="71" xr3:uid="{D27DD634-9637-4D71-8138-696ABE69F405}" name="St.C&amp;G.Eng" dataDxfId="128"/>
    <tableColumn id="72" xr3:uid="{848C0EB1-3796-4DC3-A73B-4EFB6C9430CE}" name="St.All.Eng" dataDxfId="127"/>
    <tableColumn id="73" xr3:uid="{F348C031-7BD2-4FAE-AD90-824DBFA8469C}" name="Inst.Eng" dataDxfId="126"/>
    <tableColumn id="74" xr3:uid="{289993C9-8EFE-4347-9732-AC9A7A0F3A01}" name="P4P.Eng" dataDxfId="125"/>
    <tableColumn id="75" xr3:uid="{25BF5B9E-5E21-46A6-B707-23ADE8360E94}" name="PNP.Eng" dataDxfId="124"/>
    <tableColumn id="76" xr3:uid="{937D137D-5FAE-4BC3-9D4E-6B63FFBAC41B}" name="P.All.Eng" dataDxfId="123"/>
    <tableColumn id="77" xr3:uid="{9809C87D-56E0-414A-9812-4290F055914B}" name="Fed.Geo" dataDxfId="122"/>
    <tableColumn id="78" xr3:uid="{BE08E705-43BA-488F-8A56-2F2B5701EC82}" name="St.Geo" dataDxfId="121"/>
    <tableColumn id="79" xr3:uid="{28B7AF46-F1B4-48F5-8B7D-A5A387D26DC7}" name="St.C&amp;G.Geo" dataDxfId="120"/>
    <tableColumn id="80" xr3:uid="{DD72DE26-3BC9-4131-958A-FAB0EFB87142}" name="St.All.Geo" dataDxfId="119"/>
    <tableColumn id="81" xr3:uid="{F609901C-BECC-4A31-A6E2-C5C6BBD8336C}" name="Inst.Geo" dataDxfId="118"/>
    <tableColumn id="82" xr3:uid="{6BB3257E-177C-428F-AE93-CBC962437853}" name="P4P.Geo" dataDxfId="117"/>
    <tableColumn id="83" xr3:uid="{B73DB419-3143-485E-8526-891469427E4A}" name="PNP.Geo" dataDxfId="116"/>
    <tableColumn id="84" xr3:uid="{F4F78084-C41C-4AC6-B862-DCF3F3FFCC97}" name="P.All.Geo" dataDxfId="115"/>
    <tableColumn id="85" xr3:uid="{C5AFE816-FFB7-4E6C-9E1A-ECD1B0B54649}" name="Fed.Life" dataDxfId="114"/>
    <tableColumn id="86" xr3:uid="{1A365134-3E4C-4FBA-8929-96BEE0EA3650}" name="St.Life" dataDxfId="113"/>
    <tableColumn id="87" xr3:uid="{1E073019-BBFB-48B8-8D99-29A5E05F29EC}" name="St.C&amp;G.Life" dataDxfId="112"/>
    <tableColumn id="88" xr3:uid="{8A2D9714-E778-4F72-AB25-E2BF8470128C}" name="St.All.Life" dataDxfId="111"/>
    <tableColumn id="89" xr3:uid="{8B0A918C-B6A8-44FD-A282-55C7FF648BCA}" name="Inst.Life" dataDxfId="110"/>
    <tableColumn id="90" xr3:uid="{ADCDA404-875C-4066-AEFE-74A1B067105F}" name="P4P.Life" dataDxfId="109"/>
    <tableColumn id="91" xr3:uid="{5F3BD1A7-F428-416C-9844-21FEAC0A4624}" name="PNP.Life" dataDxfId="108"/>
    <tableColumn id="92" xr3:uid="{F5ABC4F4-37AE-4A0F-B008-2AA39A607F39}" name="P.All.Life" dataDxfId="107"/>
    <tableColumn id="93" xr3:uid="{14CD1C87-6EC7-4202-B6DF-2393B5DC2101}" name="Fed.Math" dataDxfId="106"/>
    <tableColumn id="94" xr3:uid="{CB1B7795-3F5C-4D4B-951A-5D76BD2D26D2}" name="St.Math" dataDxfId="105"/>
    <tableColumn id="95" xr3:uid="{B99CC239-5509-4F80-97D4-D6253DCF7E95}" name="St.C&amp;G.Math" dataDxfId="104"/>
    <tableColumn id="96" xr3:uid="{A8E5F41D-C6D3-42D0-B7A3-64D0BA663215}" name="St.All.Math" dataDxfId="103"/>
    <tableColumn id="97" xr3:uid="{1DE09DFD-5EEC-468E-9F15-A024CF22C344}" name="Inst.Math" dataDxfId="102"/>
    <tableColumn id="98" xr3:uid="{DB817EF1-867B-417B-9F1E-87B8A67E125B}" name="P4P.Math" dataDxfId="101"/>
    <tableColumn id="99" xr3:uid="{95CF61E8-AA53-4F30-B374-44CBD50BBAB8}" name="PNP.Math" dataDxfId="100"/>
    <tableColumn id="100" xr3:uid="{E590F847-7399-4C14-8EFB-54FD058D6B6E}" name="P.All.Math" dataDxfId="99"/>
    <tableColumn id="101" xr3:uid="{40BD4C37-2242-4DDB-975B-1DFC9826AADB}" name="Fed.Phys" dataDxfId="98"/>
    <tableColumn id="102" xr3:uid="{968E4E8F-A1B0-46CD-80B9-3F99D843A9B8}" name="St.Phys" dataDxfId="97"/>
    <tableColumn id="103" xr3:uid="{74910710-2352-4A4F-8A7D-250E0A6E0604}" name="St.C&amp;G.Phys" dataDxfId="96"/>
    <tableColumn id="104" xr3:uid="{44F44B5F-38B2-4BF5-8AEB-EEA75CE3077C}" name="St.All.Phys" dataDxfId="95"/>
    <tableColumn id="105" xr3:uid="{F345CDD6-CAAF-493A-AAC9-482E40B9861F}" name="Inst.Phys" dataDxfId="94"/>
    <tableColumn id="106" xr3:uid="{073AED1A-DF97-4896-9689-D55AB226439D}" name="P4P.Phys" dataDxfId="93"/>
    <tableColumn id="107" xr3:uid="{8688C079-D1AE-42B3-BA35-C509650D4884}" name="PNP.Phys" dataDxfId="92"/>
    <tableColumn id="108" xr3:uid="{0BA4D653-1B9D-4860-9075-5F73A70A3EDE}" name="P.All.Phys" dataDxfId="91"/>
    <tableColumn id="109" xr3:uid="{A51549E8-8E31-471C-AFF2-06F9B8639500}" name="Fed.Psyc" dataDxfId="90"/>
    <tableColumn id="110" xr3:uid="{AEFF89C9-F476-4A13-ADC7-E49A71068F57}" name="St.Psyc" dataDxfId="89"/>
    <tableColumn id="111" xr3:uid="{ABEBF388-02F0-4EAD-895F-E7C657090CBF}" name="St.C&amp;G.Psyc" dataDxfId="88"/>
    <tableColumn id="112" xr3:uid="{44EE3121-6499-4C60-9D9F-5654B2280710}" name="St.All.Psyc" dataDxfId="87"/>
    <tableColumn id="113" xr3:uid="{03DFE92E-3525-40CC-8EDF-5CB8DB8C0F8B}" name="Inst.Psyc" dataDxfId="86"/>
    <tableColumn id="114" xr3:uid="{2B292360-AB33-43E8-BC0C-6133671D49A8}" name="P4P.Psyc" dataDxfId="85"/>
    <tableColumn id="115" xr3:uid="{2F182029-1913-4E2A-87C9-E68AB367B251}" name="PNP.Psyc" dataDxfId="84"/>
    <tableColumn id="116" xr3:uid="{69A9BD95-5FF6-4217-BF24-C8EC068EC284}" name="P.All.Psyc" dataDxfId="83"/>
    <tableColumn id="117" xr3:uid="{FA967A1B-B74E-40C1-9301-E3D507193F85}" name="Fed.Soc" dataDxfId="82"/>
    <tableColumn id="118" xr3:uid="{F51F1434-049A-4CF6-AD4D-1EDC3914928D}" name="St.Soc" dataDxfId="81"/>
    <tableColumn id="119" xr3:uid="{8894941D-1B2A-4F2F-8107-2E93399FFD07}" name="St.C&amp;G.Soc" dataDxfId="80"/>
    <tableColumn id="120" xr3:uid="{916A3F06-D0DA-4C64-896B-B5AF8A57A800}" name="St.All.Soc" dataDxfId="79"/>
    <tableColumn id="121" xr3:uid="{CBE13EB2-6F72-44C7-A93E-68A6AB98C1EA}" name="Inst.Soc" dataDxfId="78"/>
    <tableColumn id="122" xr3:uid="{1765DA1A-0A91-45E4-BBA8-D8B354DDF438}" name="P4P.Soc" dataDxfId="77"/>
    <tableColumn id="123" xr3:uid="{4A803E7D-A24F-4719-A517-164B7E862FD9}" name="PNP.Soc" dataDxfId="76"/>
    <tableColumn id="124" xr3:uid="{9D969084-9F2D-434C-BF5D-E149A98CB375}" name="P.All.Soc" dataDxfId="75"/>
    <tableColumn id="125" xr3:uid="{57A05B27-9653-4B19-8FBC-580F1FBBD1E6}" name="Fed.Othr" dataDxfId="74"/>
    <tableColumn id="126" xr3:uid="{D89A3040-7B31-4638-A3C8-13F6E94AD09B}" name="St.Othr" dataDxfId="73"/>
    <tableColumn id="127" xr3:uid="{872D2841-7EBC-41DB-9439-85DBC0CEEF14}" name="St.C&amp;G.Othr" dataDxfId="72"/>
    <tableColumn id="128" xr3:uid="{35EEDED3-F754-4A55-B365-5A1127373069}" name="St.All.Othr" dataDxfId="71"/>
    <tableColumn id="129" xr3:uid="{59FAAF31-3A5D-440E-8179-353E02EB8E33}" name="Inst.Othr" dataDxfId="70"/>
    <tableColumn id="130" xr3:uid="{30FDD4FF-F3BD-4722-A2F3-CB27B45D41B3}" name="P4P.Othr" dataDxfId="69"/>
    <tableColumn id="131" xr3:uid="{783AF444-3674-4629-8958-E85CE19C842D}" name="PNP.Othr" dataDxfId="68"/>
    <tableColumn id="132" xr3:uid="{4B6223E8-6636-41D5-AF85-5520FFFF92FA}" name="P.All.Othr" dataDxfId="67"/>
    <tableColumn id="133" xr3:uid="{636010FC-EEBF-4F34-99CE-8D7E8A68AB45}" name="Fed.Non" dataDxfId="66"/>
    <tableColumn id="134" xr3:uid="{C8F0804E-3709-4FA4-8741-2BD7DFF610AA}" name="St.Non" dataDxfId="65"/>
    <tableColumn id="135" xr3:uid="{ACDC164C-17C0-4F79-8FA5-37DC4812D997}" name="St.C&amp;G.Non" dataDxfId="64"/>
    <tableColumn id="136" xr3:uid="{A33FF617-9E90-4D36-937C-5FB9934C5852}" name="St.All.Non" dataDxfId="63"/>
    <tableColumn id="137" xr3:uid="{DD0BF74D-10E7-4D0B-83C3-BCC387A89CE8}" name="Inst.Non" dataDxfId="62"/>
    <tableColumn id="138" xr3:uid="{52AD0353-FB94-4801-827A-FA8D8490DCCF}" name="P4P.Non" dataDxfId="61"/>
    <tableColumn id="139" xr3:uid="{64DEB54C-5900-4E41-BCEF-3CBD16CFFF9D}" name="PNP.Non" dataDxfId="60"/>
    <tableColumn id="140" xr3:uid="{E2C2FD6D-7FD3-429A-A546-CC040516953D}" name="P.All.Non" dataDxfId="59"/>
    <tableColumn id="141" xr3:uid="{316F35F0-B68D-4BDF-A2E8-6AF6014EA8F0}" name="Fed.MedRes" dataDxfId="58"/>
    <tableColumn id="142" xr3:uid="{34BA436D-C3F5-43B9-9E11-4B657F380735}" name="St.MedRes" dataDxfId="57"/>
    <tableColumn id="143" xr3:uid="{6944EF24-89D7-49B5-A586-F8B50F960D5F}" name="St.C&amp;G.MedRes" dataDxfId="56"/>
    <tableColumn id="144" xr3:uid="{69A0CF6B-46B1-41F5-8ED5-A28E46C44B62}" name="St.All.MedRes" dataDxfId="55"/>
    <tableColumn id="145" xr3:uid="{9F38949B-663C-4DF2-9ED8-BF01D4448F42}" name="Inst.MedRes" dataDxfId="54"/>
    <tableColumn id="146" xr3:uid="{B1BAAC89-A7E0-45C9-9595-C65FA99422D3}" name="P4P.MedRes" dataDxfId="53"/>
    <tableColumn id="147" xr3:uid="{AB449D1D-7CB9-47DE-9668-6DD7BDFB664E}" name="PNP.MedRes" dataDxfId="52"/>
    <tableColumn id="148" xr3:uid="{AD27B953-A799-4C96-A985-E73FF9C2B842}" name="P.All.MedRes" dataDxfId="51"/>
    <tableColumn id="149" xr3:uid="{0A2563AA-FF94-4122-BFD9-CCB43916C073}" name="Fed.Adult" dataDxfId="50"/>
    <tableColumn id="150" xr3:uid="{5071EFE4-7A7D-4818-8985-D1AD66BF6FCD}" name="St.Adult" dataDxfId="49"/>
    <tableColumn id="151" xr3:uid="{DED62E5A-82CB-4231-88FB-F42F61B23A03}" name="St.C&amp;G.Adult" dataDxfId="48"/>
    <tableColumn id="152" xr3:uid="{E832E02F-D5B4-407E-A95E-11558FCEA9F7}" name="St.All.Adult" dataDxfId="47"/>
    <tableColumn id="153" xr3:uid="{D22A7E1E-6527-4D1C-AE1E-AAD7676F8298}" name="Inst.Adult" dataDxfId="46"/>
    <tableColumn id="154" xr3:uid="{096A1C22-1076-41B4-9EE6-6DD6FA795BB0}" name="P4P.Adult" dataDxfId="45"/>
    <tableColumn id="155" xr3:uid="{6C449A43-8286-488E-8425-04209FB4015C}" name="PNP.Adult" dataDxfId="44"/>
    <tableColumn id="156" xr3:uid="{20A6473A-3737-44AD-99EC-840D7CD0D588}" name="P.All.Adult" dataDxfId="43"/>
    <tableColumn id="157" xr3:uid="{73D85278-4977-463A-A011-5A90969170AA}" name="Fed.Embr" dataDxfId="42"/>
    <tableColumn id="158" xr3:uid="{571E1EB5-9685-4D7F-AA0D-E48100FC3B00}" name="St.Embr" dataDxfId="41"/>
    <tableColumn id="159" xr3:uid="{D2FBC786-2504-441F-A07A-F9D2C8A55F40}" name="St.C&amp;G.Embr" dataDxfId="40"/>
    <tableColumn id="160" xr3:uid="{225A59C4-C66B-459F-8652-2CD267CEC715}" name="St.All.Embr" dataDxfId="39"/>
    <tableColumn id="161" xr3:uid="{AE63DA3E-D7E8-44E3-979A-753A29B3D157}" name="Inst.Embr" dataDxfId="38"/>
    <tableColumn id="162" xr3:uid="{F001020F-2D38-4167-BA3F-CB894B93DAD8}" name="P4P.Embr" dataDxfId="37"/>
    <tableColumn id="163" xr3:uid="{241AAD6B-1817-4AAA-8A5D-37E721533FCA}" name="PNP.Embr" dataDxfId="36"/>
    <tableColumn id="164" xr3:uid="{DBFCDCE8-2BD0-4F50-A2C8-3032B27493D4}" name="P.All.Embr" dataDxfId="35"/>
    <tableColumn id="165" xr3:uid="{32CDFFF0-C81E-4D2E-8AA2-BDD7F032A89A}" name="Fed.BAL" dataDxfId="34"/>
    <tableColumn id="166" xr3:uid="{C2CB91D5-EAB9-4827-9312-DC423B41921C}" name="St.BAL" dataDxfId="33"/>
    <tableColumn id="167" xr3:uid="{5D6F64DE-8997-4BE6-8CA1-119F3EE0EC75}" name="St.C&amp;G.BAL" dataDxfId="32"/>
    <tableColumn id="168" xr3:uid="{49830E17-9119-4837-BE45-E22CCD74DB74}" name="St.All.BAL" dataDxfId="31"/>
    <tableColumn id="169" xr3:uid="{248FCE2E-42AD-4533-A99C-C2FA28E75B21}" name="Inst.BAL" dataDxfId="30"/>
    <tableColumn id="170" xr3:uid="{87DFB356-E632-4B7E-BF57-BD3241A5C757}" name="P4P.BAL" dataDxfId="29"/>
    <tableColumn id="171" xr3:uid="{F69AA784-8326-4566-B407-AAC63D104A82}" name="PNP.BAL" dataDxfId="28"/>
    <tableColumn id="172" xr3:uid="{691009B2-8F81-4742-99A3-954BE65D61CC}" name="P.All.BAL" dataDxfId="27"/>
    <tableColumn id="173" xr3:uid="{6EF0A0F1-0BA1-4902-BFA0-7DB6B36208D7}" name="SRECNP.BAL" dataDxfId="26"/>
    <tableColumn id="174" xr3:uid="{27F15D1C-635E-455C-B524-054318347FB7}" name="SRECNP.RES" dataDxfId="25"/>
    <tableColumn id="175" xr3:uid="{3DB3E2FC-9233-4E4E-9289-DA5D290F6795}" name="S.M.Res" dataDxfId="24"/>
    <tableColumn id="176" xr3:uid="{CDED348D-1782-4EE0-9BFE-F89EDF60AA62}" name="S.M.NetE&amp;G" dataDxfId="23"/>
    <tableColumn id="177" xr3:uid="{BFFDC486-01B5-466D-940F-DFC3B32AD90F}" name="First" dataDxfId="22"/>
    <tableColumn id="178" xr3:uid="{8C7D3DE1-1AD9-4B1A-9A3C-4B55004A4FD1}" name="Last" dataDxfId="21"/>
    <tableColumn id="179" xr3:uid="{89CCCA0B-D05D-429C-A3FA-E2C6A1B5E01E}" name="Phone" dataDxfId="20"/>
    <tableColumn id="180" xr3:uid="{B2582632-B4AE-4563-954D-C96D267FFD8D}" name="Email" dataDxfId="19"/>
    <tableColumn id="181" xr3:uid="{23CEE965-1823-45E3-AFAB-8751284ACE77}" name="First.ALT" dataDxfId="18"/>
    <tableColumn id="182" xr3:uid="{B23D26AE-9FC2-4CD2-8E86-E94F8627B079}" name="Last.ALT" dataDxfId="17"/>
    <tableColumn id="183" xr3:uid="{5E3FD7B5-1F19-4B0E-82E9-1B16845C3730}" name="Phone.ALT" dataDxfId="16"/>
    <tableColumn id="184" xr3:uid="{FC9264DC-CDF3-4234-89F9-D1BD8D40692E}" name="Email.ALT" dataDxfId="15"/>
    <tableColumn id="201" xr3:uid="{8B3D0D1A-6FD4-4699-B45F-ABA97B81BCFA}" name="FTSE" dataDxfId="14">
      <calculatedColumnFormula array="1">IFERROR(_xlfn.IFS(ResearchInput[[#This Row],[Type]]="HRI",SUMIFS('FTSE | FTFE'!$P$8:$P$77,'FTSE | FTFE'!$H$8:$H$77,A2),ResearchInput[[#This Row],[Type]]="UNIV",SUMIFS('FTSE | FTFE'!$P$104:$P$139,'FTSE | FTFE'!$H$104:$H$139,A2),OR(ResearchInput[[#This Row],[Type]]="TSTC",ResearchInput[[#This Row],[Type]]="LSC"),SUMIFS('FTSE | FTFE'!$O$88:$O$96,'FTSE | FTFE'!$H$88:$H$96,A2),ResearchInput[[#This Row],[Type]]="AHM",SUMIFS(Hidden!$H$43:$H$46,Hidden!$G$42:$G$45,A2)),"N/A")</calculatedColumnFormula>
    </tableColumn>
    <tableColumn id="200" xr3:uid="{083DEDFC-DF26-4804-BAC0-03D50E335291}" name="FTFE" dataDxfId="13">
      <calculatedColumnFormula array="1">IFERROR(_xlfn.IFS(ResearchInput[[#This Row],[Type]]="HRI",SUMIFS('FTSE | FTFE'!$Q$8:$Q$77,'FTSE | FTFE'!$H$8:$H$77,A2),ResearchInput[[#This Row],[Type]]="UNIV",SUMIFS('FTSE | FTFE'!$Q$104:$Q$139,'FTSE | FTFE'!$H$104:$H$139,A2),OR(ResearchInput[[#This Row],[Type]]="TSTC",ResearchInput[[#This Row],[Type]]="LSC"),SUMIFS('FTSE | FTFE'!$P$88:$P$96,'FTSE | FTFE'!$H$88:$H$96,A2)),"N/A")</calculatedColumnFormula>
    </tableColumn>
    <tableColumn id="185" xr3:uid="{B36A35F8-CAA0-441A-BAED-0B0779B7F448}" name="T.501" dataDxfId="12"/>
    <tableColumn id="192" xr3:uid="{E7B6EB4E-FF66-43CB-85EC-D3E1A6B80749}" name="T.Fed" dataDxfId="11">
      <calculatedColumnFormula>SUM(ResearchInput[[#This Row],[Fed.Comp]],ResearchInput[[#This Row],[Fed.Eng]],ResearchInput[[#This Row],[Fed.Geo]],ResearchInput[[#This Row],[Fed.Life]],ResearchInput[[#This Row],[Fed.Math]],ResearchInput[[#This Row],[Fed.Phys]],ResearchInput[[#This Row],[Fed.Psyc]],ResearchInput[[#This Row],[Fed.Soc]],ResearchInput[[#This Row],[Fed.Othr]],ResearchInput[[#This Row],[Fed.Non]])</calculatedColumnFormula>
    </tableColumn>
    <tableColumn id="193" xr3:uid="{55451F83-B46C-4C0E-8F9E-0A6F206B6110}" name="T.St" dataDxfId="10">
      <calculatedColumnFormula>SUM(ResearchInput[[#This Row],[St.Comp]],ResearchInput[[#This Row],[St.Eng]],ResearchInput[[#This Row],[St.Geo]],ResearchInput[[#This Row],[St.Life]],ResearchInput[[#This Row],[St.Math]],ResearchInput[[#This Row],[St.Phys]],ResearchInput[[#This Row],[St.Psyc]],ResearchInput[[#This Row],[St.Soc]],ResearchInput[[#This Row],[St.Othr]],ResearchInput[[#This Row],[St.Non]])</calculatedColumnFormula>
    </tableColumn>
    <tableColumn id="194" xr3:uid="{DFAF4297-8CDB-4C5F-9EBC-824F7F2DB1EC}" name="T.St.C&amp;G" dataDxfId="9">
      <calculatedColumnFormula>SUM(ResearchInput[[#This Row],[St.C&amp;G.Comp]],ResearchInput[[#This Row],[St.C&amp;G.Eng]],ResearchInput[[#This Row],[St.C&amp;G.Geo]],ResearchInput[[#This Row],[St.C&amp;G.Life]],ResearchInput[[#This Row],[St.C&amp;G.Math]],ResearchInput[[#This Row],[St.C&amp;G.Phys]],ResearchInput[[#This Row],[St.C&amp;G.Psyc]],ResearchInput[[#This Row],[St.C&amp;G.Soc]],ResearchInput[[#This Row],[St.C&amp;G.Othr]],ResearchInput[[#This Row],[St.C&amp;G.Non]])</calculatedColumnFormula>
    </tableColumn>
    <tableColumn id="195" xr3:uid="{6B5866AF-FA55-4D5A-B958-07CD32A35406}" name="T.St.All" dataDxfId="8">
      <calculatedColumnFormula>SUM(ResearchInput[[#This Row],[St.All.Comp]],ResearchInput[[#This Row],[St.All.Eng]],ResearchInput[[#This Row],[St.All.Geo]],ResearchInput[[#This Row],[St.All.Life]],ResearchInput[[#This Row],[St.All.Math]],ResearchInput[[#This Row],[St.All.Phys]],ResearchInput[[#This Row],[St.All.Psyc]],ResearchInput[[#This Row],[St.All.Soc]],ResearchInput[[#This Row],[St.All.Othr]],ResearchInput[[#This Row],[St.All.Non]])</calculatedColumnFormula>
    </tableColumn>
    <tableColumn id="196" xr3:uid="{A25E5D0B-B353-42E1-AC6D-26E993ECA377}" name="T.Inst" dataDxfId="7">
      <calculatedColumnFormula>SUM(ResearchInput[[#This Row],[Inst.Comp]],ResearchInput[[#This Row],[Inst.Eng]],ResearchInput[[#This Row],[Inst.Geo]],ResearchInput[[#This Row],[Inst.Life]],ResearchInput[[#This Row],[Inst.Math]],ResearchInput[[#This Row],[Inst.Phys]],ResearchInput[[#This Row],[Inst.Psyc]],ResearchInput[[#This Row],[Inst.Soc]],ResearchInput[[#This Row],[Inst.Othr]],ResearchInput[[#This Row],[Inst.Non]])</calculatedColumnFormula>
    </tableColumn>
    <tableColumn id="197" xr3:uid="{48BD6A10-F090-4DFD-9EDF-0A24F3988A26}" name="T.P4P" dataDxfId="6">
      <calculatedColumnFormula>SUM(ResearchInput[[#This Row],[P4P.Comp]],ResearchInput[[#This Row],[P4P.Eng]],ResearchInput[[#This Row],[P4P.Geo]],ResearchInput[[#This Row],[P4P.Life]],ResearchInput[[#This Row],[P4P.Math]],ResearchInput[[#This Row],[P4P.Phys]],ResearchInput[[#This Row],[P4P.Psyc]],ResearchInput[[#This Row],[P4P.Soc]],ResearchInput[[#This Row],[P4P.Othr]],ResearchInput[[#This Row],[P4P.Non]])</calculatedColumnFormula>
    </tableColumn>
    <tableColumn id="198" xr3:uid="{A86DB49F-6118-4A80-8B62-F407A57D6706}" name="T.PNP" dataDxfId="5">
      <calculatedColumnFormula>SUM(ResearchInput[[#This Row],[PNP.Comp]],ResearchInput[[#This Row],[PNP.Eng]],ResearchInput[[#This Row],[PNP.Geo]],ResearchInput[[#This Row],[PNP.Life]],ResearchInput[[#This Row],[PNP.Math]],ResearchInput[[#This Row],[PNP.Phys]],ResearchInput[[#This Row],[PNP.Psyc]],ResearchInput[[#This Row],[PNP.Soc]],ResearchInput[[#This Row],[PNP.Othr]],ResearchInput[[#This Row],[PNP.Non]])</calculatedColumnFormula>
    </tableColumn>
    <tableColumn id="199" xr3:uid="{CE5DFF44-63E0-41F7-94EF-DE7DC2CE2552}" name="T.P.All" dataDxfId="4">
      <calculatedColumnFormula>SUM(ResearchInput[[#This Row],[P.All.Comp]],ResearchInput[[#This Row],[P.All.Eng]],ResearchInput[[#This Row],[P.All.Geo]],ResearchInput[[#This Row],[P.All.Life]],ResearchInput[[#This Row],[P.All.Math]],ResearchInput[[#This Row],[P.All.Phys]],ResearchInput[[#This Row],[P.All.Psyc]],ResearchInput[[#This Row],[P.All.Soc]],ResearchInput[[#This Row],[P.All.Othr]],ResearchInput[[#This Row],[P.All.Non]])</calculatedColumnFormula>
    </tableColumn>
  </tableColumns>
  <tableStyleInfo name="Input" showFirstColumn="0" showLastColumn="0" showRowStripes="1" showColumnStripes="0"/>
</table>
</file>

<file path=xl/theme/theme1.xml><?xml version="1.0" encoding="utf-8"?>
<a:theme xmlns:a="http://schemas.openxmlformats.org/drawingml/2006/main" name="Theme2">
  <a:themeElements>
    <a:clrScheme name="Branding">
      <a:dk1>
        <a:sysClr val="windowText" lastClr="000000"/>
      </a:dk1>
      <a:lt1>
        <a:sysClr val="window" lastClr="FFFFFF"/>
      </a:lt1>
      <a:dk2>
        <a:srgbClr val="323232"/>
      </a:dk2>
      <a:lt2>
        <a:srgbClr val="E3DED1"/>
      </a:lt2>
      <a:accent1>
        <a:srgbClr val="003E52"/>
      </a:accent1>
      <a:accent2>
        <a:srgbClr val="007DA4"/>
      </a:accent2>
      <a:accent3>
        <a:srgbClr val="87D1E6"/>
      </a:accent3>
      <a:accent4>
        <a:srgbClr val="F4B223"/>
      </a:accent4>
      <a:accent5>
        <a:srgbClr val="F6DFA4"/>
      </a:accent5>
      <a:accent6>
        <a:srgbClr val="FFFFFF"/>
      </a:accent6>
      <a:hlink>
        <a:srgbClr val="0000FF"/>
      </a:hlink>
      <a:folHlink>
        <a:srgbClr val="0000FF"/>
      </a:folHlink>
    </a:clrScheme>
    <a:fontScheme name="Georgia">
      <a:majorFont>
        <a:latin typeface="Georgia Pro Black"/>
        <a:ea typeface=""/>
        <a:cs typeface=""/>
      </a:majorFont>
      <a:minorFont>
        <a:latin typeface="Georgia Pro"/>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drawing" Target="../drawings/drawing10.xml"/><Relationship Id="rId4" Type="http://schemas.openxmlformats.org/officeDocument/2006/relationships/table" Target="../tables/table4.xml"/></Relationships>
</file>

<file path=xl/worksheets/_rels/sheet11.xml.rels><?xml version="1.0" encoding="UTF-8" standalone="yes"?>
<Relationships xmlns="http://schemas.openxmlformats.org/package/2006/relationships"><Relationship Id="rId1" Type="http://schemas.openxmlformats.org/officeDocument/2006/relationships/table" Target="../tables/table5.xml"/></Relationships>
</file>

<file path=xl/worksheets/_rels/sheet12.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8" Type="http://schemas.openxmlformats.org/officeDocument/2006/relationships/hyperlink" Target="https://www.ecfr.gov/current/title-2/part-200/section-200.1" TargetMode="External"/><Relationship Id="rId3" Type="http://schemas.openxmlformats.org/officeDocument/2006/relationships/hyperlink" Target="https://www.nsf.gov/statistics/srvyherd/" TargetMode="External"/><Relationship Id="rId7" Type="http://schemas.openxmlformats.org/officeDocument/2006/relationships/hyperlink" Target="https://www.ecfr.gov/current/title-2/part-200/section-200.1" TargetMode="External"/><Relationship Id="rId2" Type="http://schemas.openxmlformats.org/officeDocument/2006/relationships/hyperlink" Target="https://www.ecfr.gov/current/title-2/part-200/section-200.1" TargetMode="External"/><Relationship Id="rId1" Type="http://schemas.openxmlformats.org/officeDocument/2006/relationships/hyperlink" Target="https://www.ecfr.gov/current/title-2/part-200/section-200.1" TargetMode="External"/><Relationship Id="rId6" Type="http://schemas.openxmlformats.org/officeDocument/2006/relationships/hyperlink" Target="https://statutes.capitol.texas.gov/Docs/ED/htm/ED.61.htm" TargetMode="External"/><Relationship Id="rId11" Type="http://schemas.openxmlformats.org/officeDocument/2006/relationships/drawing" Target="../drawings/drawing3.xml"/><Relationship Id="rId5" Type="http://schemas.openxmlformats.org/officeDocument/2006/relationships/hyperlink" Target="https://www.highered.texas.gov/our-work/supporting-our-institutions/institutional-funding-resources/sources-and-uses/" TargetMode="External"/><Relationship Id="rId10" Type="http://schemas.openxmlformats.org/officeDocument/2006/relationships/printerSettings" Target="../printerSettings/printerSettings2.bin"/><Relationship Id="rId4" Type="http://schemas.openxmlformats.org/officeDocument/2006/relationships/hyperlink" Target="https://www.nacubo.org/" TargetMode="External"/><Relationship Id="rId9" Type="http://schemas.openxmlformats.org/officeDocument/2006/relationships/hyperlink" Target="https://texas-sos.appianportalsgov.com/rules-and-meetings?chapter=13&amp;interface=VIEW_TAC&amp;part=1&amp;subchapter=M&amp;title=19" TargetMode="Externa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3.bin"/><Relationship Id="rId1" Type="http://schemas.openxmlformats.org/officeDocument/2006/relationships/hyperlink" Target="https://reportcenter.highered.texas.gov/agency-publication/almanac/" TargetMode="Externa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ECD673-3387-4DEA-8A48-061505D0AF7C}">
  <sheetPr codeName="Sheet13"/>
  <dimension ref="A1:BH34"/>
  <sheetViews>
    <sheetView tabSelected="1" zoomScale="80" zoomScaleNormal="80" workbookViewId="0">
      <selection activeCell="H3" sqref="H3:AC3"/>
    </sheetView>
  </sheetViews>
  <sheetFormatPr defaultRowHeight="13.8" x14ac:dyDescent="0.25"/>
  <cols>
    <col min="1" max="8" width="6.6328125" style="44" customWidth="1"/>
    <col min="9" max="9" width="6.81640625" style="44" customWidth="1"/>
    <col min="10" max="25" width="6.6328125" style="44" customWidth="1"/>
    <col min="26" max="60" width="6.6328125" customWidth="1"/>
  </cols>
  <sheetData>
    <row r="1" spans="1:60" ht="30" customHeight="1" x14ac:dyDescent="0.25">
      <c r="A1" s="46"/>
      <c r="B1" s="46"/>
      <c r="C1" s="46"/>
      <c r="D1" s="46"/>
      <c r="E1" s="46"/>
      <c r="F1" s="46"/>
      <c r="G1" s="46"/>
      <c r="H1" s="190" t="s">
        <v>957</v>
      </c>
      <c r="I1" s="190"/>
      <c r="J1" s="190"/>
      <c r="K1" s="190"/>
      <c r="L1" s="190"/>
      <c r="M1" s="190"/>
      <c r="N1" s="190"/>
      <c r="O1" s="190"/>
      <c r="P1" s="190"/>
      <c r="Q1" s="190"/>
      <c r="R1" s="190"/>
      <c r="S1" s="190"/>
      <c r="T1" s="190"/>
      <c r="U1" s="190"/>
      <c r="V1" s="190"/>
      <c r="W1" s="190"/>
      <c r="X1" s="190"/>
      <c r="Y1" s="190"/>
      <c r="Z1" s="190"/>
      <c r="AA1" s="190"/>
      <c r="AB1" s="190"/>
      <c r="AC1" s="190"/>
      <c r="AD1" s="49"/>
      <c r="AE1" s="49"/>
      <c r="AF1" s="49"/>
      <c r="AG1" s="49"/>
      <c r="AH1" s="49"/>
      <c r="AI1" s="49"/>
      <c r="AJ1" s="49"/>
      <c r="AK1" s="49"/>
      <c r="AL1" s="49"/>
      <c r="AM1" s="49"/>
      <c r="AN1" s="49"/>
      <c r="AO1" s="49"/>
      <c r="AP1" s="49"/>
      <c r="AQ1" s="49"/>
      <c r="AR1" s="49"/>
      <c r="AS1" s="49"/>
      <c r="AT1" s="49"/>
      <c r="AU1" s="49"/>
      <c r="AV1" s="49"/>
      <c r="AW1" s="49"/>
      <c r="AX1" s="49"/>
      <c r="AY1" s="49"/>
      <c r="AZ1" s="49"/>
      <c r="BA1" s="49"/>
      <c r="BB1" s="49"/>
      <c r="BC1" s="49"/>
      <c r="BD1" s="49"/>
      <c r="BE1" s="49"/>
      <c r="BF1" s="49"/>
      <c r="BG1" s="49"/>
      <c r="BH1" s="49"/>
    </row>
    <row r="2" spans="1:60" ht="30" customHeight="1" x14ac:dyDescent="0.25">
      <c r="A2" s="46"/>
      <c r="B2" s="46"/>
      <c r="C2" s="46"/>
      <c r="D2" s="46"/>
      <c r="E2" s="46"/>
      <c r="F2" s="46"/>
      <c r="G2" s="46"/>
      <c r="H2" s="191"/>
      <c r="I2" s="191"/>
      <c r="J2" s="191"/>
      <c r="K2" s="191"/>
      <c r="L2" s="191"/>
      <c r="M2" s="191"/>
      <c r="N2" s="191"/>
      <c r="O2" s="191"/>
      <c r="P2" s="191"/>
      <c r="Q2" s="191"/>
      <c r="R2" s="191"/>
      <c r="S2" s="191"/>
      <c r="T2" s="191"/>
      <c r="U2" s="191"/>
      <c r="V2" s="191"/>
      <c r="W2" s="191"/>
      <c r="X2" s="191"/>
      <c r="Y2" s="191"/>
      <c r="Z2" s="191"/>
      <c r="AA2" s="191"/>
      <c r="AB2" s="191"/>
      <c r="AC2" s="191"/>
      <c r="AD2" s="49"/>
      <c r="AE2" s="49"/>
      <c r="AF2" s="49"/>
      <c r="AG2" s="49"/>
      <c r="AH2" s="49"/>
      <c r="AI2" s="49"/>
      <c r="AJ2" s="49"/>
      <c r="AK2" s="49"/>
      <c r="AL2" s="49"/>
      <c r="AM2" s="49"/>
      <c r="AN2" s="49"/>
      <c r="AO2" s="49"/>
      <c r="AP2" s="49"/>
      <c r="AQ2" s="49"/>
      <c r="AR2" s="49"/>
      <c r="AS2" s="49"/>
      <c r="AT2" s="49"/>
      <c r="AU2" s="49"/>
      <c r="AV2" s="49"/>
      <c r="AW2" s="49"/>
      <c r="AX2" s="49"/>
      <c r="AY2" s="49"/>
      <c r="AZ2" s="49"/>
      <c r="BA2" s="49"/>
      <c r="BB2" s="49"/>
      <c r="BC2" s="49"/>
      <c r="BD2" s="49"/>
      <c r="BE2" s="49"/>
      <c r="BF2" s="49"/>
      <c r="BG2" s="49"/>
      <c r="BH2" s="49"/>
    </row>
    <row r="3" spans="1:60" ht="30" customHeight="1" x14ac:dyDescent="0.25">
      <c r="A3" s="46"/>
      <c r="B3" s="46"/>
      <c r="C3" s="46"/>
      <c r="D3" s="46"/>
      <c r="E3" s="46"/>
      <c r="F3" s="46"/>
      <c r="G3" s="46"/>
      <c r="H3" s="192" t="s">
        <v>233</v>
      </c>
      <c r="I3" s="192"/>
      <c r="J3" s="192"/>
      <c r="K3" s="192"/>
      <c r="L3" s="192"/>
      <c r="M3" s="192"/>
      <c r="N3" s="192"/>
      <c r="O3" s="192"/>
      <c r="P3" s="192"/>
      <c r="Q3" s="192"/>
      <c r="R3" s="192"/>
      <c r="S3" s="192"/>
      <c r="T3" s="192"/>
      <c r="U3" s="192"/>
      <c r="V3" s="192"/>
      <c r="W3" s="192"/>
      <c r="X3" s="192"/>
      <c r="Y3" s="192"/>
      <c r="Z3" s="192"/>
      <c r="AA3" s="192"/>
      <c r="AB3" s="192"/>
      <c r="AC3" s="192"/>
      <c r="AD3" s="49"/>
      <c r="AE3" s="49"/>
      <c r="AF3" s="49"/>
      <c r="AG3" s="49"/>
      <c r="AH3" s="49"/>
      <c r="AI3" s="49"/>
      <c r="AJ3" s="49"/>
      <c r="AK3" s="49"/>
      <c r="AL3" s="49"/>
      <c r="AM3" s="49"/>
      <c r="AN3" s="49"/>
      <c r="AO3" s="49"/>
      <c r="AP3" s="49"/>
      <c r="AQ3" s="49"/>
      <c r="AR3" s="49"/>
      <c r="AS3" s="49"/>
      <c r="AT3" s="49"/>
      <c r="AU3" s="49"/>
      <c r="AV3" s="49"/>
      <c r="AW3" s="49"/>
      <c r="AX3" s="49"/>
      <c r="AY3" s="49"/>
      <c r="AZ3" s="49"/>
      <c r="BA3" s="49"/>
      <c r="BB3" s="49"/>
      <c r="BC3" s="49"/>
      <c r="BD3" s="49"/>
      <c r="BE3" s="49"/>
      <c r="BF3" s="49"/>
      <c r="BG3" s="49"/>
      <c r="BH3" s="49"/>
    </row>
    <row r="4" spans="1:60" ht="30" customHeight="1" x14ac:dyDescent="0.25">
      <c r="A4" s="46"/>
      <c r="B4" s="46"/>
      <c r="C4" s="46"/>
      <c r="D4" s="46"/>
      <c r="E4" s="46"/>
      <c r="F4" s="46"/>
      <c r="G4" s="46"/>
      <c r="H4" s="193" t="s">
        <v>1011</v>
      </c>
      <c r="I4" s="194"/>
      <c r="J4" s="194"/>
      <c r="K4" s="194"/>
      <c r="L4" s="194"/>
      <c r="M4" s="194"/>
      <c r="N4" s="194"/>
      <c r="O4" s="194"/>
      <c r="P4" s="194"/>
      <c r="Q4" s="194"/>
      <c r="R4" s="194"/>
      <c r="S4" s="194"/>
      <c r="T4" s="194"/>
      <c r="U4" s="194"/>
      <c r="V4" s="194"/>
      <c r="W4" s="194"/>
      <c r="X4" s="194"/>
      <c r="Y4" s="194"/>
      <c r="Z4" s="194"/>
      <c r="AA4" s="194"/>
      <c r="AB4" s="194"/>
      <c r="AC4" s="194"/>
      <c r="AD4" s="49"/>
      <c r="AE4" s="49"/>
      <c r="AF4" s="49"/>
      <c r="AG4" s="49"/>
      <c r="AH4" s="49"/>
      <c r="AI4" s="49"/>
      <c r="AJ4" s="49"/>
      <c r="AK4" s="49"/>
      <c r="AL4" s="49"/>
      <c r="AM4" s="49"/>
      <c r="AN4" s="49"/>
      <c r="AO4" s="49"/>
      <c r="AP4" s="49"/>
      <c r="AQ4" s="49"/>
      <c r="AR4" s="49"/>
      <c r="AS4" s="49"/>
      <c r="AT4" s="49"/>
      <c r="AU4" s="49"/>
      <c r="AV4" s="49"/>
      <c r="AW4" s="49"/>
      <c r="AX4" s="49"/>
      <c r="AY4" s="49"/>
      <c r="AZ4" s="49"/>
      <c r="BA4" s="49"/>
      <c r="BB4" s="49"/>
      <c r="BC4" s="49"/>
      <c r="BD4" s="49"/>
      <c r="BE4" s="49"/>
      <c r="BF4" s="49"/>
      <c r="BG4" s="49"/>
      <c r="BH4" s="49"/>
    </row>
    <row r="5" spans="1:60" ht="30" customHeight="1" x14ac:dyDescent="0.25">
      <c r="A5" s="46"/>
      <c r="B5" s="46"/>
      <c r="C5" s="46"/>
      <c r="D5" s="46"/>
      <c r="E5" s="46"/>
      <c r="F5" s="46"/>
      <c r="G5" s="46"/>
      <c r="H5" s="46"/>
      <c r="I5" s="46"/>
      <c r="J5" s="46"/>
      <c r="K5" s="46"/>
      <c r="L5" s="46"/>
      <c r="M5" s="46"/>
      <c r="N5" s="46"/>
      <c r="O5" s="46"/>
      <c r="P5" s="46"/>
      <c r="Q5" s="46"/>
      <c r="R5" s="46"/>
      <c r="S5" s="46"/>
      <c r="T5" s="46"/>
      <c r="U5" s="46"/>
      <c r="V5" s="46"/>
      <c r="W5" s="46"/>
      <c r="X5" s="46"/>
      <c r="Y5" s="46"/>
      <c r="Z5" s="49"/>
      <c r="AA5" s="49"/>
      <c r="AB5" s="49"/>
      <c r="AC5" s="49"/>
      <c r="AD5" s="49"/>
      <c r="AE5" s="49"/>
      <c r="AF5" s="49"/>
      <c r="AG5" s="49"/>
      <c r="AH5" s="49"/>
      <c r="AI5" s="49"/>
      <c r="AJ5" s="49"/>
      <c r="AK5" s="49"/>
      <c r="AL5" s="49"/>
      <c r="AM5" s="49"/>
      <c r="AN5" s="49"/>
      <c r="AO5" s="49"/>
      <c r="AP5" s="49"/>
      <c r="AQ5" s="49"/>
      <c r="AR5" s="49"/>
      <c r="AS5" s="49"/>
      <c r="AT5" s="49"/>
      <c r="AU5" s="49"/>
      <c r="AV5" s="49"/>
      <c r="AW5" s="49"/>
      <c r="AX5" s="49"/>
      <c r="AY5" s="49"/>
      <c r="AZ5" s="49"/>
      <c r="BA5" s="49"/>
      <c r="BB5" s="49"/>
      <c r="BC5" s="49"/>
      <c r="BD5" s="49"/>
      <c r="BE5" s="49"/>
      <c r="BF5" s="49"/>
      <c r="BG5" s="49"/>
      <c r="BH5" s="49"/>
    </row>
    <row r="6" spans="1:60" ht="30" customHeight="1" x14ac:dyDescent="0.25">
      <c r="A6" s="46"/>
      <c r="B6" s="46"/>
      <c r="C6" s="46"/>
      <c r="D6" s="46"/>
      <c r="E6" s="46"/>
      <c r="F6" s="46"/>
      <c r="G6" s="46"/>
      <c r="H6" s="187" t="s">
        <v>958</v>
      </c>
      <c r="I6" s="188"/>
      <c r="J6" s="188"/>
      <c r="K6" s="188"/>
      <c r="L6" s="188"/>
      <c r="M6" s="188"/>
      <c r="N6" s="188"/>
      <c r="O6" s="188"/>
      <c r="P6" s="188"/>
      <c r="Q6" s="188"/>
      <c r="R6" s="188"/>
      <c r="S6" s="188"/>
      <c r="T6" s="188"/>
      <c r="U6" s="188"/>
      <c r="V6" s="188"/>
      <c r="W6" s="188"/>
      <c r="X6" s="188"/>
      <c r="Y6" s="188"/>
      <c r="Z6" s="188"/>
      <c r="AA6" s="188"/>
      <c r="AB6" s="188"/>
      <c r="AC6" s="189"/>
      <c r="AD6" s="49"/>
      <c r="AE6" s="49"/>
      <c r="AF6" s="49"/>
      <c r="AG6" s="49"/>
      <c r="AH6" s="49" t="s">
        <v>932</v>
      </c>
      <c r="AI6" s="49"/>
      <c r="AJ6" s="49"/>
      <c r="AK6" s="49"/>
      <c r="AL6" s="49"/>
      <c r="AM6" s="49"/>
      <c r="AN6" s="49"/>
      <c r="AO6" s="49"/>
      <c r="AP6" s="49"/>
      <c r="AQ6" s="49"/>
      <c r="AR6" s="49"/>
      <c r="AS6" s="49"/>
      <c r="AT6" s="49"/>
      <c r="AU6" s="49"/>
      <c r="AV6" s="49"/>
      <c r="AW6" s="49"/>
      <c r="AX6" s="49"/>
      <c r="AY6" s="49"/>
      <c r="AZ6" s="49"/>
      <c r="BA6" s="49"/>
      <c r="BB6" s="49"/>
      <c r="BC6" s="49"/>
      <c r="BD6" s="49"/>
      <c r="BE6" s="49"/>
      <c r="BF6" s="49"/>
      <c r="BG6" s="49"/>
      <c r="BH6" s="49"/>
    </row>
    <row r="7" spans="1:60" ht="30" customHeight="1" x14ac:dyDescent="0.25">
      <c r="A7" s="46"/>
      <c r="B7" s="46"/>
      <c r="C7" s="46"/>
      <c r="D7" s="46"/>
      <c r="E7" s="46"/>
      <c r="F7" s="46"/>
      <c r="G7" s="46"/>
      <c r="H7" s="195" t="s">
        <v>1002</v>
      </c>
      <c r="I7" s="195"/>
      <c r="J7" s="195"/>
      <c r="K7" s="195"/>
      <c r="L7" s="195"/>
      <c r="M7" s="195"/>
      <c r="N7" s="195"/>
      <c r="O7" s="195"/>
      <c r="P7" s="195"/>
      <c r="Q7" s="195"/>
      <c r="R7" s="195"/>
      <c r="S7" s="195"/>
      <c r="T7" s="195"/>
      <c r="U7" s="195"/>
      <c r="V7" s="195"/>
      <c r="W7" s="195"/>
      <c r="X7" s="195"/>
      <c r="Y7" s="195"/>
      <c r="Z7" s="195"/>
      <c r="AA7" s="195"/>
      <c r="AB7" s="195"/>
      <c r="AC7" s="175"/>
      <c r="AD7" s="49"/>
      <c r="AE7" s="49"/>
      <c r="AF7" s="49"/>
      <c r="AG7" s="49"/>
      <c r="AH7" s="49"/>
      <c r="AI7" s="49"/>
      <c r="AJ7" s="49"/>
      <c r="AK7" s="49"/>
      <c r="AL7" s="49"/>
      <c r="AM7" s="49"/>
      <c r="AN7" s="49"/>
      <c r="AO7" s="49"/>
      <c r="AP7" s="49"/>
      <c r="AQ7" s="49"/>
      <c r="AR7" s="49"/>
      <c r="AS7" s="49"/>
      <c r="AT7" s="49"/>
      <c r="AU7" s="49"/>
      <c r="AV7" s="49"/>
      <c r="AW7" s="49"/>
      <c r="AX7" s="49"/>
      <c r="AY7" s="49"/>
      <c r="AZ7" s="49"/>
      <c r="BA7" s="49"/>
      <c r="BB7" s="49"/>
      <c r="BC7" s="49"/>
      <c r="BD7" s="49"/>
      <c r="BE7" s="49"/>
      <c r="BF7" s="49"/>
      <c r="BG7" s="49"/>
      <c r="BH7" s="49"/>
    </row>
    <row r="8" spans="1:60" ht="30" customHeight="1" x14ac:dyDescent="0.25">
      <c r="A8" s="46"/>
      <c r="B8" s="46"/>
      <c r="C8" s="46"/>
      <c r="D8" s="46"/>
      <c r="E8" s="46"/>
      <c r="F8" s="46"/>
      <c r="G8" s="46"/>
      <c r="H8" s="187" t="s">
        <v>961</v>
      </c>
      <c r="I8" s="188"/>
      <c r="J8" s="188"/>
      <c r="K8" s="188"/>
      <c r="L8" s="188"/>
      <c r="M8" s="188"/>
      <c r="N8" s="188"/>
      <c r="O8" s="188"/>
      <c r="P8" s="188"/>
      <c r="Q8" s="188"/>
      <c r="R8" s="188"/>
      <c r="S8" s="188"/>
      <c r="T8" s="188"/>
      <c r="U8" s="188"/>
      <c r="V8" s="188"/>
      <c r="W8" s="188"/>
      <c r="X8" s="188"/>
      <c r="Y8" s="188"/>
      <c r="Z8" s="188"/>
      <c r="AA8" s="188"/>
      <c r="AB8" s="188"/>
      <c r="AC8" s="189"/>
      <c r="AD8" s="49"/>
      <c r="AE8" s="49"/>
      <c r="AF8" s="49"/>
      <c r="AG8" s="49"/>
      <c r="AH8" s="49"/>
      <c r="AI8" s="49"/>
      <c r="AJ8" s="49"/>
      <c r="AK8" s="49"/>
      <c r="AL8" s="49"/>
      <c r="AM8" s="49"/>
      <c r="AN8" s="49"/>
      <c r="AO8" s="49"/>
      <c r="AP8" s="49"/>
      <c r="AQ8" s="49"/>
      <c r="AR8" s="49"/>
      <c r="AS8" s="49"/>
      <c r="AT8" s="49"/>
      <c r="AU8" s="49"/>
      <c r="AV8" s="49"/>
      <c r="AW8" s="49"/>
      <c r="AX8" s="49"/>
      <c r="AY8" s="49"/>
      <c r="AZ8" s="49"/>
      <c r="BA8" s="49"/>
      <c r="BB8" s="49"/>
      <c r="BC8" s="49"/>
      <c r="BD8" s="49"/>
      <c r="BE8" s="49"/>
      <c r="BF8" s="49"/>
      <c r="BG8" s="49"/>
      <c r="BH8" s="49"/>
    </row>
    <row r="9" spans="1:60" ht="30" customHeight="1" x14ac:dyDescent="0.25">
      <c r="A9" s="46"/>
      <c r="B9" s="46"/>
      <c r="C9" s="46"/>
      <c r="D9" s="46"/>
      <c r="E9" s="46"/>
      <c r="F9" s="46"/>
      <c r="G9" s="46"/>
      <c r="H9" s="196" t="s">
        <v>1007</v>
      </c>
      <c r="I9" s="196"/>
      <c r="J9" s="196"/>
      <c r="K9" s="196"/>
      <c r="L9" s="196"/>
      <c r="M9" s="196"/>
      <c r="N9" s="196"/>
      <c r="O9" s="196"/>
      <c r="P9" s="196"/>
      <c r="Q9" s="196"/>
      <c r="R9" s="196"/>
      <c r="S9" s="196"/>
      <c r="T9" s="196"/>
      <c r="U9" s="196"/>
      <c r="V9" s="196"/>
      <c r="W9" s="196"/>
      <c r="X9" s="196"/>
      <c r="Y9" s="196"/>
      <c r="Z9" s="196"/>
      <c r="AA9" s="196"/>
      <c r="AB9" s="196"/>
      <c r="AC9" s="198"/>
      <c r="AD9" s="49"/>
      <c r="AE9" s="49"/>
      <c r="AF9" s="49"/>
      <c r="AG9" s="49"/>
      <c r="AH9" s="49"/>
      <c r="AI9" s="49"/>
      <c r="AJ9" s="49"/>
      <c r="AK9" s="49"/>
      <c r="AL9" s="49"/>
      <c r="AM9" s="49"/>
      <c r="AN9" s="49"/>
      <c r="AO9" s="49"/>
      <c r="AP9" s="49"/>
      <c r="AQ9" s="49"/>
      <c r="AR9" s="49"/>
      <c r="AS9" s="49"/>
      <c r="AT9" s="49"/>
      <c r="AU9" s="49"/>
      <c r="AV9" s="49"/>
      <c r="AW9" s="49"/>
      <c r="AX9" s="49"/>
      <c r="AY9" s="49"/>
      <c r="AZ9" s="49"/>
      <c r="BA9" s="49"/>
      <c r="BB9" s="49"/>
      <c r="BC9" s="49"/>
      <c r="BD9" s="49"/>
      <c r="BE9" s="49"/>
      <c r="BF9" s="49"/>
      <c r="BG9" s="49"/>
      <c r="BH9" s="49"/>
    </row>
    <row r="10" spans="1:60" ht="30" customHeight="1" x14ac:dyDescent="0.25">
      <c r="A10" s="46"/>
      <c r="B10" s="46"/>
      <c r="C10" s="46"/>
      <c r="D10" s="46"/>
      <c r="E10" s="46"/>
      <c r="F10" s="46"/>
      <c r="G10" s="46"/>
      <c r="H10" s="197"/>
      <c r="I10" s="197"/>
      <c r="J10" s="197"/>
      <c r="K10" s="197"/>
      <c r="L10" s="197"/>
      <c r="M10" s="197"/>
      <c r="N10" s="197"/>
      <c r="O10" s="197"/>
      <c r="P10" s="197"/>
      <c r="Q10" s="197"/>
      <c r="R10" s="197"/>
      <c r="S10" s="197"/>
      <c r="T10" s="197"/>
      <c r="U10" s="197"/>
      <c r="V10" s="197"/>
      <c r="W10" s="197"/>
      <c r="X10" s="197"/>
      <c r="Y10" s="197"/>
      <c r="Z10" s="197"/>
      <c r="AA10" s="197"/>
      <c r="AB10" s="197"/>
      <c r="AC10" s="199"/>
      <c r="AD10" s="49"/>
      <c r="AE10" s="49"/>
      <c r="AF10" s="49"/>
      <c r="AG10" s="49"/>
      <c r="AH10" s="49"/>
      <c r="AI10" s="49"/>
      <c r="AJ10" s="49"/>
      <c r="AK10" s="49"/>
      <c r="AL10" s="49"/>
      <c r="AM10" s="49"/>
      <c r="AN10" s="49"/>
      <c r="AO10" s="49"/>
      <c r="AP10" s="49"/>
      <c r="AQ10" s="49"/>
      <c r="AR10" s="49"/>
      <c r="AS10" s="49"/>
      <c r="AT10" s="49"/>
      <c r="AU10" s="49"/>
      <c r="AV10" s="49"/>
      <c r="AW10" s="49"/>
      <c r="AX10" s="49"/>
      <c r="AY10" s="49"/>
      <c r="AZ10" s="49"/>
      <c r="BA10" s="49"/>
      <c r="BB10" s="49"/>
      <c r="BC10" s="49"/>
      <c r="BD10" s="49"/>
      <c r="BE10" s="49"/>
      <c r="BF10" s="49"/>
      <c r="BG10" s="49"/>
      <c r="BH10" s="49"/>
    </row>
    <row r="11" spans="1:60" ht="30" customHeight="1" x14ac:dyDescent="0.25">
      <c r="A11" s="46"/>
      <c r="B11" s="46"/>
      <c r="C11" s="46"/>
      <c r="D11" s="46"/>
      <c r="E11" s="46"/>
      <c r="F11" s="46"/>
      <c r="G11" s="46"/>
      <c r="H11" s="187" t="s">
        <v>962</v>
      </c>
      <c r="I11" s="188"/>
      <c r="J11" s="188"/>
      <c r="K11" s="188"/>
      <c r="L11" s="188"/>
      <c r="M11" s="188"/>
      <c r="N11" s="188"/>
      <c r="O11" s="188"/>
      <c r="P11" s="188"/>
      <c r="Q11" s="188"/>
      <c r="R11" s="188"/>
      <c r="S11" s="188"/>
      <c r="T11" s="188"/>
      <c r="U11" s="188"/>
      <c r="V11" s="188"/>
      <c r="W11" s="188"/>
      <c r="X11" s="188"/>
      <c r="Y11" s="188"/>
      <c r="Z11" s="188"/>
      <c r="AA11" s="188"/>
      <c r="AB11" s="188"/>
      <c r="AC11" s="189"/>
      <c r="AD11" s="49"/>
      <c r="AE11" s="49"/>
      <c r="AF11" s="49"/>
      <c r="AG11" s="49"/>
      <c r="AH11" s="49"/>
      <c r="AI11" s="49"/>
      <c r="AJ11" s="49"/>
      <c r="AK11" s="49"/>
      <c r="AL11" s="49"/>
      <c r="AM11" s="49"/>
      <c r="AN11" s="49"/>
      <c r="AO11" s="49"/>
      <c r="AP11" s="49"/>
      <c r="AQ11" s="49"/>
      <c r="AR11" s="49"/>
      <c r="AS11" s="49"/>
      <c r="AT11" s="49"/>
      <c r="AU11" s="49"/>
      <c r="AV11" s="49"/>
      <c r="AW11" s="49"/>
      <c r="AX11" s="49"/>
      <c r="AY11" s="49"/>
      <c r="AZ11" s="49"/>
      <c r="BA11" s="49"/>
      <c r="BB11" s="49"/>
      <c r="BC11" s="49"/>
      <c r="BD11" s="49"/>
      <c r="BE11" s="49"/>
      <c r="BF11" s="49"/>
      <c r="BG11" s="49"/>
      <c r="BH11" s="49"/>
    </row>
    <row r="12" spans="1:60" ht="30" customHeight="1" x14ac:dyDescent="0.25">
      <c r="A12" s="46"/>
      <c r="B12" s="46"/>
      <c r="C12" s="46"/>
      <c r="D12" s="46"/>
      <c r="E12" s="46"/>
      <c r="F12" s="46"/>
      <c r="G12" s="46"/>
      <c r="H12" s="196" t="s">
        <v>1003</v>
      </c>
      <c r="I12" s="196"/>
      <c r="J12" s="196"/>
      <c r="K12" s="196"/>
      <c r="L12" s="196"/>
      <c r="M12" s="196"/>
      <c r="N12" s="196"/>
      <c r="O12" s="196"/>
      <c r="P12" s="196"/>
      <c r="Q12" s="196"/>
      <c r="R12" s="196"/>
      <c r="S12" s="196"/>
      <c r="T12" s="196"/>
      <c r="U12" s="196"/>
      <c r="V12" s="196"/>
      <c r="W12" s="196"/>
      <c r="X12" s="196"/>
      <c r="Y12" s="196"/>
      <c r="Z12" s="196"/>
      <c r="AA12" s="196"/>
      <c r="AB12" s="196"/>
      <c r="AC12" s="198"/>
      <c r="AD12" s="49"/>
      <c r="AE12" s="49"/>
      <c r="AF12" s="49"/>
      <c r="AG12" s="49"/>
      <c r="AH12" s="49"/>
      <c r="AI12" s="49"/>
      <c r="AJ12" s="49"/>
      <c r="AK12" s="49"/>
      <c r="AL12" s="49"/>
      <c r="AM12" s="49"/>
      <c r="AN12" s="49"/>
      <c r="AO12" s="49"/>
      <c r="AP12" s="49"/>
      <c r="AQ12" s="49"/>
      <c r="AR12" s="49"/>
      <c r="AS12" s="49"/>
      <c r="AT12" s="49"/>
      <c r="AU12" s="49"/>
      <c r="AV12" s="49"/>
      <c r="AW12" s="49"/>
      <c r="AX12" s="49"/>
      <c r="AY12" s="49"/>
      <c r="AZ12" s="49"/>
      <c r="BA12" s="49"/>
      <c r="BB12" s="49"/>
      <c r="BC12" s="49"/>
      <c r="BD12" s="49"/>
      <c r="BE12" s="49"/>
      <c r="BF12" s="49"/>
      <c r="BG12" s="49"/>
      <c r="BH12" s="49"/>
    </row>
    <row r="13" spans="1:60" ht="30" customHeight="1" x14ac:dyDescent="0.25">
      <c r="A13" s="46"/>
      <c r="B13" s="46"/>
      <c r="C13" s="46"/>
      <c r="D13" s="46"/>
      <c r="E13" s="46"/>
      <c r="F13" s="46"/>
      <c r="G13" s="46"/>
      <c r="H13" s="197"/>
      <c r="I13" s="197"/>
      <c r="J13" s="197"/>
      <c r="K13" s="197"/>
      <c r="L13" s="197"/>
      <c r="M13" s="197"/>
      <c r="N13" s="197"/>
      <c r="O13" s="197"/>
      <c r="P13" s="197"/>
      <c r="Q13" s="197"/>
      <c r="R13" s="197"/>
      <c r="S13" s="197"/>
      <c r="T13" s="197"/>
      <c r="U13" s="197"/>
      <c r="V13" s="197"/>
      <c r="W13" s="197"/>
      <c r="X13" s="197"/>
      <c r="Y13" s="197"/>
      <c r="Z13" s="197"/>
      <c r="AA13" s="197"/>
      <c r="AB13" s="197"/>
      <c r="AC13" s="199"/>
      <c r="AD13" s="49"/>
      <c r="AE13" s="49"/>
      <c r="AF13" s="49"/>
      <c r="AG13" s="49"/>
      <c r="AH13" s="49"/>
      <c r="AI13" s="49"/>
      <c r="AJ13" s="49"/>
      <c r="AK13" s="49"/>
      <c r="AL13" s="49"/>
      <c r="AM13" s="49"/>
      <c r="AN13" s="49"/>
      <c r="AO13" s="49"/>
      <c r="AP13" s="49"/>
      <c r="AQ13" s="49"/>
      <c r="AR13" s="49"/>
      <c r="AS13" s="49"/>
      <c r="AT13" s="49"/>
      <c r="AU13" s="49"/>
      <c r="AV13" s="49"/>
      <c r="AW13" s="49"/>
      <c r="AX13" s="49"/>
      <c r="AY13" s="49"/>
      <c r="AZ13" s="49"/>
      <c r="BA13" s="49"/>
      <c r="BB13" s="49"/>
      <c r="BC13" s="49"/>
      <c r="BD13" s="49"/>
      <c r="BE13" s="49"/>
      <c r="BF13" s="49"/>
      <c r="BG13" s="49"/>
      <c r="BH13" s="49"/>
    </row>
    <row r="14" spans="1:60" ht="30" customHeight="1" x14ac:dyDescent="0.25">
      <c r="A14" s="46"/>
      <c r="B14" s="46"/>
      <c r="C14" s="46"/>
      <c r="D14" s="46"/>
      <c r="E14" s="46"/>
      <c r="F14" s="46"/>
      <c r="G14" s="46"/>
      <c r="H14" s="187" t="s">
        <v>959</v>
      </c>
      <c r="I14" s="188"/>
      <c r="J14" s="188"/>
      <c r="K14" s="188"/>
      <c r="L14" s="188"/>
      <c r="M14" s="188"/>
      <c r="N14" s="188"/>
      <c r="O14" s="188"/>
      <c r="P14" s="188"/>
      <c r="Q14" s="188"/>
      <c r="R14" s="188"/>
      <c r="S14" s="188"/>
      <c r="T14" s="188"/>
      <c r="U14" s="188"/>
      <c r="V14" s="188"/>
      <c r="W14" s="188"/>
      <c r="X14" s="188"/>
      <c r="Y14" s="188"/>
      <c r="Z14" s="188"/>
      <c r="AA14" s="188"/>
      <c r="AB14" s="188"/>
      <c r="AC14" s="189"/>
      <c r="AD14" s="49"/>
      <c r="AE14" s="49"/>
      <c r="AF14" s="49"/>
      <c r="AG14" s="49"/>
      <c r="AH14" s="49"/>
      <c r="AI14" s="49"/>
      <c r="AJ14" s="49"/>
      <c r="AK14" s="49"/>
      <c r="AL14" s="49"/>
      <c r="AM14" s="49"/>
      <c r="AN14" s="49"/>
      <c r="AO14" s="49"/>
      <c r="AP14" s="49"/>
      <c r="AQ14" s="49"/>
      <c r="AR14" s="49"/>
      <c r="AS14" s="49"/>
      <c r="AT14" s="49"/>
      <c r="AU14" s="49"/>
      <c r="AV14" s="49"/>
      <c r="AW14" s="49"/>
      <c r="AX14" s="49"/>
      <c r="AY14" s="49"/>
      <c r="AZ14" s="49"/>
      <c r="BA14" s="49"/>
      <c r="BB14" s="49"/>
      <c r="BC14" s="49"/>
      <c r="BD14" s="49"/>
      <c r="BE14" s="49"/>
      <c r="BF14" s="49"/>
      <c r="BG14" s="49"/>
      <c r="BH14" s="49"/>
    </row>
    <row r="15" spans="1:60" ht="30" customHeight="1" x14ac:dyDescent="0.25">
      <c r="A15" s="46"/>
      <c r="B15" s="46"/>
      <c r="C15" s="46"/>
      <c r="D15" s="46"/>
      <c r="E15" s="46"/>
      <c r="F15" s="46"/>
      <c r="G15" s="46"/>
      <c r="H15" s="196" t="s">
        <v>1004</v>
      </c>
      <c r="I15" s="196"/>
      <c r="J15" s="196"/>
      <c r="K15" s="196"/>
      <c r="L15" s="196"/>
      <c r="M15" s="196"/>
      <c r="N15" s="196"/>
      <c r="O15" s="196"/>
      <c r="P15" s="196"/>
      <c r="Q15" s="196"/>
      <c r="R15" s="196"/>
      <c r="S15" s="196"/>
      <c r="T15" s="196"/>
      <c r="U15" s="196"/>
      <c r="V15" s="196"/>
      <c r="W15" s="196"/>
      <c r="X15" s="196"/>
      <c r="Y15" s="196"/>
      <c r="Z15" s="196"/>
      <c r="AA15" s="196"/>
      <c r="AB15" s="196"/>
      <c r="AC15" s="198"/>
      <c r="AD15" s="49"/>
      <c r="AE15" s="49"/>
      <c r="AF15" s="49"/>
      <c r="AG15" s="49"/>
      <c r="AH15" s="49"/>
      <c r="AI15" s="49"/>
      <c r="AJ15" s="49"/>
      <c r="AK15" s="49"/>
      <c r="AL15" s="49"/>
      <c r="AM15" s="49"/>
      <c r="AN15" s="49"/>
      <c r="AO15" s="49"/>
      <c r="AP15" s="49"/>
      <c r="AQ15" s="49"/>
      <c r="AR15" s="49"/>
      <c r="AS15" s="49"/>
      <c r="AT15" s="49"/>
      <c r="AU15" s="49"/>
      <c r="AV15" s="49"/>
      <c r="AW15" s="49"/>
      <c r="AX15" s="49"/>
      <c r="AY15" s="49"/>
      <c r="AZ15" s="49"/>
      <c r="BA15" s="49"/>
      <c r="BB15" s="49"/>
      <c r="BC15" s="49"/>
      <c r="BD15" s="49"/>
      <c r="BE15" s="49"/>
      <c r="BF15" s="49"/>
      <c r="BG15" s="49"/>
      <c r="BH15" s="49"/>
    </row>
    <row r="16" spans="1:60" ht="30" customHeight="1" x14ac:dyDescent="0.25">
      <c r="A16" s="46"/>
      <c r="B16" s="46"/>
      <c r="C16" s="46"/>
      <c r="D16" s="46"/>
      <c r="E16" s="46"/>
      <c r="F16" s="46"/>
      <c r="G16" s="46"/>
      <c r="H16" s="200"/>
      <c r="I16" s="200"/>
      <c r="J16" s="200"/>
      <c r="K16" s="200"/>
      <c r="L16" s="200"/>
      <c r="M16" s="200"/>
      <c r="N16" s="200"/>
      <c r="O16" s="200"/>
      <c r="P16" s="200"/>
      <c r="Q16" s="200"/>
      <c r="R16" s="200"/>
      <c r="S16" s="200"/>
      <c r="T16" s="200"/>
      <c r="U16" s="200"/>
      <c r="V16" s="200"/>
      <c r="W16" s="200"/>
      <c r="X16" s="200"/>
      <c r="Y16" s="200"/>
      <c r="Z16" s="200"/>
      <c r="AA16" s="200"/>
      <c r="AB16" s="200"/>
      <c r="AC16" s="201"/>
      <c r="AD16" s="49"/>
      <c r="AE16" s="49"/>
      <c r="AF16" s="49"/>
      <c r="AG16" s="49"/>
      <c r="AH16" s="49"/>
      <c r="AI16" s="49"/>
      <c r="AJ16" s="49"/>
      <c r="AK16" s="49"/>
      <c r="AL16" s="49"/>
      <c r="AM16" s="49"/>
      <c r="AN16" s="49"/>
      <c r="AO16" s="49"/>
      <c r="AP16" s="49"/>
      <c r="AQ16" s="49"/>
      <c r="AR16" s="49"/>
      <c r="AS16" s="49"/>
      <c r="AT16" s="49"/>
      <c r="AU16" s="49"/>
      <c r="AV16" s="49"/>
      <c r="AW16" s="49"/>
      <c r="AX16" s="49"/>
      <c r="AY16" s="49"/>
      <c r="AZ16" s="49"/>
      <c r="BA16" s="49"/>
      <c r="BB16" s="49"/>
      <c r="BC16" s="49"/>
      <c r="BD16" s="49"/>
      <c r="BE16" s="49"/>
      <c r="BF16" s="49"/>
      <c r="BG16" s="49"/>
      <c r="BH16" s="49"/>
    </row>
    <row r="17" spans="1:60" ht="30" customHeight="1" x14ac:dyDescent="0.25">
      <c r="A17" s="46"/>
      <c r="B17" s="46"/>
      <c r="C17" s="46"/>
      <c r="D17" s="46"/>
      <c r="E17" s="46"/>
      <c r="F17" s="46"/>
      <c r="G17" s="46"/>
      <c r="H17" s="197"/>
      <c r="I17" s="197"/>
      <c r="J17" s="197"/>
      <c r="K17" s="197"/>
      <c r="L17" s="197"/>
      <c r="M17" s="197"/>
      <c r="N17" s="197"/>
      <c r="O17" s="197"/>
      <c r="P17" s="197"/>
      <c r="Q17" s="197"/>
      <c r="R17" s="197"/>
      <c r="S17" s="197"/>
      <c r="T17" s="197"/>
      <c r="U17" s="197"/>
      <c r="V17" s="197"/>
      <c r="W17" s="197"/>
      <c r="X17" s="197"/>
      <c r="Y17" s="197"/>
      <c r="Z17" s="197"/>
      <c r="AA17" s="197"/>
      <c r="AB17" s="197"/>
      <c r="AC17" s="199"/>
      <c r="AD17" s="49"/>
      <c r="AE17" s="49"/>
      <c r="AF17" s="49"/>
      <c r="AG17" s="49"/>
      <c r="AH17" s="49"/>
      <c r="AI17" s="49"/>
      <c r="AJ17" s="49"/>
      <c r="AK17" s="49"/>
      <c r="AL17" s="49"/>
      <c r="AM17" s="49"/>
      <c r="AN17" s="49"/>
      <c r="AO17" s="49"/>
      <c r="AP17" s="49"/>
      <c r="AQ17" s="49"/>
      <c r="AR17" s="49"/>
      <c r="AS17" s="49"/>
      <c r="AT17" s="49"/>
      <c r="AU17" s="49"/>
      <c r="AV17" s="49"/>
      <c r="AW17" s="49"/>
      <c r="AX17" s="49"/>
      <c r="AY17" s="49"/>
      <c r="AZ17" s="49"/>
      <c r="BA17" s="49"/>
      <c r="BB17" s="49"/>
      <c r="BC17" s="49"/>
      <c r="BD17" s="49"/>
      <c r="BE17" s="49"/>
      <c r="BF17" s="49"/>
      <c r="BG17" s="49"/>
      <c r="BH17" s="49"/>
    </row>
    <row r="18" spans="1:60" ht="30" customHeight="1" x14ac:dyDescent="0.25">
      <c r="A18" s="46"/>
      <c r="B18" s="46"/>
      <c r="C18" s="46"/>
      <c r="D18" s="46"/>
      <c r="E18" s="46"/>
      <c r="F18" s="46"/>
      <c r="G18" s="46"/>
      <c r="H18" s="187" t="s">
        <v>960</v>
      </c>
      <c r="I18" s="188"/>
      <c r="J18" s="188"/>
      <c r="K18" s="188"/>
      <c r="L18" s="188"/>
      <c r="M18" s="188"/>
      <c r="N18" s="188"/>
      <c r="O18" s="188"/>
      <c r="P18" s="188"/>
      <c r="Q18" s="188"/>
      <c r="R18" s="188"/>
      <c r="S18" s="188"/>
      <c r="T18" s="188"/>
      <c r="U18" s="188"/>
      <c r="V18" s="188"/>
      <c r="W18" s="188"/>
      <c r="X18" s="188"/>
      <c r="Y18" s="188"/>
      <c r="Z18" s="188"/>
      <c r="AA18" s="188"/>
      <c r="AB18" s="188"/>
      <c r="AC18" s="189"/>
      <c r="AD18" s="49"/>
      <c r="AE18" s="49"/>
      <c r="AF18" s="49"/>
      <c r="AG18" s="49"/>
      <c r="AH18" s="49"/>
      <c r="AI18" s="49"/>
      <c r="AJ18" s="49"/>
      <c r="AK18" s="49"/>
      <c r="AL18" s="49"/>
      <c r="AM18" s="49"/>
      <c r="AN18" s="49"/>
      <c r="AO18" s="49"/>
      <c r="AP18" s="49"/>
      <c r="AQ18" s="49"/>
      <c r="AR18" s="49"/>
      <c r="AS18" s="49"/>
      <c r="AT18" s="49"/>
      <c r="AU18" s="49"/>
      <c r="AV18" s="49"/>
      <c r="AW18" s="49"/>
      <c r="AX18" s="49"/>
      <c r="AY18" s="49"/>
      <c r="AZ18" s="49"/>
      <c r="BA18" s="49"/>
      <c r="BB18" s="49"/>
      <c r="BC18" s="49"/>
      <c r="BD18" s="49"/>
      <c r="BE18" s="49"/>
      <c r="BF18" s="49"/>
      <c r="BG18" s="49"/>
      <c r="BH18" s="49"/>
    </row>
    <row r="19" spans="1:60" ht="30" customHeight="1" x14ac:dyDescent="0.25">
      <c r="A19" s="46"/>
      <c r="B19" s="46"/>
      <c r="C19" s="46"/>
      <c r="D19" s="46"/>
      <c r="E19" s="46"/>
      <c r="F19" s="46"/>
      <c r="G19" s="46"/>
      <c r="H19" s="196" t="s">
        <v>1005</v>
      </c>
      <c r="I19" s="196"/>
      <c r="J19" s="196"/>
      <c r="K19" s="196"/>
      <c r="L19" s="196"/>
      <c r="M19" s="196"/>
      <c r="N19" s="196"/>
      <c r="O19" s="196"/>
      <c r="P19" s="196"/>
      <c r="Q19" s="196"/>
      <c r="R19" s="196"/>
      <c r="S19" s="196"/>
      <c r="T19" s="196"/>
      <c r="U19" s="196"/>
      <c r="V19" s="196"/>
      <c r="W19" s="196"/>
      <c r="X19" s="196"/>
      <c r="Y19" s="196"/>
      <c r="Z19" s="196"/>
      <c r="AA19" s="196"/>
      <c r="AB19" s="196"/>
      <c r="AC19" s="198"/>
      <c r="AD19" s="49"/>
      <c r="AE19" s="49"/>
      <c r="AF19" s="49"/>
      <c r="AG19" s="49"/>
      <c r="AH19" s="49"/>
      <c r="AI19" s="49"/>
      <c r="AJ19" s="49"/>
      <c r="AK19" s="49"/>
      <c r="AL19" s="49"/>
      <c r="AM19" s="49"/>
      <c r="AN19" s="49"/>
      <c r="AO19" s="49"/>
      <c r="AP19" s="49"/>
      <c r="AQ19" s="49"/>
      <c r="AR19" s="49"/>
      <c r="AS19" s="49"/>
      <c r="AT19" s="49"/>
      <c r="AU19" s="49"/>
      <c r="AV19" s="49"/>
      <c r="AW19" s="49"/>
      <c r="AX19" s="49"/>
      <c r="AY19" s="49"/>
      <c r="AZ19" s="49"/>
      <c r="BA19" s="49"/>
      <c r="BB19" s="49"/>
      <c r="BC19" s="49"/>
      <c r="BD19" s="49"/>
      <c r="BE19" s="49"/>
      <c r="BF19" s="49"/>
      <c r="BG19" s="49"/>
      <c r="BH19" s="49"/>
    </row>
    <row r="20" spans="1:60" ht="30" customHeight="1" x14ac:dyDescent="0.25">
      <c r="A20" s="46"/>
      <c r="B20" s="46"/>
      <c r="C20" s="46"/>
      <c r="D20" s="46"/>
      <c r="E20" s="46"/>
      <c r="F20" s="46"/>
      <c r="G20" s="46"/>
      <c r="H20" s="197"/>
      <c r="I20" s="197"/>
      <c r="J20" s="197"/>
      <c r="K20" s="197"/>
      <c r="L20" s="197"/>
      <c r="M20" s="197"/>
      <c r="N20" s="197"/>
      <c r="O20" s="197"/>
      <c r="P20" s="197"/>
      <c r="Q20" s="197"/>
      <c r="R20" s="197"/>
      <c r="S20" s="197"/>
      <c r="T20" s="197"/>
      <c r="U20" s="197"/>
      <c r="V20" s="197"/>
      <c r="W20" s="197"/>
      <c r="X20" s="197"/>
      <c r="Y20" s="197"/>
      <c r="Z20" s="197"/>
      <c r="AA20" s="197"/>
      <c r="AB20" s="197"/>
      <c r="AC20" s="199"/>
      <c r="AD20" s="49"/>
      <c r="AE20" s="49"/>
      <c r="AF20" s="49"/>
      <c r="AG20" s="49"/>
      <c r="AH20" s="49"/>
      <c r="AI20" s="49"/>
      <c r="AJ20" s="49"/>
      <c r="AK20" s="49"/>
      <c r="AL20" s="49"/>
      <c r="AM20" s="49"/>
      <c r="AN20" s="49"/>
      <c r="AO20" s="49"/>
      <c r="AP20" s="49"/>
      <c r="AQ20" s="49"/>
      <c r="AR20" s="49"/>
      <c r="AS20" s="49"/>
      <c r="AT20" s="49"/>
      <c r="AU20" s="49"/>
      <c r="AV20" s="49"/>
      <c r="AW20" s="49"/>
      <c r="AX20" s="49"/>
      <c r="AY20" s="49"/>
      <c r="AZ20" s="49"/>
      <c r="BA20" s="49"/>
      <c r="BB20" s="49"/>
      <c r="BC20" s="49"/>
      <c r="BD20" s="49"/>
      <c r="BE20" s="49"/>
      <c r="BF20" s="49"/>
      <c r="BG20" s="49"/>
      <c r="BH20" s="49"/>
    </row>
    <row r="21" spans="1:60" ht="30" customHeight="1" x14ac:dyDescent="0.25">
      <c r="A21" s="46"/>
      <c r="B21" s="46"/>
      <c r="C21" s="46"/>
      <c r="D21" s="46"/>
      <c r="E21" s="46"/>
      <c r="F21" s="46"/>
      <c r="G21" s="46"/>
      <c r="H21" s="187" t="s">
        <v>963</v>
      </c>
      <c r="I21" s="188"/>
      <c r="J21" s="188"/>
      <c r="K21" s="188"/>
      <c r="L21" s="188"/>
      <c r="M21" s="188"/>
      <c r="N21" s="188"/>
      <c r="O21" s="188"/>
      <c r="P21" s="188"/>
      <c r="Q21" s="188"/>
      <c r="R21" s="188"/>
      <c r="S21" s="188"/>
      <c r="T21" s="188"/>
      <c r="U21" s="188"/>
      <c r="V21" s="188"/>
      <c r="W21" s="188"/>
      <c r="X21" s="188"/>
      <c r="Y21" s="188"/>
      <c r="Z21" s="188"/>
      <c r="AA21" s="188"/>
      <c r="AB21" s="188"/>
      <c r="AC21" s="189"/>
      <c r="AD21" s="49"/>
      <c r="AE21" s="49"/>
      <c r="AF21" s="49"/>
      <c r="AG21" s="49"/>
      <c r="AH21" s="49"/>
      <c r="AI21" s="49"/>
      <c r="AJ21" s="49"/>
      <c r="AK21" s="49"/>
      <c r="AL21" s="49"/>
      <c r="AM21" s="49"/>
      <c r="AN21" s="49"/>
      <c r="AO21" s="49"/>
      <c r="AP21" s="49"/>
      <c r="AQ21" s="49"/>
      <c r="AR21" s="49"/>
      <c r="AS21" s="49"/>
      <c r="AT21" s="49"/>
      <c r="AU21" s="49"/>
      <c r="AV21" s="49"/>
      <c r="AW21" s="49"/>
      <c r="AX21" s="49"/>
      <c r="AY21" s="49"/>
      <c r="AZ21" s="49"/>
      <c r="BA21" s="49"/>
      <c r="BB21" s="49"/>
      <c r="BC21" s="49"/>
      <c r="BD21" s="49"/>
      <c r="BE21" s="49"/>
      <c r="BF21" s="49"/>
      <c r="BG21" s="49"/>
      <c r="BH21" s="49"/>
    </row>
    <row r="22" spans="1:60" ht="30" customHeight="1" x14ac:dyDescent="0.25">
      <c r="A22" s="46"/>
      <c r="B22" s="46"/>
      <c r="C22" s="46"/>
      <c r="D22" s="46"/>
      <c r="E22" s="46"/>
      <c r="F22" s="46"/>
      <c r="G22" s="46"/>
      <c r="H22" s="196" t="s">
        <v>1006</v>
      </c>
      <c r="I22" s="196"/>
      <c r="J22" s="196"/>
      <c r="K22" s="196"/>
      <c r="L22" s="196"/>
      <c r="M22" s="196"/>
      <c r="N22" s="196"/>
      <c r="O22" s="196"/>
      <c r="P22" s="196"/>
      <c r="Q22" s="196"/>
      <c r="R22" s="196"/>
      <c r="S22" s="196"/>
      <c r="T22" s="196"/>
      <c r="U22" s="196"/>
      <c r="V22" s="196"/>
      <c r="W22" s="196"/>
      <c r="X22" s="196"/>
      <c r="Y22" s="196"/>
      <c r="Z22" s="196"/>
      <c r="AA22" s="196"/>
      <c r="AB22" s="196"/>
      <c r="AC22" s="198"/>
      <c r="AD22" s="49"/>
      <c r="AE22" s="49"/>
      <c r="AF22" s="49"/>
      <c r="AG22" s="49"/>
      <c r="AH22" s="49"/>
      <c r="AI22" s="49"/>
      <c r="AJ22" s="49"/>
      <c r="AK22" s="49"/>
      <c r="AL22" s="49"/>
      <c r="AM22" s="49"/>
      <c r="AN22" s="49"/>
      <c r="AO22" s="49"/>
      <c r="AP22" s="49"/>
      <c r="AQ22" s="49"/>
      <c r="AR22" s="49"/>
      <c r="AS22" s="49"/>
      <c r="AT22" s="49"/>
      <c r="AU22" s="49"/>
      <c r="AV22" s="49"/>
      <c r="AW22" s="49"/>
      <c r="AX22" s="49"/>
      <c r="AY22" s="49"/>
      <c r="AZ22" s="49"/>
      <c r="BA22" s="49"/>
      <c r="BB22" s="49"/>
      <c r="BC22" s="49"/>
      <c r="BD22" s="49"/>
      <c r="BE22" s="49"/>
      <c r="BF22" s="49"/>
      <c r="BG22" s="49"/>
      <c r="BH22" s="49"/>
    </row>
    <row r="23" spans="1:60" ht="30" customHeight="1" x14ac:dyDescent="0.25">
      <c r="A23" s="46"/>
      <c r="B23" s="46"/>
      <c r="C23" s="46"/>
      <c r="D23" s="46"/>
      <c r="E23" s="46"/>
      <c r="F23" s="46"/>
      <c r="G23" s="46"/>
      <c r="H23" s="197"/>
      <c r="I23" s="197"/>
      <c r="J23" s="197"/>
      <c r="K23" s="197"/>
      <c r="L23" s="197"/>
      <c r="M23" s="197"/>
      <c r="N23" s="197"/>
      <c r="O23" s="197"/>
      <c r="P23" s="197"/>
      <c r="Q23" s="197"/>
      <c r="R23" s="197"/>
      <c r="S23" s="197"/>
      <c r="T23" s="197"/>
      <c r="U23" s="197"/>
      <c r="V23" s="197"/>
      <c r="W23" s="197"/>
      <c r="X23" s="197"/>
      <c r="Y23" s="197"/>
      <c r="Z23" s="197"/>
      <c r="AA23" s="197"/>
      <c r="AB23" s="197"/>
      <c r="AC23" s="199"/>
      <c r="AD23" s="49"/>
      <c r="AE23" s="49"/>
      <c r="AF23" s="49"/>
      <c r="AG23" s="49"/>
      <c r="AH23" s="49"/>
      <c r="AI23" s="49"/>
      <c r="AJ23" s="49"/>
      <c r="AK23" s="49"/>
      <c r="AL23" s="49"/>
      <c r="AM23" s="49"/>
      <c r="AN23" s="49"/>
      <c r="AO23" s="49"/>
      <c r="AP23" s="49"/>
      <c r="AQ23" s="49"/>
      <c r="AR23" s="49"/>
      <c r="AS23" s="49"/>
      <c r="AT23" s="49"/>
      <c r="AU23" s="49"/>
      <c r="AV23" s="49"/>
      <c r="AW23" s="49"/>
      <c r="AX23" s="49"/>
      <c r="AY23" s="49"/>
      <c r="AZ23" s="49"/>
      <c r="BA23" s="49"/>
      <c r="BB23" s="49"/>
      <c r="BC23" s="49"/>
      <c r="BD23" s="49"/>
      <c r="BE23" s="49"/>
      <c r="BF23" s="49"/>
      <c r="BG23" s="49"/>
      <c r="BH23" s="49"/>
    </row>
    <row r="24" spans="1:60" ht="30" customHeight="1" x14ac:dyDescent="0.25">
      <c r="A24" s="46"/>
      <c r="B24" s="46"/>
      <c r="C24" s="46"/>
      <c r="D24" s="46"/>
      <c r="E24" s="46"/>
      <c r="F24" s="46"/>
      <c r="G24" s="46"/>
      <c r="H24" s="187" t="s">
        <v>231</v>
      </c>
      <c r="I24" s="188"/>
      <c r="J24" s="188"/>
      <c r="K24" s="188"/>
      <c r="L24" s="188"/>
      <c r="M24" s="188"/>
      <c r="N24" s="188"/>
      <c r="O24" s="188"/>
      <c r="P24" s="188"/>
      <c r="Q24" s="188"/>
      <c r="R24" s="188"/>
      <c r="S24" s="188"/>
      <c r="T24" s="188"/>
      <c r="U24" s="188"/>
      <c r="V24" s="188"/>
      <c r="W24" s="188"/>
      <c r="X24" s="188"/>
      <c r="Y24" s="188"/>
      <c r="Z24" s="188"/>
      <c r="AA24" s="188"/>
      <c r="AB24" s="188"/>
      <c r="AC24" s="189"/>
      <c r="AD24" s="49"/>
      <c r="AE24" s="49"/>
      <c r="AF24" s="49"/>
      <c r="AG24" s="49"/>
      <c r="AH24" s="49"/>
      <c r="AI24" s="49"/>
      <c r="AJ24" s="49"/>
      <c r="AK24" s="49"/>
      <c r="AL24" s="49"/>
      <c r="AM24" s="49"/>
      <c r="AN24" s="49"/>
      <c r="AO24" s="49"/>
      <c r="AP24" s="49"/>
      <c r="AQ24" s="49"/>
      <c r="AR24" s="49"/>
      <c r="AS24" s="49"/>
      <c r="AT24" s="49"/>
      <c r="AU24" s="49"/>
      <c r="AV24" s="49"/>
      <c r="AW24" s="49"/>
      <c r="AX24" s="49"/>
      <c r="AY24" s="49"/>
      <c r="AZ24" s="49"/>
      <c r="BA24" s="49"/>
      <c r="BB24" s="49"/>
      <c r="BC24" s="49"/>
      <c r="BD24" s="49"/>
      <c r="BE24" s="49"/>
      <c r="BF24" s="49"/>
      <c r="BG24" s="49"/>
      <c r="BH24" s="49"/>
    </row>
    <row r="25" spans="1:60" ht="30" customHeight="1" x14ac:dyDescent="0.25">
      <c r="A25" s="46"/>
      <c r="B25" s="46"/>
      <c r="C25" s="46"/>
      <c r="D25" s="46"/>
      <c r="E25" s="46"/>
      <c r="F25" s="46"/>
      <c r="G25" s="46"/>
      <c r="H25" s="196" t="s">
        <v>1008</v>
      </c>
      <c r="I25" s="196"/>
      <c r="J25" s="196"/>
      <c r="K25" s="196"/>
      <c r="L25" s="196"/>
      <c r="M25" s="196"/>
      <c r="N25" s="196"/>
      <c r="O25" s="196"/>
      <c r="P25" s="196"/>
      <c r="Q25" s="196"/>
      <c r="R25" s="196"/>
      <c r="S25" s="196"/>
      <c r="T25" s="196"/>
      <c r="U25" s="196"/>
      <c r="V25" s="196"/>
      <c r="W25" s="196"/>
      <c r="X25" s="196"/>
      <c r="Y25" s="196"/>
      <c r="Z25" s="196"/>
      <c r="AA25" s="196"/>
      <c r="AB25" s="196"/>
      <c r="AC25" s="176"/>
      <c r="AD25" s="49"/>
      <c r="AE25" s="49"/>
      <c r="AF25" s="49"/>
      <c r="AG25" s="49"/>
      <c r="AH25" s="49"/>
      <c r="AI25" s="49"/>
      <c r="AJ25" s="49"/>
      <c r="AK25" s="49"/>
      <c r="AL25" s="49"/>
      <c r="AM25" s="49"/>
      <c r="AN25" s="49"/>
      <c r="AO25" s="49"/>
      <c r="AP25" s="49"/>
      <c r="AQ25" s="49"/>
      <c r="AR25" s="49"/>
      <c r="AS25" s="49"/>
      <c r="AT25" s="49"/>
      <c r="AU25" s="49"/>
      <c r="AV25" s="49"/>
      <c r="AW25" s="49"/>
      <c r="AX25" s="49"/>
      <c r="AY25" s="49"/>
      <c r="AZ25" s="49"/>
      <c r="BA25" s="49"/>
      <c r="BB25" s="49"/>
      <c r="BC25" s="49"/>
      <c r="BD25" s="49"/>
      <c r="BE25" s="49"/>
      <c r="BF25" s="49"/>
      <c r="BG25" s="49"/>
      <c r="BH25" s="49"/>
    </row>
    <row r="26" spans="1:60" ht="30" customHeight="1" x14ac:dyDescent="0.25">
      <c r="A26" s="46"/>
      <c r="B26" s="46"/>
      <c r="C26" s="46"/>
      <c r="D26" s="46"/>
      <c r="E26" s="46"/>
      <c r="F26" s="46"/>
      <c r="G26" s="46"/>
      <c r="H26" s="187" t="s">
        <v>964</v>
      </c>
      <c r="I26" s="188"/>
      <c r="J26" s="188"/>
      <c r="K26" s="188"/>
      <c r="L26" s="188"/>
      <c r="M26" s="188"/>
      <c r="N26" s="188"/>
      <c r="O26" s="188"/>
      <c r="P26" s="188"/>
      <c r="Q26" s="188"/>
      <c r="R26" s="188"/>
      <c r="S26" s="188"/>
      <c r="T26" s="188"/>
      <c r="U26" s="188"/>
      <c r="V26" s="188"/>
      <c r="W26" s="188"/>
      <c r="X26" s="188"/>
      <c r="Y26" s="188"/>
      <c r="Z26" s="188"/>
      <c r="AA26" s="188"/>
      <c r="AB26" s="188"/>
      <c r="AC26" s="189"/>
      <c r="AD26" s="49"/>
      <c r="AE26" s="49"/>
      <c r="AF26" s="49"/>
      <c r="AG26" s="49"/>
      <c r="AH26" s="49"/>
      <c r="AI26" s="49"/>
      <c r="AJ26" s="49"/>
      <c r="AK26" s="49"/>
      <c r="AL26" s="49"/>
      <c r="AM26" s="49"/>
      <c r="AN26" s="49"/>
      <c r="AO26" s="49"/>
      <c r="AP26" s="49"/>
      <c r="AQ26" s="49"/>
      <c r="AR26" s="49"/>
      <c r="AS26" s="49"/>
      <c r="AT26" s="49"/>
      <c r="AU26" s="49"/>
      <c r="AV26" s="49"/>
      <c r="AW26" s="49"/>
      <c r="AX26" s="49"/>
      <c r="AY26" s="49"/>
      <c r="AZ26" s="49"/>
      <c r="BA26" s="49"/>
      <c r="BB26" s="49"/>
      <c r="BC26" s="49"/>
      <c r="BD26" s="49"/>
      <c r="BE26" s="49"/>
      <c r="BF26" s="49"/>
      <c r="BG26" s="49"/>
      <c r="BH26" s="49"/>
    </row>
    <row r="27" spans="1:60" ht="30" customHeight="1" x14ac:dyDescent="0.25">
      <c r="A27" s="46"/>
      <c r="B27" s="46"/>
      <c r="C27" s="46"/>
      <c r="D27" s="46"/>
      <c r="E27" s="46"/>
      <c r="F27" s="46"/>
      <c r="G27" s="46"/>
      <c r="H27" s="196" t="s">
        <v>1009</v>
      </c>
      <c r="I27" s="196"/>
      <c r="J27" s="196"/>
      <c r="K27" s="196"/>
      <c r="L27" s="196"/>
      <c r="M27" s="196"/>
      <c r="N27" s="196"/>
      <c r="O27" s="196"/>
      <c r="P27" s="196"/>
      <c r="Q27" s="196"/>
      <c r="R27" s="196"/>
      <c r="S27" s="196"/>
      <c r="T27" s="196"/>
      <c r="U27" s="196"/>
      <c r="V27" s="196"/>
      <c r="W27" s="196"/>
      <c r="X27" s="196"/>
      <c r="Y27" s="196"/>
      <c r="Z27" s="196"/>
      <c r="AA27" s="196"/>
      <c r="AB27" s="196"/>
      <c r="AC27" s="198"/>
      <c r="AD27" s="49"/>
      <c r="AE27" s="49"/>
      <c r="AF27" s="49"/>
      <c r="AG27" s="49"/>
      <c r="AH27" s="49"/>
      <c r="AI27" s="49"/>
      <c r="AJ27" s="49"/>
      <c r="AK27" s="49"/>
      <c r="AL27" s="49"/>
      <c r="AM27" s="49"/>
      <c r="AN27" s="49"/>
      <c r="AO27" s="49"/>
      <c r="AP27" s="49"/>
      <c r="AQ27" s="49"/>
      <c r="AR27" s="49"/>
      <c r="AS27" s="49"/>
      <c r="AT27" s="49"/>
      <c r="AU27" s="49"/>
      <c r="AV27" s="49"/>
      <c r="AW27" s="49"/>
      <c r="AX27" s="49"/>
      <c r="AY27" s="49"/>
      <c r="AZ27" s="49"/>
      <c r="BA27" s="49"/>
      <c r="BB27" s="49"/>
      <c r="BC27" s="49"/>
      <c r="BD27" s="49"/>
      <c r="BE27" s="49"/>
      <c r="BF27" s="49"/>
      <c r="BG27" s="49"/>
      <c r="BH27" s="49"/>
    </row>
    <row r="28" spans="1:60" ht="30" customHeight="1" x14ac:dyDescent="0.25">
      <c r="A28" s="46"/>
      <c r="B28" s="46"/>
      <c r="C28" s="46"/>
      <c r="D28" s="46"/>
      <c r="E28" s="46"/>
      <c r="F28" s="46"/>
      <c r="G28" s="46"/>
      <c r="H28" s="197"/>
      <c r="I28" s="197"/>
      <c r="J28" s="197"/>
      <c r="K28" s="197"/>
      <c r="L28" s="197"/>
      <c r="M28" s="197"/>
      <c r="N28" s="197"/>
      <c r="O28" s="197"/>
      <c r="P28" s="197"/>
      <c r="Q28" s="197"/>
      <c r="R28" s="197"/>
      <c r="S28" s="197"/>
      <c r="T28" s="197"/>
      <c r="U28" s="197"/>
      <c r="V28" s="197"/>
      <c r="W28" s="197"/>
      <c r="X28" s="197"/>
      <c r="Y28" s="197"/>
      <c r="Z28" s="197"/>
      <c r="AA28" s="197"/>
      <c r="AB28" s="197"/>
      <c r="AC28" s="199"/>
      <c r="AD28" s="49"/>
      <c r="AE28" s="49"/>
      <c r="AF28" s="49"/>
      <c r="AG28" s="49"/>
      <c r="AH28" s="49"/>
      <c r="AI28" s="49"/>
      <c r="AJ28" s="49"/>
      <c r="AK28" s="49"/>
      <c r="AL28" s="49"/>
      <c r="AM28" s="49"/>
      <c r="AN28" s="49"/>
      <c r="AO28" s="49"/>
      <c r="AP28" s="49"/>
      <c r="AQ28" s="49"/>
      <c r="AR28" s="49"/>
      <c r="AS28" s="49"/>
      <c r="AT28" s="49"/>
      <c r="AU28" s="49"/>
      <c r="AV28" s="49"/>
      <c r="AW28" s="49"/>
      <c r="AX28" s="49"/>
      <c r="AY28" s="49"/>
      <c r="AZ28" s="49"/>
      <c r="BA28" s="49"/>
      <c r="BB28" s="49"/>
      <c r="BC28" s="49"/>
      <c r="BD28" s="49"/>
      <c r="BE28" s="49"/>
      <c r="BF28" s="49"/>
      <c r="BG28" s="49"/>
      <c r="BH28" s="49"/>
    </row>
    <row r="29" spans="1:60" ht="30" customHeight="1" x14ac:dyDescent="0.25">
      <c r="A29" s="46"/>
      <c r="B29" s="46"/>
      <c r="C29" s="46"/>
      <c r="D29" s="46"/>
      <c r="E29" s="46"/>
      <c r="F29" s="46"/>
      <c r="G29" s="46"/>
      <c r="H29" s="46"/>
      <c r="I29" s="46"/>
      <c r="J29" s="46"/>
      <c r="K29" s="46"/>
      <c r="L29" s="46"/>
      <c r="M29" s="46"/>
      <c r="N29" s="46"/>
      <c r="O29" s="46"/>
      <c r="P29" s="46"/>
      <c r="Q29" s="46"/>
      <c r="R29" s="46"/>
      <c r="S29" s="46"/>
      <c r="T29" s="46"/>
      <c r="U29" s="46"/>
      <c r="V29" s="46"/>
      <c r="W29" s="46"/>
      <c r="X29" s="46"/>
      <c r="Y29" s="46"/>
      <c r="Z29" s="49"/>
      <c r="AA29" s="49"/>
      <c r="AB29" s="49"/>
      <c r="AC29" s="49"/>
      <c r="AD29" s="49"/>
      <c r="AE29" s="49"/>
      <c r="AF29" s="49"/>
      <c r="AG29" s="49"/>
      <c r="AH29" s="49"/>
      <c r="AI29" s="49"/>
      <c r="AJ29" s="49"/>
      <c r="AK29" s="49"/>
      <c r="AL29" s="49"/>
      <c r="AM29" s="49"/>
      <c r="AN29" s="49"/>
      <c r="AO29" s="49"/>
      <c r="AP29" s="49"/>
      <c r="AQ29" s="49"/>
      <c r="AR29" s="49"/>
      <c r="AS29" s="49"/>
      <c r="AT29" s="49"/>
      <c r="AU29" s="49"/>
      <c r="AV29" s="49"/>
      <c r="AW29" s="49"/>
      <c r="AX29" s="49"/>
      <c r="AY29" s="49"/>
      <c r="AZ29" s="49"/>
      <c r="BA29" s="49"/>
      <c r="BB29" s="49"/>
      <c r="BC29" s="49"/>
      <c r="BD29" s="49"/>
      <c r="BE29" s="49"/>
      <c r="BF29" s="49"/>
      <c r="BG29" s="49"/>
      <c r="BH29" s="49"/>
    </row>
    <row r="30" spans="1:60" ht="30" customHeight="1" x14ac:dyDescent="0.25">
      <c r="A30" s="46"/>
      <c r="B30" s="46"/>
      <c r="C30" s="46"/>
      <c r="D30" s="46"/>
      <c r="E30" s="46"/>
      <c r="F30" s="46"/>
      <c r="G30" s="46"/>
      <c r="H30" s="46"/>
      <c r="I30" s="46"/>
      <c r="J30" s="46"/>
      <c r="K30" s="46"/>
      <c r="L30" s="46"/>
      <c r="M30" s="46"/>
      <c r="N30" s="46"/>
      <c r="O30" s="46"/>
      <c r="P30" s="46"/>
      <c r="Q30" s="46"/>
      <c r="R30" s="46"/>
      <c r="S30" s="46"/>
      <c r="T30" s="46"/>
      <c r="U30" s="46"/>
      <c r="V30" s="46"/>
      <c r="W30" s="46"/>
      <c r="X30" s="46"/>
      <c r="Y30" s="46"/>
      <c r="Z30" s="49"/>
      <c r="AA30" s="49"/>
      <c r="AB30" s="49"/>
      <c r="AC30" s="49"/>
      <c r="AD30" s="49"/>
      <c r="AE30" s="49"/>
      <c r="AF30" s="49"/>
      <c r="AG30" s="49"/>
      <c r="AH30" s="49"/>
      <c r="AI30" s="49"/>
      <c r="AJ30" s="49"/>
      <c r="AK30" s="49"/>
      <c r="AL30" s="49"/>
      <c r="AM30" s="49"/>
      <c r="AN30" s="49"/>
      <c r="AO30" s="49"/>
      <c r="AP30" s="49"/>
      <c r="AQ30" s="49"/>
      <c r="AR30" s="49"/>
      <c r="AS30" s="49"/>
      <c r="AT30" s="49"/>
      <c r="AU30" s="49"/>
      <c r="AV30" s="49"/>
      <c r="AW30" s="49"/>
      <c r="AX30" s="49"/>
      <c r="AY30" s="49"/>
      <c r="AZ30" s="49"/>
      <c r="BA30" s="49"/>
      <c r="BB30" s="49"/>
      <c r="BC30" s="49"/>
      <c r="BD30" s="49"/>
      <c r="BE30" s="49"/>
      <c r="BF30" s="49"/>
      <c r="BG30" s="49"/>
      <c r="BH30" s="49"/>
    </row>
    <row r="31" spans="1:60" ht="30" customHeight="1" x14ac:dyDescent="0.25">
      <c r="A31" s="46"/>
      <c r="B31" s="46"/>
      <c r="C31" s="46"/>
      <c r="D31" s="46"/>
      <c r="E31" s="46"/>
      <c r="F31" s="46"/>
      <c r="G31" s="46"/>
      <c r="H31" s="46"/>
      <c r="I31" s="46"/>
      <c r="J31" s="46"/>
      <c r="K31" s="46"/>
      <c r="L31" s="46"/>
      <c r="M31" s="46"/>
      <c r="N31" s="46"/>
      <c r="O31" s="46"/>
      <c r="P31" s="46"/>
      <c r="Q31" s="46"/>
      <c r="R31" s="46"/>
      <c r="S31" s="46"/>
      <c r="T31" s="46"/>
      <c r="U31" s="46"/>
      <c r="V31" s="46"/>
      <c r="W31" s="46"/>
      <c r="X31" s="46"/>
      <c r="Y31" s="46"/>
      <c r="Z31" s="49"/>
      <c r="AA31" s="49"/>
      <c r="AB31" s="49"/>
      <c r="AC31" s="49"/>
      <c r="AD31" s="49"/>
      <c r="AE31" s="49"/>
      <c r="AF31" s="49"/>
      <c r="AG31" s="49"/>
      <c r="AH31" s="49"/>
      <c r="AI31" s="49"/>
      <c r="AJ31" s="49"/>
      <c r="AK31" s="49"/>
      <c r="AL31" s="49"/>
      <c r="AM31" s="49"/>
      <c r="AN31" s="49"/>
      <c r="AO31" s="49"/>
      <c r="AP31" s="49"/>
      <c r="AQ31" s="49"/>
      <c r="AR31" s="49"/>
      <c r="AS31" s="49"/>
      <c r="AT31" s="49"/>
      <c r="AU31" s="49"/>
      <c r="AV31" s="49"/>
      <c r="AW31" s="49"/>
      <c r="AX31" s="49"/>
      <c r="AY31" s="49"/>
      <c r="AZ31" s="49"/>
      <c r="BA31" s="49"/>
      <c r="BB31" s="49"/>
      <c r="BC31" s="49"/>
      <c r="BD31" s="49"/>
      <c r="BE31" s="49"/>
      <c r="BF31" s="49"/>
      <c r="BG31" s="49"/>
      <c r="BH31" s="49"/>
    </row>
    <row r="32" spans="1:60" ht="30" customHeight="1" x14ac:dyDescent="0.25">
      <c r="A32" s="46"/>
      <c r="B32" s="46"/>
      <c r="C32" s="46"/>
      <c r="D32" s="46"/>
      <c r="E32" s="46"/>
      <c r="F32" s="46"/>
      <c r="G32" s="46"/>
      <c r="H32" s="46"/>
      <c r="I32" s="46"/>
      <c r="J32" s="46"/>
      <c r="K32" s="46"/>
      <c r="L32" s="46"/>
      <c r="M32" s="46"/>
      <c r="N32" s="46"/>
      <c r="O32" s="46"/>
      <c r="P32" s="46"/>
      <c r="Q32" s="46"/>
      <c r="R32" s="46"/>
      <c r="S32" s="46"/>
      <c r="T32" s="46"/>
      <c r="U32" s="46"/>
      <c r="V32" s="46"/>
      <c r="W32" s="46"/>
      <c r="X32" s="46"/>
      <c r="Y32" s="46"/>
      <c r="Z32" s="49"/>
      <c r="AA32" s="49"/>
      <c r="AB32" s="49"/>
      <c r="AC32" s="49"/>
      <c r="AD32" s="49"/>
      <c r="AE32" s="49"/>
      <c r="AF32" s="49"/>
      <c r="AG32" s="49"/>
      <c r="AH32" s="49"/>
      <c r="AI32" s="49"/>
      <c r="AJ32" s="49"/>
      <c r="AK32" s="49"/>
      <c r="AL32" s="49"/>
      <c r="AM32" s="49"/>
      <c r="AN32" s="49"/>
      <c r="AO32" s="49"/>
      <c r="AP32" s="49"/>
      <c r="AQ32" s="49"/>
      <c r="AR32" s="49"/>
      <c r="AS32" s="49"/>
      <c r="AT32" s="49"/>
      <c r="AU32" s="49"/>
      <c r="AV32" s="49"/>
      <c r="AW32" s="49"/>
      <c r="AX32" s="49"/>
      <c r="AY32" s="49"/>
      <c r="AZ32" s="49"/>
      <c r="BA32" s="49"/>
      <c r="BB32" s="49"/>
      <c r="BC32" s="49"/>
      <c r="BD32" s="49"/>
      <c r="BE32" s="49"/>
      <c r="BF32" s="49"/>
      <c r="BG32" s="49"/>
      <c r="BH32" s="49"/>
    </row>
    <row r="33" spans="1:60" ht="30" customHeight="1" x14ac:dyDescent="0.25">
      <c r="A33" s="46"/>
      <c r="B33" s="46"/>
      <c r="C33" s="46"/>
      <c r="D33" s="46"/>
      <c r="E33" s="46"/>
      <c r="F33" s="46"/>
      <c r="G33" s="46"/>
      <c r="H33" s="46"/>
      <c r="I33" s="46"/>
      <c r="J33" s="46"/>
      <c r="K33" s="46"/>
      <c r="L33" s="46"/>
      <c r="M33" s="46"/>
      <c r="N33" s="46"/>
      <c r="O33" s="46"/>
      <c r="P33" s="46"/>
      <c r="Q33" s="46"/>
      <c r="R33" s="46"/>
      <c r="S33" s="46"/>
      <c r="T33" s="46"/>
      <c r="U33" s="46"/>
      <c r="V33" s="46"/>
      <c r="W33" s="46"/>
      <c r="X33" s="46"/>
      <c r="Y33" s="46"/>
      <c r="Z33" s="49"/>
      <c r="AA33" s="49"/>
      <c r="AB33" s="49"/>
      <c r="AC33" s="49"/>
      <c r="AD33" s="49"/>
      <c r="AE33" s="49"/>
      <c r="AF33" s="49"/>
      <c r="AG33" s="49"/>
      <c r="AH33" s="49"/>
      <c r="AI33" s="49"/>
      <c r="AJ33" s="49"/>
      <c r="AK33" s="49"/>
      <c r="AL33" s="49"/>
      <c r="AM33" s="49"/>
      <c r="AN33" s="49"/>
      <c r="AO33" s="49"/>
      <c r="AP33" s="49"/>
      <c r="AQ33" s="49"/>
      <c r="AR33" s="49"/>
      <c r="AS33" s="49"/>
      <c r="AT33" s="49"/>
      <c r="AU33" s="49"/>
      <c r="AV33" s="49"/>
      <c r="AW33" s="49"/>
      <c r="AX33" s="49"/>
      <c r="AY33" s="49"/>
      <c r="AZ33" s="49"/>
      <c r="BA33" s="49"/>
      <c r="BB33" s="49"/>
      <c r="BC33" s="49"/>
      <c r="BD33" s="49"/>
      <c r="BE33" s="49"/>
      <c r="BF33" s="49"/>
      <c r="BG33" s="49"/>
      <c r="BH33" s="49"/>
    </row>
    <row r="34" spans="1:60" ht="30" customHeight="1" x14ac:dyDescent="0.25">
      <c r="A34" s="46"/>
      <c r="B34" s="46"/>
      <c r="C34" s="46"/>
      <c r="D34" s="46"/>
      <c r="E34" s="46"/>
      <c r="F34" s="46"/>
      <c r="G34" s="46"/>
      <c r="H34" s="46"/>
      <c r="I34" s="46"/>
      <c r="J34" s="46"/>
      <c r="K34" s="46"/>
      <c r="L34" s="46"/>
      <c r="M34" s="46"/>
      <c r="N34" s="46"/>
      <c r="O34" s="46"/>
      <c r="P34" s="46"/>
      <c r="Q34" s="46"/>
      <c r="R34" s="46"/>
      <c r="S34" s="46"/>
      <c r="T34" s="46"/>
      <c r="U34" s="46"/>
      <c r="V34" s="46"/>
      <c r="W34" s="46"/>
      <c r="X34" s="46"/>
      <c r="Y34" s="46"/>
      <c r="Z34" s="49"/>
      <c r="AA34" s="49"/>
      <c r="AB34" s="49"/>
      <c r="AC34" s="49"/>
      <c r="AD34" s="49"/>
      <c r="AE34" s="49"/>
      <c r="AF34" s="49"/>
      <c r="AG34" s="49"/>
      <c r="AH34" s="49"/>
      <c r="AI34" s="49"/>
      <c r="AJ34" s="49"/>
      <c r="AK34" s="49"/>
      <c r="AL34" s="49"/>
      <c r="AM34" s="49"/>
      <c r="AN34" s="49"/>
      <c r="AO34" s="49"/>
      <c r="AP34" s="49"/>
      <c r="AQ34" s="49"/>
      <c r="AR34" s="49"/>
      <c r="AS34" s="49"/>
      <c r="AT34" s="49"/>
      <c r="AU34" s="49"/>
      <c r="AV34" s="49"/>
      <c r="AW34" s="49"/>
      <c r="AX34" s="49"/>
      <c r="AY34" s="49"/>
      <c r="AZ34" s="49"/>
      <c r="BA34" s="49"/>
      <c r="BB34" s="49"/>
      <c r="BC34" s="49"/>
      <c r="BD34" s="49"/>
      <c r="BE34" s="49"/>
      <c r="BF34" s="49"/>
      <c r="BG34" s="49"/>
      <c r="BH34" s="49"/>
    </row>
  </sheetData>
  <sheetProtection algorithmName="SHA-512" hashValue="xc2JrG1NEdJojFeZBbAdkigzo94N4vAPzWg9LeDZn/D7Lqw9/Z9Z0sjhp1D8K6+q7N9+4ahGmcDzW6s9NPHWNw==" saltValue="zA5nvjR3kC1O80D2NK96pg==" spinCount="100000" sheet="1" objects="1" scenarios="1" formatCells="0" formatColumns="0" formatRows="0"/>
  <mergeCells count="25">
    <mergeCell ref="AC27:AC28"/>
    <mergeCell ref="H22:AB23"/>
    <mergeCell ref="H25:AB25"/>
    <mergeCell ref="H27:AB28"/>
    <mergeCell ref="H19:AB20"/>
    <mergeCell ref="H24:AC24"/>
    <mergeCell ref="AC19:AC20"/>
    <mergeCell ref="H26:AC26"/>
    <mergeCell ref="H21:AC21"/>
    <mergeCell ref="AC22:AC23"/>
    <mergeCell ref="H11:AC11"/>
    <mergeCell ref="H14:AC14"/>
    <mergeCell ref="H18:AC18"/>
    <mergeCell ref="H9:AB10"/>
    <mergeCell ref="AC9:AC10"/>
    <mergeCell ref="H15:AB17"/>
    <mergeCell ref="AC15:AC17"/>
    <mergeCell ref="H12:AB13"/>
    <mergeCell ref="AC12:AC13"/>
    <mergeCell ref="H6:AC6"/>
    <mergeCell ref="H8:AC8"/>
    <mergeCell ref="H1:AC2"/>
    <mergeCell ref="H3:AC3"/>
    <mergeCell ref="H4:AC4"/>
    <mergeCell ref="H7:AB7"/>
  </mergeCells>
  <pageMargins left="0.7" right="0.7" top="0.75" bottom="0.75" header="0.3" footer="0.3"/>
  <pageSetup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A42F8E-1B38-4B52-A92A-C720FB3CCFC5}">
  <sheetPr codeName="Sheet11">
    <tabColor theme="6"/>
  </sheetPr>
  <dimension ref="A1:AB146"/>
  <sheetViews>
    <sheetView zoomScale="80" zoomScaleNormal="80" workbookViewId="0"/>
  </sheetViews>
  <sheetFormatPr defaultColWidth="8.6328125" defaultRowHeight="13.8" x14ac:dyDescent="0.25"/>
  <cols>
    <col min="1" max="7" width="6.6328125" customWidth="1"/>
    <col min="8" max="8" width="70.453125" customWidth="1"/>
    <col min="9" max="9" width="13.81640625" customWidth="1"/>
    <col min="10" max="17" width="24.81640625" customWidth="1"/>
    <col min="18" max="19" width="7.453125" customWidth="1"/>
  </cols>
  <sheetData>
    <row r="1" spans="1:19" ht="30" customHeight="1" x14ac:dyDescent="0.25">
      <c r="A1" s="49"/>
      <c r="B1" s="49"/>
      <c r="C1" s="49"/>
      <c r="D1" s="49"/>
      <c r="E1" s="49"/>
      <c r="F1" s="49"/>
      <c r="G1" s="49"/>
      <c r="H1" s="641" t="s">
        <v>828</v>
      </c>
      <c r="I1" s="641"/>
      <c r="J1" s="641"/>
      <c r="K1" s="641"/>
      <c r="L1" s="641"/>
      <c r="M1" s="641"/>
      <c r="N1" s="641"/>
      <c r="O1" s="641"/>
      <c r="P1" s="641"/>
      <c r="Q1" s="641"/>
      <c r="R1" s="49"/>
      <c r="S1" s="49"/>
    </row>
    <row r="2" spans="1:19" ht="30" customHeight="1" x14ac:dyDescent="0.25">
      <c r="A2" s="49"/>
      <c r="B2" s="49"/>
      <c r="C2" s="49"/>
      <c r="D2" s="49"/>
      <c r="E2" s="49"/>
      <c r="F2" s="49"/>
      <c r="G2" s="49"/>
      <c r="H2" s="641"/>
      <c r="I2" s="641"/>
      <c r="J2" s="641"/>
      <c r="K2" s="641"/>
      <c r="L2" s="641"/>
      <c r="M2" s="641"/>
      <c r="N2" s="641"/>
      <c r="O2" s="641"/>
      <c r="P2" s="641"/>
      <c r="Q2" s="641"/>
      <c r="R2" s="49"/>
      <c r="S2" s="49"/>
    </row>
    <row r="3" spans="1:19" ht="30" customHeight="1" x14ac:dyDescent="0.25">
      <c r="A3" s="49"/>
      <c r="B3" s="49"/>
      <c r="C3" s="49"/>
      <c r="D3" s="49"/>
      <c r="E3" s="49"/>
      <c r="F3" s="49"/>
      <c r="G3" s="49"/>
      <c r="H3" s="642" t="s">
        <v>233</v>
      </c>
      <c r="I3" s="642"/>
      <c r="J3" s="642"/>
      <c r="K3" s="642"/>
      <c r="L3" s="642"/>
      <c r="M3" s="642"/>
      <c r="N3" s="642"/>
      <c r="O3" s="642"/>
      <c r="P3" s="642"/>
      <c r="Q3" s="642"/>
      <c r="R3" s="49"/>
      <c r="S3" s="49"/>
    </row>
    <row r="4" spans="1:19" ht="30" customHeight="1" x14ac:dyDescent="0.25">
      <c r="A4" s="49"/>
      <c r="B4" s="49"/>
      <c r="C4" s="49"/>
      <c r="D4" s="49"/>
      <c r="E4" s="49"/>
      <c r="F4" s="49"/>
      <c r="G4" s="49"/>
      <c r="H4" s="643" t="s">
        <v>829</v>
      </c>
      <c r="I4" s="643"/>
      <c r="J4" s="643"/>
      <c r="K4" s="643"/>
      <c r="L4" s="643"/>
      <c r="M4" s="643"/>
      <c r="N4" s="643"/>
      <c r="O4" s="643"/>
      <c r="P4" s="643"/>
      <c r="Q4" s="643"/>
      <c r="R4" s="49"/>
      <c r="S4" s="49"/>
    </row>
    <row r="5" spans="1:19" ht="30" customHeight="1" x14ac:dyDescent="0.25">
      <c r="A5" s="49"/>
      <c r="B5" s="49"/>
      <c r="C5" s="49"/>
      <c r="D5" s="49"/>
      <c r="E5" s="49"/>
      <c r="F5" s="49"/>
      <c r="G5" s="49"/>
      <c r="H5" s="644"/>
      <c r="I5" s="644"/>
      <c r="J5" s="644"/>
      <c r="K5" s="644"/>
      <c r="L5" s="644"/>
      <c r="M5" s="644"/>
      <c r="N5" s="644"/>
      <c r="O5" s="644"/>
      <c r="P5" s="644"/>
      <c r="Q5" s="644"/>
      <c r="R5" s="49"/>
      <c r="S5" s="49"/>
    </row>
    <row r="6" spans="1:19" ht="30" customHeight="1" x14ac:dyDescent="0.25">
      <c r="A6" s="49"/>
      <c r="B6" s="49"/>
      <c r="C6" s="49"/>
      <c r="D6" s="49"/>
      <c r="E6" s="49"/>
      <c r="F6" s="49"/>
      <c r="G6" s="49"/>
      <c r="H6" s="638" t="s">
        <v>680</v>
      </c>
      <c r="I6" s="639"/>
      <c r="J6" s="639"/>
      <c r="K6" s="639"/>
      <c r="L6" s="639"/>
      <c r="M6" s="639"/>
      <c r="N6" s="639"/>
      <c r="O6" s="639"/>
      <c r="P6" s="639"/>
      <c r="Q6" s="640"/>
      <c r="R6" s="49"/>
      <c r="S6" s="49"/>
    </row>
    <row r="7" spans="1:19" ht="45" customHeight="1" thickBot="1" x14ac:dyDescent="0.35">
      <c r="A7" s="49"/>
      <c r="B7" s="49"/>
      <c r="C7" s="49"/>
      <c r="D7" s="49"/>
      <c r="E7" s="49"/>
      <c r="F7" s="49"/>
      <c r="G7" s="49"/>
      <c r="H7" s="50" t="s">
        <v>830</v>
      </c>
      <c r="I7" s="51" t="s">
        <v>229</v>
      </c>
      <c r="J7" s="52" t="s">
        <v>831</v>
      </c>
      <c r="K7" s="52" t="s">
        <v>832</v>
      </c>
      <c r="L7" s="52" t="s">
        <v>740</v>
      </c>
      <c r="M7" s="52" t="s">
        <v>247</v>
      </c>
      <c r="N7" s="53" t="s">
        <v>833</v>
      </c>
      <c r="O7" s="53" t="s">
        <v>834</v>
      </c>
      <c r="P7" s="53" t="s">
        <v>835</v>
      </c>
      <c r="Q7" s="53" t="s">
        <v>836</v>
      </c>
      <c r="R7" s="49"/>
      <c r="S7" s="49"/>
    </row>
    <row r="8" spans="1:19" ht="30" customHeight="1" x14ac:dyDescent="0.25">
      <c r="A8" s="49"/>
      <c r="B8" s="49"/>
      <c r="C8" s="49"/>
      <c r="D8" s="49"/>
      <c r="E8" s="49"/>
      <c r="F8" s="49"/>
      <c r="G8" s="49"/>
      <c r="H8" s="54" t="s">
        <v>196</v>
      </c>
      <c r="I8" s="125">
        <v>30</v>
      </c>
      <c r="J8" s="55">
        <f t="shared" ref="J8:P8" si="0">SUM(J9,J10,J11,J12)</f>
        <v>0</v>
      </c>
      <c r="K8" s="55">
        <f t="shared" si="0"/>
        <v>18857</v>
      </c>
      <c r="L8" s="55">
        <f t="shared" si="0"/>
        <v>14917</v>
      </c>
      <c r="M8" s="55">
        <f t="shared" si="0"/>
        <v>33774</v>
      </c>
      <c r="N8" s="55">
        <f t="shared" si="0"/>
        <v>937</v>
      </c>
      <c r="O8" s="55">
        <f t="shared" si="0"/>
        <v>2551</v>
      </c>
      <c r="P8" s="55">
        <f t="shared" si="0"/>
        <v>2551</v>
      </c>
      <c r="Q8" s="56">
        <v>761.67</v>
      </c>
      <c r="R8" s="49"/>
      <c r="S8" s="49"/>
    </row>
    <row r="9" spans="1:19" ht="30" customHeight="1" x14ac:dyDescent="0.25">
      <c r="A9" s="49"/>
      <c r="B9" s="49"/>
      <c r="C9" s="49"/>
      <c r="D9" s="49"/>
      <c r="E9" s="49"/>
      <c r="F9" s="49"/>
      <c r="G9" s="49"/>
      <c r="H9" s="57" t="s">
        <v>837</v>
      </c>
      <c r="I9" s="126">
        <v>101</v>
      </c>
      <c r="J9" s="58">
        <v>0</v>
      </c>
      <c r="K9" s="58">
        <v>4742</v>
      </c>
      <c r="L9" s="58">
        <v>14488</v>
      </c>
      <c r="M9" s="58">
        <f>SUM(FTSEHRI[[#This Row],[Undergraduate]],FTSEHRI[[#This Row],[Master''s¹]],FTSEHRI[[#This Row],[Doctoral]])</f>
        <v>19230</v>
      </c>
      <c r="N9" s="58">
        <v>0</v>
      </c>
      <c r="O9" s="58">
        <f>ROUND(SUM(FTSEHRI[[#This Row],[Undergraduate]]/30,FTSEHRI[[#This Row],[Master''s¹]]/24,FTSEHRI[[#This Row],[Doctoral]]/18,FTSEHRI[[#This Row],[Prof &amp; Special-Prof Headcount]]),0)</f>
        <v>1002</v>
      </c>
      <c r="P9" s="58">
        <v>1002</v>
      </c>
      <c r="Q9" s="59"/>
      <c r="R9" s="49"/>
      <c r="S9" s="49"/>
    </row>
    <row r="10" spans="1:19" ht="30" customHeight="1" x14ac:dyDescent="0.25">
      <c r="A10" s="49"/>
      <c r="B10" s="49"/>
      <c r="C10" s="49"/>
      <c r="D10" s="49"/>
      <c r="E10" s="49"/>
      <c r="F10" s="49"/>
      <c r="G10" s="49"/>
      <c r="H10" s="123" t="s">
        <v>838</v>
      </c>
      <c r="I10" s="127">
        <v>892</v>
      </c>
      <c r="J10" s="121">
        <v>0</v>
      </c>
      <c r="K10" s="121">
        <v>2120</v>
      </c>
      <c r="L10" s="121">
        <v>230</v>
      </c>
      <c r="M10" s="121">
        <f>SUM(FTSEHRI[[#This Row],[Undergraduate]],FTSEHRI[[#This Row],[Master''s¹]],FTSEHRI[[#This Row],[Doctoral]])</f>
        <v>2350</v>
      </c>
      <c r="N10" s="121">
        <v>0</v>
      </c>
      <c r="O10" s="121">
        <f>ROUND(SUM(FTSEHRI[[#This Row],[Undergraduate]]/30,FTSEHRI[[#This Row],[Master''s¹]]/24,FTSEHRI[[#This Row],[Doctoral]]/18,FTSEHRI[[#This Row],[Prof &amp; Special-Prof Headcount]]),0)</f>
        <v>101</v>
      </c>
      <c r="P10" s="121">
        <v>101</v>
      </c>
      <c r="Q10" s="124"/>
      <c r="R10" s="49"/>
      <c r="S10" s="49"/>
    </row>
    <row r="11" spans="1:19" ht="30" customHeight="1" x14ac:dyDescent="0.25">
      <c r="A11" s="49"/>
      <c r="B11" s="49"/>
      <c r="C11" s="49"/>
      <c r="D11" s="49"/>
      <c r="E11" s="49"/>
      <c r="F11" s="49"/>
      <c r="G11" s="49"/>
      <c r="H11" s="57" t="s">
        <v>839</v>
      </c>
      <c r="I11" s="126">
        <v>3660</v>
      </c>
      <c r="J11" s="58">
        <v>0</v>
      </c>
      <c r="K11" s="58">
        <v>0</v>
      </c>
      <c r="L11" s="58">
        <v>0</v>
      </c>
      <c r="M11" s="58">
        <f>SUM(FTSEHRI[[#This Row],[Undergraduate]],FTSEHRI[[#This Row],[Master''s¹]],FTSEHRI[[#This Row],[Doctoral]])</f>
        <v>0</v>
      </c>
      <c r="N11" s="58">
        <v>937</v>
      </c>
      <c r="O11" s="58">
        <f>ROUND(SUM(FTSEHRI[[#This Row],[Undergraduate]]/30,FTSEHRI[[#This Row],[Master''s¹]]/24,FTSEHRI[[#This Row],[Doctoral]]/18,FTSEHRI[[#This Row],[Prof &amp; Special-Prof Headcount]]),0)</f>
        <v>937</v>
      </c>
      <c r="P11" s="58">
        <v>937</v>
      </c>
      <c r="Q11" s="59"/>
      <c r="R11" s="49"/>
      <c r="S11" s="49"/>
    </row>
    <row r="12" spans="1:19" ht="30" customHeight="1" x14ac:dyDescent="0.25">
      <c r="A12" s="49"/>
      <c r="B12" s="49"/>
      <c r="C12" s="49"/>
      <c r="D12" s="49"/>
      <c r="E12" s="49"/>
      <c r="F12" s="49"/>
      <c r="G12" s="49"/>
      <c r="H12" s="123" t="s">
        <v>840</v>
      </c>
      <c r="I12" s="127">
        <v>10019</v>
      </c>
      <c r="J12" s="121">
        <v>0</v>
      </c>
      <c r="K12" s="121">
        <v>11995</v>
      </c>
      <c r="L12" s="121">
        <v>199</v>
      </c>
      <c r="M12" s="121">
        <f>SUM(FTSEHRI[[#This Row],[Undergraduate]],FTSEHRI[[#This Row],[Master''s¹]],FTSEHRI[[#This Row],[Doctoral]])</f>
        <v>12194</v>
      </c>
      <c r="N12" s="121">
        <v>0</v>
      </c>
      <c r="O12" s="121">
        <f>ROUND(SUM(FTSEHRI[[#This Row],[Undergraduate]]/30,FTSEHRI[[#This Row],[Master''s¹]]/24,FTSEHRI[[#This Row],[Doctoral]]/18,FTSEHRI[[#This Row],[Prof &amp; Special-Prof Headcount]]),0)</f>
        <v>511</v>
      </c>
      <c r="P12" s="121">
        <v>511</v>
      </c>
      <c r="Q12" s="124"/>
      <c r="R12" s="49"/>
      <c r="S12" s="49"/>
    </row>
    <row r="13" spans="1:19" ht="30" customHeight="1" x14ac:dyDescent="0.25">
      <c r="A13" s="49"/>
      <c r="B13" s="49"/>
      <c r="C13" s="49"/>
      <c r="D13" s="49"/>
      <c r="E13" s="49"/>
      <c r="F13" s="49"/>
      <c r="G13" s="49"/>
      <c r="H13" s="54" t="s">
        <v>198</v>
      </c>
      <c r="I13" s="125">
        <v>104952</v>
      </c>
      <c r="J13" s="55">
        <f t="shared" ref="J13:P13" si="1">SUM(J14,J15,J16,J17,J18)</f>
        <v>22088</v>
      </c>
      <c r="K13" s="55">
        <f t="shared" si="1"/>
        <v>41145</v>
      </c>
      <c r="L13" s="55">
        <f t="shared" si="1"/>
        <v>5412</v>
      </c>
      <c r="M13" s="55">
        <f t="shared" si="1"/>
        <v>68645</v>
      </c>
      <c r="N13" s="55">
        <f t="shared" si="1"/>
        <v>941</v>
      </c>
      <c r="O13" s="55">
        <f t="shared" si="1"/>
        <v>3693</v>
      </c>
      <c r="P13" s="55">
        <f t="shared" si="1"/>
        <v>3678</v>
      </c>
      <c r="Q13" s="56">
        <v>230.3</v>
      </c>
      <c r="R13" s="49"/>
      <c r="S13" s="49"/>
    </row>
    <row r="14" spans="1:19" ht="30" customHeight="1" x14ac:dyDescent="0.25">
      <c r="A14" s="49"/>
      <c r="B14" s="49"/>
      <c r="C14" s="49"/>
      <c r="D14" s="49"/>
      <c r="E14" s="49"/>
      <c r="F14" s="49"/>
      <c r="G14" s="49"/>
      <c r="H14" s="57" t="s">
        <v>837</v>
      </c>
      <c r="I14" s="126">
        <v>401</v>
      </c>
      <c r="J14" s="58">
        <v>0</v>
      </c>
      <c r="K14" s="58">
        <v>997</v>
      </c>
      <c r="L14" s="58">
        <v>4361</v>
      </c>
      <c r="M14" s="58">
        <v>5358</v>
      </c>
      <c r="N14" s="58">
        <v>0</v>
      </c>
      <c r="O14" s="58">
        <f>ROUND(SUM(FTSEHRI[[#This Row],[Undergraduate]]/30,FTSEHRI[[#This Row],[Master''s¹]]/24,FTSEHRI[[#This Row],[Doctoral]]/18,FTSEHRI[[#This Row],[Prof &amp; Special-Prof Headcount]]),0)</f>
        <v>284</v>
      </c>
      <c r="P14" s="58">
        <v>278</v>
      </c>
      <c r="Q14" s="59"/>
      <c r="R14" s="49"/>
      <c r="S14" s="49"/>
    </row>
    <row r="15" spans="1:19" ht="30" customHeight="1" x14ac:dyDescent="0.25">
      <c r="A15" s="49"/>
      <c r="B15" s="49"/>
      <c r="C15" s="49"/>
      <c r="D15" s="49"/>
      <c r="E15" s="49"/>
      <c r="F15" s="49"/>
      <c r="G15" s="49"/>
      <c r="H15" s="123" t="s">
        <v>841</v>
      </c>
      <c r="I15" s="127">
        <v>402</v>
      </c>
      <c r="J15" s="121">
        <v>20845</v>
      </c>
      <c r="K15" s="121">
        <v>7941</v>
      </c>
      <c r="L15" s="121">
        <v>484</v>
      </c>
      <c r="M15" s="121">
        <v>29270</v>
      </c>
      <c r="N15" s="121">
        <v>0</v>
      </c>
      <c r="O15" s="121">
        <f>ROUND(SUM(FTSEHRI[[#This Row],[Undergraduate]]/30,FTSEHRI[[#This Row],[Master''s¹]]/24,FTSEHRI[[#This Row],[Doctoral]]/18,FTSEHRI[[#This Row],[Prof &amp; Special-Prof Headcount]]),0)</f>
        <v>1053</v>
      </c>
      <c r="P15" s="121">
        <v>1052</v>
      </c>
      <c r="Q15" s="124"/>
      <c r="R15" s="49"/>
      <c r="S15" s="49"/>
    </row>
    <row r="16" spans="1:19" ht="30" customHeight="1" x14ac:dyDescent="0.25">
      <c r="A16" s="49"/>
      <c r="B16" s="49"/>
      <c r="C16" s="49"/>
      <c r="D16" s="49"/>
      <c r="E16" s="49"/>
      <c r="F16" s="49"/>
      <c r="G16" s="49"/>
      <c r="H16" s="57" t="s">
        <v>840</v>
      </c>
      <c r="I16" s="126">
        <v>403</v>
      </c>
      <c r="J16" s="58">
        <v>1243</v>
      </c>
      <c r="K16" s="58">
        <v>30884</v>
      </c>
      <c r="L16" s="58">
        <v>0</v>
      </c>
      <c r="M16" s="58">
        <v>32127</v>
      </c>
      <c r="N16" s="58">
        <v>0</v>
      </c>
      <c r="O16" s="58">
        <f>ROUND(SUM(FTSEHRI[[#This Row],[Undergraduate]]/30,FTSEHRI[[#This Row],[Master''s¹]]/24,FTSEHRI[[#This Row],[Doctoral]]/18,FTSEHRI[[#This Row],[Prof &amp; Special-Prof Headcount]]),0)</f>
        <v>1328</v>
      </c>
      <c r="P16" s="58">
        <v>1321</v>
      </c>
      <c r="Q16" s="59"/>
      <c r="R16" s="49"/>
      <c r="S16" s="49"/>
    </row>
    <row r="17" spans="1:19" ht="30" customHeight="1" x14ac:dyDescent="0.25">
      <c r="A17" s="49"/>
      <c r="B17" s="49"/>
      <c r="C17" s="49"/>
      <c r="D17" s="49"/>
      <c r="E17" s="49"/>
      <c r="F17" s="49"/>
      <c r="G17" s="49"/>
      <c r="H17" s="123" t="s">
        <v>842</v>
      </c>
      <c r="I17" s="127">
        <v>425</v>
      </c>
      <c r="J17" s="121">
        <v>0</v>
      </c>
      <c r="K17" s="121">
        <v>1323</v>
      </c>
      <c r="L17" s="121">
        <v>567</v>
      </c>
      <c r="M17" s="121">
        <f>SUM(FTSEHRI[[#This Row],[Undergraduate]],FTSEHRI[[#This Row],[Master''s¹]],FTSEHRI[[#This Row],[Doctoral]])</f>
        <v>1890</v>
      </c>
      <c r="N17" s="121">
        <v>0</v>
      </c>
      <c r="O17" s="121">
        <f>ROUND(SUM(FTSEHRI[[#This Row],[Undergraduate]]/30,FTSEHRI[[#This Row],[Master''s¹]]/24,FTSEHRI[[#This Row],[Doctoral]]/18,FTSEHRI[[#This Row],[Prof &amp; Special-Prof Headcount]]),0)</f>
        <v>87</v>
      </c>
      <c r="P17" s="121">
        <v>86</v>
      </c>
      <c r="Q17" s="124"/>
      <c r="R17" s="49"/>
      <c r="S17" s="49"/>
    </row>
    <row r="18" spans="1:19" ht="30" customHeight="1" x14ac:dyDescent="0.25">
      <c r="A18" s="49"/>
      <c r="B18" s="49"/>
      <c r="C18" s="49"/>
      <c r="D18" s="49"/>
      <c r="E18" s="49"/>
      <c r="F18" s="49"/>
      <c r="G18" s="49"/>
      <c r="H18" s="57" t="s">
        <v>843</v>
      </c>
      <c r="I18" s="126">
        <v>4952</v>
      </c>
      <c r="J18" s="58">
        <v>0</v>
      </c>
      <c r="K18" s="58">
        <v>0</v>
      </c>
      <c r="L18" s="58">
        <v>0</v>
      </c>
      <c r="M18" s="58">
        <f>SUM(FTSEHRI[[#This Row],[Undergraduate]],FTSEHRI[[#This Row],[Master''s¹]],FTSEHRI[[#This Row],[Doctoral]])</f>
        <v>0</v>
      </c>
      <c r="N18" s="58">
        <v>941</v>
      </c>
      <c r="O18" s="58">
        <f>ROUND(SUM(FTSEHRI[[#This Row],[Undergraduate]]/30,FTSEHRI[[#This Row],[Master''s¹]]/24,FTSEHRI[[#This Row],[Doctoral]]/18,FTSEHRI[[#This Row],[Prof &amp; Special-Prof Headcount]]),0)</f>
        <v>941</v>
      </c>
      <c r="P18" s="58">
        <v>941</v>
      </c>
      <c r="Q18" s="59"/>
      <c r="R18" s="49"/>
      <c r="S18" s="49"/>
    </row>
    <row r="19" spans="1:19" ht="30" customHeight="1" x14ac:dyDescent="0.25">
      <c r="A19" s="49"/>
      <c r="B19" s="49"/>
      <c r="C19" s="49"/>
      <c r="D19" s="49"/>
      <c r="E19" s="49"/>
      <c r="F19" s="49"/>
      <c r="G19" s="49"/>
      <c r="H19" s="54" t="s">
        <v>199</v>
      </c>
      <c r="I19" s="125">
        <v>11618</v>
      </c>
      <c r="J19" s="55">
        <f>SUM(J20,J21,J22,J23,J24,J25,J26,J27,J28)</f>
        <v>18549</v>
      </c>
      <c r="K19" s="55">
        <f t="shared" ref="K19:P19" si="2">SUM(K20,K21,K22,K23,K24,K25,K26,K27,K28)</f>
        <v>37889</v>
      </c>
      <c r="L19" s="55">
        <f t="shared" si="2"/>
        <v>18558</v>
      </c>
      <c r="M19" s="55">
        <f t="shared" si="2"/>
        <v>74996</v>
      </c>
      <c r="N19" s="55">
        <f t="shared" si="2"/>
        <v>1506</v>
      </c>
      <c r="O19" s="55">
        <f t="shared" si="2"/>
        <v>4733</v>
      </c>
      <c r="P19" s="55">
        <f t="shared" si="2"/>
        <v>4684</v>
      </c>
      <c r="Q19" s="56">
        <v>330.59</v>
      </c>
      <c r="R19" s="49"/>
      <c r="S19" s="49"/>
    </row>
    <row r="20" spans="1:19" ht="30" customHeight="1" x14ac:dyDescent="0.25">
      <c r="A20" s="49"/>
      <c r="B20" s="49"/>
      <c r="C20" s="49"/>
      <c r="D20" s="49"/>
      <c r="E20" s="49"/>
      <c r="F20" s="49"/>
      <c r="G20" s="49"/>
      <c r="H20" s="57" t="s">
        <v>841</v>
      </c>
      <c r="I20" s="126">
        <v>201</v>
      </c>
      <c r="J20" s="58">
        <v>16622</v>
      </c>
      <c r="K20" s="58">
        <v>13755</v>
      </c>
      <c r="L20" s="58">
        <v>521</v>
      </c>
      <c r="M20" s="58">
        <f>SUM(FTSEHRI[[#This Row],[Undergraduate]],FTSEHRI[[#This Row],[Master''s¹]],FTSEHRI[[#This Row],[Doctoral]])</f>
        <v>30898</v>
      </c>
      <c r="N20" s="58">
        <v>0</v>
      </c>
      <c r="O20" s="58">
        <f>ROUND(SUM(FTSEHRI[[#This Row],[Undergraduate]]/30,FTSEHRI[[#This Row],[Master''s¹]]/24,FTSEHRI[[#This Row],[Doctoral]]/18,FTSEHRI[[#This Row],[Prof &amp; Special-Prof Headcount]]),0)</f>
        <v>1156</v>
      </c>
      <c r="P20" s="58">
        <v>1154</v>
      </c>
      <c r="Q20" s="59"/>
      <c r="R20" s="49"/>
      <c r="S20" s="49"/>
    </row>
    <row r="21" spans="1:19" ht="30" customHeight="1" x14ac:dyDescent="0.25">
      <c r="A21" s="49"/>
      <c r="B21" s="49"/>
      <c r="C21" s="49"/>
      <c r="D21" s="49"/>
      <c r="E21" s="49"/>
      <c r="F21" s="49"/>
      <c r="G21" s="49"/>
      <c r="H21" s="123" t="s">
        <v>844</v>
      </c>
      <c r="I21" s="127">
        <v>203</v>
      </c>
      <c r="J21" s="121">
        <v>0</v>
      </c>
      <c r="K21" s="121">
        <v>4514</v>
      </c>
      <c r="L21" s="121">
        <v>797</v>
      </c>
      <c r="M21" s="121">
        <f>SUM(FTSEHRI[[#This Row],[Undergraduate]],FTSEHRI[[#This Row],[Master''s¹]],FTSEHRI[[#This Row],[Doctoral]])</f>
        <v>5311</v>
      </c>
      <c r="N21" s="121">
        <v>0</v>
      </c>
      <c r="O21" s="121">
        <f>ROUND(SUM(FTSEHRI[[#This Row],[Undergraduate]]/30,FTSEHRI[[#This Row],[Master''s¹]]/24,FTSEHRI[[#This Row],[Doctoral]]/18,FTSEHRI[[#This Row],[Prof &amp; Special-Prof Headcount]]),0)</f>
        <v>232</v>
      </c>
      <c r="P21" s="121">
        <v>232</v>
      </c>
      <c r="Q21" s="124"/>
      <c r="R21" s="49"/>
      <c r="S21" s="49"/>
    </row>
    <row r="22" spans="1:19" ht="30" customHeight="1" x14ac:dyDescent="0.25">
      <c r="A22" s="49"/>
      <c r="B22" s="49"/>
      <c r="C22" s="49"/>
      <c r="D22" s="49"/>
      <c r="E22" s="49"/>
      <c r="F22" s="49"/>
      <c r="G22" s="49"/>
      <c r="H22" s="57" t="s">
        <v>845</v>
      </c>
      <c r="I22" s="126">
        <v>410</v>
      </c>
      <c r="J22" s="58">
        <v>1927</v>
      </c>
      <c r="K22" s="58">
        <v>45</v>
      </c>
      <c r="L22" s="58">
        <v>0</v>
      </c>
      <c r="M22" s="58">
        <f>SUM(FTSEHRI[[#This Row],[Undergraduate]],FTSEHRI[[#This Row],[Master''s¹]],FTSEHRI[[#This Row],[Doctoral]])</f>
        <v>1972</v>
      </c>
      <c r="N22" s="58">
        <v>0</v>
      </c>
      <c r="O22" s="58">
        <f>ROUND(SUM(FTSEHRI[[#This Row],[Undergraduate]]/30,FTSEHRI[[#This Row],[Master''s¹]]/24,FTSEHRI[[#This Row],[Doctoral]]/18,FTSEHRI[[#This Row],[Prof &amp; Special-Prof Headcount]]),0)</f>
        <v>66</v>
      </c>
      <c r="P22" s="58">
        <v>65</v>
      </c>
      <c r="Q22" s="59"/>
      <c r="R22" s="49"/>
      <c r="S22" s="49"/>
    </row>
    <row r="23" spans="1:19" ht="30" customHeight="1" x14ac:dyDescent="0.25">
      <c r="A23" s="49"/>
      <c r="B23" s="49"/>
      <c r="C23" s="49"/>
      <c r="D23" s="49"/>
      <c r="E23" s="49"/>
      <c r="F23" s="49"/>
      <c r="G23" s="49"/>
      <c r="H23" s="123" t="s">
        <v>846</v>
      </c>
      <c r="I23" s="127">
        <v>411</v>
      </c>
      <c r="J23" s="121">
        <v>0</v>
      </c>
      <c r="K23" s="121">
        <v>0</v>
      </c>
      <c r="L23" s="121">
        <v>0</v>
      </c>
      <c r="M23" s="121">
        <f>SUM(FTSEHRI[[#This Row],[Undergraduate]],FTSEHRI[[#This Row],[Master''s¹]],FTSEHRI[[#This Row],[Doctoral]])</f>
        <v>0</v>
      </c>
      <c r="N23" s="121">
        <v>92</v>
      </c>
      <c r="O23" s="121">
        <f>ROUND(SUM(FTSEHRI[[#This Row],[Undergraduate]]/30,FTSEHRI[[#This Row],[Master''s¹]]/24,FTSEHRI[[#This Row],[Doctoral]]/18,FTSEHRI[[#This Row],[Prof &amp; Special-Prof Headcount]]),0)</f>
        <v>92</v>
      </c>
      <c r="P23" s="121">
        <v>92</v>
      </c>
      <c r="Q23" s="124"/>
      <c r="R23" s="49"/>
      <c r="S23" s="49"/>
    </row>
    <row r="24" spans="1:19" ht="30" customHeight="1" x14ac:dyDescent="0.25">
      <c r="A24" s="49"/>
      <c r="B24" s="49"/>
      <c r="C24" s="49"/>
      <c r="D24" s="49"/>
      <c r="E24" s="49"/>
      <c r="F24" s="49"/>
      <c r="G24" s="49"/>
      <c r="H24" s="57" t="s">
        <v>847</v>
      </c>
      <c r="I24" s="126">
        <v>4951</v>
      </c>
      <c r="J24" s="58">
        <v>0</v>
      </c>
      <c r="K24" s="58">
        <v>0</v>
      </c>
      <c r="L24" s="58">
        <v>0</v>
      </c>
      <c r="M24" s="58">
        <f>SUM(FTSEHRI[[#This Row],[Undergraduate]],FTSEHRI[[#This Row],[Master''s¹]],FTSEHRI[[#This Row],[Doctoral]])</f>
        <v>0</v>
      </c>
      <c r="N24" s="58">
        <v>424</v>
      </c>
      <c r="O24" s="58">
        <f>ROUND(SUM(FTSEHRI[[#This Row],[Undergraduate]]/30,FTSEHRI[[#This Row],[Master''s¹]]/24,FTSEHRI[[#This Row],[Doctoral]]/18,FTSEHRI[[#This Row],[Prof &amp; Special-Prof Headcount]]),0)</f>
        <v>424</v>
      </c>
      <c r="P24" s="58">
        <v>424</v>
      </c>
      <c r="Q24" s="59"/>
      <c r="R24" s="49"/>
      <c r="S24" s="49"/>
    </row>
    <row r="25" spans="1:19" ht="30" customHeight="1" x14ac:dyDescent="0.25">
      <c r="A25" s="49"/>
      <c r="B25" s="49"/>
      <c r="C25" s="49"/>
      <c r="D25" s="49"/>
      <c r="E25" s="49"/>
      <c r="F25" s="49"/>
      <c r="G25" s="49"/>
      <c r="H25" s="123" t="s">
        <v>837</v>
      </c>
      <c r="I25" s="127">
        <v>4954</v>
      </c>
      <c r="J25" s="121">
        <v>0</v>
      </c>
      <c r="K25" s="121">
        <v>1954</v>
      </c>
      <c r="L25" s="121">
        <v>9343</v>
      </c>
      <c r="M25" s="121">
        <f>SUM(FTSEHRI[[#This Row],[Undergraduate]],FTSEHRI[[#This Row],[Master''s¹]],FTSEHRI[[#This Row],[Doctoral]])</f>
        <v>11297</v>
      </c>
      <c r="N25" s="121">
        <v>0</v>
      </c>
      <c r="O25" s="121">
        <f>ROUND(SUM(FTSEHRI[[#This Row],[Undergraduate]]/30,FTSEHRI[[#This Row],[Master''s¹]]/24,FTSEHRI[[#This Row],[Doctoral]]/18,FTSEHRI[[#This Row],[Prof &amp; Special-Prof Headcount]]),0)</f>
        <v>600</v>
      </c>
      <c r="P25" s="121">
        <v>557</v>
      </c>
      <c r="Q25" s="124"/>
      <c r="R25" s="49"/>
      <c r="S25" s="49"/>
    </row>
    <row r="26" spans="1:19" ht="30" customHeight="1" x14ac:dyDescent="0.25">
      <c r="A26" s="49"/>
      <c r="B26" s="49"/>
      <c r="C26" s="49"/>
      <c r="D26" s="49"/>
      <c r="E26" s="49"/>
      <c r="F26" s="49"/>
      <c r="G26" s="49"/>
      <c r="H26" s="57" t="s">
        <v>842</v>
      </c>
      <c r="I26" s="126">
        <v>6956</v>
      </c>
      <c r="J26" s="58">
        <v>0</v>
      </c>
      <c r="K26" s="58">
        <v>15057</v>
      </c>
      <c r="L26" s="58">
        <v>7897</v>
      </c>
      <c r="M26" s="58">
        <f>SUM(FTSEHRI[[#This Row],[Undergraduate]],FTSEHRI[[#This Row],[Master''s¹]],FTSEHRI[[#This Row],[Doctoral]])</f>
        <v>22954</v>
      </c>
      <c r="N26" s="58">
        <v>0</v>
      </c>
      <c r="O26" s="58">
        <f>ROUND(SUM(FTSEHRI[[#This Row],[Undergraduate]]/30,FTSEHRI[[#This Row],[Master''s¹]]/24,FTSEHRI[[#This Row],[Doctoral]]/18,FTSEHRI[[#This Row],[Prof &amp; Special-Prof Headcount]]),0)</f>
        <v>1066</v>
      </c>
      <c r="P26" s="58">
        <v>1063</v>
      </c>
      <c r="Q26" s="59"/>
      <c r="R26" s="49"/>
      <c r="S26" s="49"/>
    </row>
    <row r="27" spans="1:19" ht="30" customHeight="1" x14ac:dyDescent="0.25">
      <c r="A27" s="49"/>
      <c r="B27" s="49"/>
      <c r="C27" s="49"/>
      <c r="D27" s="49"/>
      <c r="E27" s="49"/>
      <c r="F27" s="49"/>
      <c r="G27" s="49"/>
      <c r="H27" s="123" t="s">
        <v>843</v>
      </c>
      <c r="I27" s="127">
        <v>9348</v>
      </c>
      <c r="J27" s="121">
        <v>0</v>
      </c>
      <c r="K27" s="121">
        <v>0</v>
      </c>
      <c r="L27" s="121">
        <v>0</v>
      </c>
      <c r="M27" s="121">
        <f>SUM(FTSEHRI[[#This Row],[Undergraduate]],FTSEHRI[[#This Row],[Master''s¹]],FTSEHRI[[#This Row],[Doctoral]])</f>
        <v>0</v>
      </c>
      <c r="N27" s="121">
        <v>990</v>
      </c>
      <c r="O27" s="121">
        <f>ROUND(SUM(FTSEHRI[[#This Row],[Undergraduate]]/30,FTSEHRI[[#This Row],[Master''s¹]]/24,FTSEHRI[[#This Row],[Doctoral]]/18,FTSEHRI[[#This Row],[Prof &amp; Special-Prof Headcount]]),0)</f>
        <v>990</v>
      </c>
      <c r="P27" s="121">
        <v>990</v>
      </c>
      <c r="Q27" s="124"/>
      <c r="R27" s="49"/>
      <c r="S27" s="49"/>
    </row>
    <row r="28" spans="1:19" ht="30" customHeight="1" x14ac:dyDescent="0.25">
      <c r="A28" s="49"/>
      <c r="B28" s="49"/>
      <c r="C28" s="49"/>
      <c r="D28" s="49"/>
      <c r="E28" s="49"/>
      <c r="F28" s="49"/>
      <c r="G28" s="49"/>
      <c r="H28" s="57" t="s">
        <v>848</v>
      </c>
      <c r="I28" s="126">
        <v>109348</v>
      </c>
      <c r="J28" s="58">
        <v>0</v>
      </c>
      <c r="K28" s="58">
        <v>2564</v>
      </c>
      <c r="L28" s="58">
        <v>0</v>
      </c>
      <c r="M28" s="58">
        <f>SUM(FTSEHRI[[#This Row],[Undergraduate]],FTSEHRI[[#This Row],[Master''s¹]],FTSEHRI[[#This Row],[Doctoral]])</f>
        <v>2564</v>
      </c>
      <c r="N28" s="58">
        <v>0</v>
      </c>
      <c r="O28" s="58">
        <f>ROUND(SUM(FTSEHRI[[#This Row],[Undergraduate]]/30,FTSEHRI[[#This Row],[Master''s¹]]/24,FTSEHRI[[#This Row],[Doctoral]]/18,FTSEHRI[[#This Row],[Prof &amp; Special-Prof Headcount]]),0)</f>
        <v>107</v>
      </c>
      <c r="P28" s="58">
        <v>107</v>
      </c>
      <c r="Q28" s="59"/>
      <c r="R28" s="49"/>
      <c r="S28" s="49"/>
    </row>
    <row r="29" spans="1:19" ht="30" customHeight="1" x14ac:dyDescent="0.25">
      <c r="A29" s="49"/>
      <c r="B29" s="49"/>
      <c r="C29" s="49"/>
      <c r="D29" s="49"/>
      <c r="E29" s="49"/>
      <c r="F29" s="49"/>
      <c r="G29" s="49"/>
      <c r="H29" s="54" t="s">
        <v>200</v>
      </c>
      <c r="I29" s="125">
        <v>40</v>
      </c>
      <c r="J29" s="55">
        <f>SUM(J30,J31,J32,J33,J34,J35,J36,J37,J38)</f>
        <v>32742</v>
      </c>
      <c r="K29" s="55">
        <f t="shared" ref="K29:P29" si="3">SUM(K30,K31,K32,K33,K34,K35,K36,K37,K38)</f>
        <v>34782</v>
      </c>
      <c r="L29" s="55">
        <f t="shared" si="3"/>
        <v>5780</v>
      </c>
      <c r="M29" s="55">
        <f t="shared" si="3"/>
        <v>73304</v>
      </c>
      <c r="N29" s="55">
        <f t="shared" si="3"/>
        <v>1434</v>
      </c>
      <c r="O29" s="55">
        <f t="shared" si="3"/>
        <v>4296</v>
      </c>
      <c r="P29" s="55">
        <f t="shared" si="3"/>
        <v>4277</v>
      </c>
      <c r="Q29" s="56">
        <v>369.99</v>
      </c>
      <c r="R29" s="49"/>
      <c r="S29" s="49"/>
    </row>
    <row r="30" spans="1:19" ht="30" customHeight="1" x14ac:dyDescent="0.25">
      <c r="A30" s="49"/>
      <c r="B30" s="49"/>
      <c r="C30" s="49"/>
      <c r="D30" s="49"/>
      <c r="E30" s="49"/>
      <c r="F30" s="49"/>
      <c r="G30" s="49"/>
      <c r="H30" s="57" t="s">
        <v>837</v>
      </c>
      <c r="I30" s="126">
        <v>301</v>
      </c>
      <c r="J30" s="58">
        <v>0</v>
      </c>
      <c r="K30" s="58">
        <v>1553</v>
      </c>
      <c r="L30" s="58">
        <v>5092</v>
      </c>
      <c r="M30" s="58">
        <f>SUM(FTSEHRI[[#This Row],[Undergraduate]],FTSEHRI[[#This Row],[Master''s¹]],FTSEHRI[[#This Row],[Doctoral]])</f>
        <v>6645</v>
      </c>
      <c r="N30" s="58">
        <v>0</v>
      </c>
      <c r="O30" s="58">
        <f>ROUND(SUM(FTSEHRI[[#This Row],[Undergraduate]]/30,FTSEHRI[[#This Row],[Master''s¹]]/24,FTSEHRI[[#This Row],[Doctoral]]/18,FTSEHRI[[#This Row],[Prof &amp; Special-Prof Headcount]]),0)</f>
        <v>348</v>
      </c>
      <c r="P30" s="58">
        <v>339</v>
      </c>
      <c r="Q30" s="59"/>
      <c r="R30" s="49"/>
      <c r="S30" s="49"/>
    </row>
    <row r="31" spans="1:19" ht="30" customHeight="1" x14ac:dyDescent="0.25">
      <c r="A31" s="49"/>
      <c r="B31" s="49"/>
      <c r="C31" s="49"/>
      <c r="D31" s="49"/>
      <c r="E31" s="49"/>
      <c r="F31" s="49"/>
      <c r="G31" s="49"/>
      <c r="H31" s="123" t="s">
        <v>841</v>
      </c>
      <c r="I31" s="127">
        <v>302</v>
      </c>
      <c r="J31" s="121">
        <v>23425</v>
      </c>
      <c r="K31" s="121">
        <v>3892</v>
      </c>
      <c r="L31" s="121">
        <v>208</v>
      </c>
      <c r="M31" s="121">
        <f>SUM(FTSEHRI[[#This Row],[Undergraduate]],FTSEHRI[[#This Row],[Master''s¹]],FTSEHRI[[#This Row],[Doctoral]])</f>
        <v>27525</v>
      </c>
      <c r="N31" s="121">
        <v>0</v>
      </c>
      <c r="O31" s="121">
        <f>ROUND(SUM(FTSEHRI[[#This Row],[Undergraduate]]/30,FTSEHRI[[#This Row],[Master''s¹]]/24,FTSEHRI[[#This Row],[Doctoral]]/18,FTSEHRI[[#This Row],[Prof &amp; Special-Prof Headcount]]),0)</f>
        <v>955</v>
      </c>
      <c r="P31" s="121">
        <v>950</v>
      </c>
      <c r="Q31" s="124"/>
      <c r="R31" s="49"/>
      <c r="S31" s="49"/>
    </row>
    <row r="32" spans="1:19" ht="30" customHeight="1" x14ac:dyDescent="0.25">
      <c r="A32" s="49"/>
      <c r="B32" s="49"/>
      <c r="C32" s="49"/>
      <c r="D32" s="49"/>
      <c r="E32" s="49"/>
      <c r="F32" s="49"/>
      <c r="G32" s="49"/>
      <c r="H32" s="57" t="s">
        <v>840</v>
      </c>
      <c r="I32" s="126">
        <v>303</v>
      </c>
      <c r="J32" s="58">
        <v>7668</v>
      </c>
      <c r="K32" s="58">
        <v>28109</v>
      </c>
      <c r="L32" s="58">
        <v>480</v>
      </c>
      <c r="M32" s="58">
        <f>SUM(FTSEHRI[[#This Row],[Undergraduate]],FTSEHRI[[#This Row],[Master''s¹]],FTSEHRI[[#This Row],[Doctoral]])</f>
        <v>36257</v>
      </c>
      <c r="N32" s="58">
        <v>0</v>
      </c>
      <c r="O32" s="58">
        <f>ROUND(SUM(FTSEHRI[[#This Row],[Undergraduate]]/30,FTSEHRI[[#This Row],[Master''s¹]]/24,FTSEHRI[[#This Row],[Doctoral]]/18,FTSEHRI[[#This Row],[Prof &amp; Special-Prof Headcount]]),0)</f>
        <v>1453</v>
      </c>
      <c r="P32" s="58">
        <v>1448</v>
      </c>
      <c r="Q32" s="59"/>
      <c r="R32" s="49"/>
      <c r="S32" s="49"/>
    </row>
    <row r="33" spans="1:19" ht="30" customHeight="1" x14ac:dyDescent="0.25">
      <c r="A33" s="49"/>
      <c r="B33" s="49"/>
      <c r="C33" s="49"/>
      <c r="D33" s="49"/>
      <c r="E33" s="49"/>
      <c r="F33" s="49"/>
      <c r="G33" s="49"/>
      <c r="H33" s="123" t="s">
        <v>849</v>
      </c>
      <c r="I33" s="127">
        <v>304</v>
      </c>
      <c r="J33" s="121">
        <v>0</v>
      </c>
      <c r="K33" s="121">
        <v>24</v>
      </c>
      <c r="L33" s="121">
        <v>0</v>
      </c>
      <c r="M33" s="121">
        <f>SUM(FTSEHRI[[#This Row],[Undergraduate]],FTSEHRI[[#This Row],[Master''s¹]],FTSEHRI[[#This Row],[Doctoral]])</f>
        <v>24</v>
      </c>
      <c r="N33" s="121">
        <v>101</v>
      </c>
      <c r="O33" s="121">
        <f>ROUND(SUM(FTSEHRI[[#This Row],[Undergraduate]]/30,FTSEHRI[[#This Row],[Master''s¹]]/24,FTSEHRI[[#This Row],[Doctoral]]/18,FTSEHRI[[#This Row],[Prof &amp; Special-Prof Headcount]]),0)</f>
        <v>102</v>
      </c>
      <c r="P33" s="121">
        <v>102</v>
      </c>
      <c r="Q33" s="124"/>
      <c r="R33" s="49"/>
      <c r="S33" s="49"/>
    </row>
    <row r="34" spans="1:19" ht="30" customHeight="1" x14ac:dyDescent="0.25">
      <c r="A34" s="49"/>
      <c r="B34" s="49"/>
      <c r="C34" s="49"/>
      <c r="D34" s="49"/>
      <c r="E34" s="49"/>
      <c r="F34" s="49"/>
      <c r="G34" s="49"/>
      <c r="H34" s="57" t="s">
        <v>848</v>
      </c>
      <c r="I34" s="126">
        <v>305</v>
      </c>
      <c r="J34" s="58">
        <v>0</v>
      </c>
      <c r="K34" s="58">
        <v>340</v>
      </c>
      <c r="L34" s="58">
        <v>0</v>
      </c>
      <c r="M34" s="58">
        <f>SUM(FTSEHRI[[#This Row],[Undergraduate]],FTSEHRI[[#This Row],[Master''s¹]],FTSEHRI[[#This Row],[Doctoral]])</f>
        <v>340</v>
      </c>
      <c r="N34" s="58">
        <v>0</v>
      </c>
      <c r="O34" s="58">
        <f>ROUND(SUM(FTSEHRI[[#This Row],[Undergraduate]]/30,FTSEHRI[[#This Row],[Master''s¹]]/24,FTSEHRI[[#This Row],[Doctoral]]/18,FTSEHRI[[#This Row],[Prof &amp; Special-Prof Headcount]]),0)</f>
        <v>14</v>
      </c>
      <c r="P34" s="58">
        <v>14</v>
      </c>
      <c r="Q34" s="59"/>
      <c r="R34" s="49"/>
      <c r="S34" s="49"/>
    </row>
    <row r="35" spans="1:19" ht="30" customHeight="1" x14ac:dyDescent="0.25">
      <c r="A35" s="49"/>
      <c r="B35" s="49"/>
      <c r="C35" s="49"/>
      <c r="D35" s="49"/>
      <c r="E35" s="49"/>
      <c r="F35" s="49"/>
      <c r="G35" s="49"/>
      <c r="H35" s="123" t="s">
        <v>850</v>
      </c>
      <c r="I35" s="127">
        <v>311</v>
      </c>
      <c r="J35" s="121">
        <v>1649</v>
      </c>
      <c r="K35" s="121">
        <v>0</v>
      </c>
      <c r="L35" s="121">
        <v>0</v>
      </c>
      <c r="M35" s="121">
        <f>SUM(FTSEHRI[[#This Row],[Undergraduate]],FTSEHRI[[#This Row],[Master''s¹]],FTSEHRI[[#This Row],[Doctoral]])</f>
        <v>1649</v>
      </c>
      <c r="N35" s="121">
        <v>0</v>
      </c>
      <c r="O35" s="121">
        <f>ROUND(SUM(FTSEHRI[[#This Row],[Undergraduate]]/30,FTSEHRI[[#This Row],[Master''s¹]]/24,FTSEHRI[[#This Row],[Doctoral]]/18,FTSEHRI[[#This Row],[Prof &amp; Special-Prof Headcount]]),0)</f>
        <v>55</v>
      </c>
      <c r="P35" s="121">
        <v>55</v>
      </c>
      <c r="Q35" s="124"/>
      <c r="R35" s="49"/>
      <c r="S35" s="49"/>
    </row>
    <row r="36" spans="1:19" ht="30" customHeight="1" x14ac:dyDescent="0.25">
      <c r="A36" s="49"/>
      <c r="B36" s="49"/>
      <c r="C36" s="49"/>
      <c r="D36" s="49"/>
      <c r="E36" s="49"/>
      <c r="F36" s="49"/>
      <c r="G36" s="49"/>
      <c r="H36" s="57" t="s">
        <v>851</v>
      </c>
      <c r="I36" s="126">
        <v>2425</v>
      </c>
      <c r="J36" s="58">
        <v>0</v>
      </c>
      <c r="K36" s="58">
        <v>864</v>
      </c>
      <c r="L36" s="58">
        <v>0</v>
      </c>
      <c r="M36" s="58">
        <f>SUM(FTSEHRI[[#This Row],[Undergraduate]],FTSEHRI[[#This Row],[Master''s¹]],FTSEHRI[[#This Row],[Doctoral]])</f>
        <v>864</v>
      </c>
      <c r="N36" s="58">
        <v>0</v>
      </c>
      <c r="O36" s="58">
        <f>ROUND(SUM(FTSEHRI[[#This Row],[Undergraduate]]/30,FTSEHRI[[#This Row],[Master''s¹]]/24,FTSEHRI[[#This Row],[Doctoral]]/18,FTSEHRI[[#This Row],[Prof &amp; Special-Prof Headcount]]),0)</f>
        <v>36</v>
      </c>
      <c r="P36" s="58">
        <v>36</v>
      </c>
      <c r="Q36" s="59"/>
      <c r="R36" s="49"/>
      <c r="S36" s="49"/>
    </row>
    <row r="37" spans="1:19" ht="30" customHeight="1" x14ac:dyDescent="0.25">
      <c r="A37" s="49"/>
      <c r="B37" s="49"/>
      <c r="C37" s="49"/>
      <c r="D37" s="49"/>
      <c r="E37" s="49"/>
      <c r="F37" s="49"/>
      <c r="G37" s="49"/>
      <c r="H37" s="123" t="s">
        <v>843</v>
      </c>
      <c r="I37" s="127">
        <v>3659</v>
      </c>
      <c r="J37" s="121">
        <v>0</v>
      </c>
      <c r="K37" s="121">
        <v>0</v>
      </c>
      <c r="L37" s="121">
        <v>0</v>
      </c>
      <c r="M37" s="121">
        <f>SUM(FTSEHRI[[#This Row],[Undergraduate]],FTSEHRI[[#This Row],[Master''s¹]],FTSEHRI[[#This Row],[Doctoral]])</f>
        <v>0</v>
      </c>
      <c r="N37" s="121">
        <v>906</v>
      </c>
      <c r="O37" s="121">
        <f>ROUND(SUM(FTSEHRI[[#This Row],[Undergraduate]]/30,FTSEHRI[[#This Row],[Master''s¹]]/24,FTSEHRI[[#This Row],[Doctoral]]/18,FTSEHRI[[#This Row],[Prof &amp; Special-Prof Headcount]]),0)</f>
        <v>906</v>
      </c>
      <c r="P37" s="121">
        <v>906</v>
      </c>
      <c r="Q37" s="124"/>
      <c r="R37" s="49"/>
      <c r="S37" s="49"/>
    </row>
    <row r="38" spans="1:19" ht="30" customHeight="1" x14ac:dyDescent="0.25">
      <c r="A38" s="49"/>
      <c r="B38" s="49"/>
      <c r="C38" s="49"/>
      <c r="D38" s="49"/>
      <c r="E38" s="49"/>
      <c r="F38" s="49"/>
      <c r="G38" s="49"/>
      <c r="H38" s="57" t="s">
        <v>847</v>
      </c>
      <c r="I38" s="126">
        <v>9799</v>
      </c>
      <c r="J38" s="58">
        <v>0</v>
      </c>
      <c r="K38" s="58">
        <v>0</v>
      </c>
      <c r="L38" s="58">
        <v>0</v>
      </c>
      <c r="M38" s="58">
        <f>SUM(FTSEHRI[[#This Row],[Undergraduate]],FTSEHRI[[#This Row],[Master''s¹]],FTSEHRI[[#This Row],[Doctoral]])</f>
        <v>0</v>
      </c>
      <c r="N38" s="58">
        <v>427</v>
      </c>
      <c r="O38" s="58">
        <f>ROUND(SUM(FTSEHRI[[#This Row],[Undergraduate]]/30,FTSEHRI[[#This Row],[Master''s¹]]/24,FTSEHRI[[#This Row],[Doctoral]]/18,FTSEHRI[[#This Row],[Prof &amp; Special-Prof Headcount]]),0)</f>
        <v>427</v>
      </c>
      <c r="P38" s="58">
        <v>427</v>
      </c>
      <c r="Q38" s="59"/>
      <c r="R38" s="49"/>
      <c r="S38" s="49"/>
    </row>
    <row r="39" spans="1:19" ht="30" customHeight="1" x14ac:dyDescent="0.25">
      <c r="A39" s="49"/>
      <c r="B39" s="49"/>
      <c r="C39" s="49"/>
      <c r="D39" s="49"/>
      <c r="E39" s="49"/>
      <c r="F39" s="49"/>
      <c r="G39" s="49"/>
      <c r="H39" s="54" t="s">
        <v>201</v>
      </c>
      <c r="I39" s="125">
        <v>25554</v>
      </c>
      <c r="J39" s="55">
        <v>10939</v>
      </c>
      <c r="K39" s="55">
        <v>778</v>
      </c>
      <c r="L39" s="55">
        <v>0</v>
      </c>
      <c r="M39" s="55">
        <f>SUM(FTSEHRI[[#This Row],[Undergraduate]],FTSEHRI[[#This Row],[Master''s¹]],FTSEHRI[[#This Row],[Doctoral]])</f>
        <v>11717</v>
      </c>
      <c r="N39" s="55">
        <v>0</v>
      </c>
      <c r="O39" s="55">
        <f>ROUND(SUM(FTSEHRI[[#This Row],[Undergraduate]]/30,FTSEHRI[[#This Row],[Master''s¹]]/24,FTSEHRI[[#This Row],[Doctoral]]/18,FTSEHRI[[#This Row],[Prof &amp; Special-Prof Headcount]]),0)</f>
        <v>397</v>
      </c>
      <c r="P39" s="55">
        <v>394</v>
      </c>
      <c r="Q39" s="60">
        <v>871.38</v>
      </c>
      <c r="R39" s="49"/>
      <c r="S39" s="49"/>
    </row>
    <row r="40" spans="1:19" ht="30" customHeight="1" x14ac:dyDescent="0.25">
      <c r="A40" s="49"/>
      <c r="B40" s="49"/>
      <c r="C40" s="49"/>
      <c r="D40" s="49"/>
      <c r="E40" s="49"/>
      <c r="F40" s="49"/>
      <c r="G40" s="49"/>
      <c r="H40" s="54" t="s">
        <v>202</v>
      </c>
      <c r="I40" s="125">
        <v>42439</v>
      </c>
      <c r="J40" s="55">
        <f>SUM(J41,J42,J43)</f>
        <v>3</v>
      </c>
      <c r="K40" s="55">
        <f t="shared" ref="K40:P40" si="4">SUM(K41,K42,K43)</f>
        <v>1882</v>
      </c>
      <c r="L40" s="55">
        <f t="shared" si="4"/>
        <v>0</v>
      </c>
      <c r="M40" s="55">
        <f t="shared" si="4"/>
        <v>1885</v>
      </c>
      <c r="N40" s="55">
        <f t="shared" si="4"/>
        <v>118</v>
      </c>
      <c r="O40" s="55">
        <f t="shared" si="4"/>
        <v>196</v>
      </c>
      <c r="P40" s="55">
        <f t="shared" si="4"/>
        <v>196</v>
      </c>
      <c r="Q40" s="56">
        <v>7</v>
      </c>
      <c r="R40" s="49"/>
      <c r="S40" s="49"/>
    </row>
    <row r="41" spans="1:19" ht="30" customHeight="1" x14ac:dyDescent="0.25">
      <c r="A41" s="49"/>
      <c r="B41" s="49"/>
      <c r="C41" s="49"/>
      <c r="D41" s="49"/>
      <c r="E41" s="49"/>
      <c r="F41" s="49"/>
      <c r="G41" s="49"/>
      <c r="H41" s="57" t="s">
        <v>852</v>
      </c>
      <c r="I41" s="126">
        <v>429</v>
      </c>
      <c r="J41" s="58">
        <v>3</v>
      </c>
      <c r="K41" s="58">
        <v>1467</v>
      </c>
      <c r="L41" s="58">
        <v>0</v>
      </c>
      <c r="M41" s="58">
        <f>SUM(FTSEHRI[[#This Row],[Undergraduate]],FTSEHRI[[#This Row],[Master''s¹]],FTSEHRI[[#This Row],[Doctoral]])</f>
        <v>1470</v>
      </c>
      <c r="N41" s="58">
        <v>0</v>
      </c>
      <c r="O41" s="58">
        <f>ROUND(SUM(FTSEHRI[[#This Row],[Undergraduate]]/30,FTSEHRI[[#This Row],[Master''s¹]]/24,FTSEHRI[[#This Row],[Doctoral]]/18,FTSEHRI[[#This Row],[Prof &amp; Special-Prof Headcount]]),0)</f>
        <v>61</v>
      </c>
      <c r="P41" s="58">
        <v>61</v>
      </c>
      <c r="Q41" s="59"/>
      <c r="R41" s="49"/>
      <c r="S41" s="49"/>
    </row>
    <row r="42" spans="1:19" ht="30" customHeight="1" x14ac:dyDescent="0.25">
      <c r="A42" s="49"/>
      <c r="B42" s="49"/>
      <c r="C42" s="49"/>
      <c r="D42" s="49"/>
      <c r="E42" s="49"/>
      <c r="F42" s="49"/>
      <c r="G42" s="49"/>
      <c r="H42" s="123" t="s">
        <v>853</v>
      </c>
      <c r="I42" s="127">
        <v>430</v>
      </c>
      <c r="J42" s="121">
        <v>0</v>
      </c>
      <c r="K42" s="121">
        <v>0</v>
      </c>
      <c r="L42" s="121">
        <v>0</v>
      </c>
      <c r="M42" s="121">
        <f>SUM(FTSEHRI[[#This Row],[Undergraduate]],FTSEHRI[[#This Row],[Master''s¹]],FTSEHRI[[#This Row],[Doctoral]])</f>
        <v>0</v>
      </c>
      <c r="N42" s="121">
        <v>118</v>
      </c>
      <c r="O42" s="121">
        <f>ROUND(SUM(FTSEHRI[[#This Row],[Undergraduate]]/30,FTSEHRI[[#This Row],[Master''s¹]]/24,FTSEHRI[[#This Row],[Doctoral]]/18,FTSEHRI[[#This Row],[Prof &amp; Special-Prof Headcount]]),0)</f>
        <v>118</v>
      </c>
      <c r="P42" s="121">
        <v>118</v>
      </c>
      <c r="Q42" s="124"/>
      <c r="R42" s="49"/>
      <c r="S42" s="49"/>
    </row>
    <row r="43" spans="1:19" ht="30" customHeight="1" x14ac:dyDescent="0.25">
      <c r="A43" s="49"/>
      <c r="B43" s="49"/>
      <c r="C43" s="49"/>
      <c r="D43" s="49"/>
      <c r="E43" s="49"/>
      <c r="F43" s="49"/>
      <c r="G43" s="49"/>
      <c r="H43" s="57" t="s">
        <v>854</v>
      </c>
      <c r="I43" s="126">
        <v>431</v>
      </c>
      <c r="J43" s="58">
        <v>0</v>
      </c>
      <c r="K43" s="58">
        <v>415</v>
      </c>
      <c r="L43" s="58">
        <v>0</v>
      </c>
      <c r="M43" s="58">
        <f>SUM(FTSEHRI[[#This Row],[Undergraduate]],FTSEHRI[[#This Row],[Master''s¹]],FTSEHRI[[#This Row],[Doctoral]])</f>
        <v>415</v>
      </c>
      <c r="N43" s="58">
        <v>0</v>
      </c>
      <c r="O43" s="58">
        <f>ROUND(SUM(FTSEHRI[[#This Row],[Undergraduate]]/30,FTSEHRI[[#This Row],[Master''s¹]]/24,FTSEHRI[[#This Row],[Doctoral]]/18,FTSEHRI[[#This Row],[Prof &amp; Special-Prof Headcount]]),0)</f>
        <v>17</v>
      </c>
      <c r="P43" s="58">
        <v>17</v>
      </c>
      <c r="Q43" s="59"/>
      <c r="R43" s="49"/>
      <c r="S43" s="49"/>
    </row>
    <row r="44" spans="1:19" ht="30" customHeight="1" x14ac:dyDescent="0.25">
      <c r="A44" s="49"/>
      <c r="B44" s="49"/>
      <c r="C44" s="49"/>
      <c r="D44" s="49"/>
      <c r="E44" s="49"/>
      <c r="F44" s="49"/>
      <c r="G44" s="49"/>
      <c r="H44" s="54" t="s">
        <v>234</v>
      </c>
      <c r="I44" s="125">
        <v>89</v>
      </c>
      <c r="J44" s="55">
        <f>SUM(J45,J46,J47,J48,J49,J50,J51,J52)</f>
        <v>44835</v>
      </c>
      <c r="K44" s="55">
        <f t="shared" ref="K44:P44" si="5">SUM(K45,K46,K47,K48,K49,K50,K51,K52)</f>
        <v>29068</v>
      </c>
      <c r="L44" s="55">
        <f t="shared" si="5"/>
        <v>3755</v>
      </c>
      <c r="M44" s="55">
        <f t="shared" si="5"/>
        <v>77658</v>
      </c>
      <c r="N44" s="55">
        <f t="shared" si="5"/>
        <v>1325</v>
      </c>
      <c r="O44" s="55">
        <f t="shared" si="5"/>
        <v>4239</v>
      </c>
      <c r="P44" s="55">
        <f t="shared" si="5"/>
        <v>4236</v>
      </c>
      <c r="Q44" s="56">
        <v>264.66000000000003</v>
      </c>
      <c r="R44" s="49"/>
      <c r="S44" s="49"/>
    </row>
    <row r="45" spans="1:19" ht="30" customHeight="1" x14ac:dyDescent="0.25">
      <c r="A45" s="49"/>
      <c r="B45" s="49"/>
      <c r="C45" s="49"/>
      <c r="D45" s="49"/>
      <c r="E45" s="49"/>
      <c r="F45" s="49"/>
      <c r="G45" s="49"/>
      <c r="H45" s="57" t="s">
        <v>855</v>
      </c>
      <c r="I45" s="126">
        <v>79</v>
      </c>
      <c r="J45" s="58">
        <v>17248</v>
      </c>
      <c r="K45" s="58">
        <v>2500</v>
      </c>
      <c r="L45" s="58">
        <v>0</v>
      </c>
      <c r="M45" s="58">
        <f>SUM(FTSEHRI[[#This Row],[Undergraduate]],FTSEHRI[[#This Row],[Master''s¹]],FTSEHRI[[#This Row],[Doctoral]])</f>
        <v>19748</v>
      </c>
      <c r="N45" s="58">
        <v>0</v>
      </c>
      <c r="O45" s="58">
        <f>ROUND(SUM(FTSEHRI[[#This Row],[Undergraduate]]/30,FTSEHRI[[#This Row],[Master''s¹]]/24,FTSEHRI[[#This Row],[Doctoral]]/18,FTSEHRI[[#This Row],[Prof &amp; Special-Prof Headcount]]),0)</f>
        <v>679</v>
      </c>
      <c r="P45" s="58">
        <v>677</v>
      </c>
      <c r="Q45" s="59"/>
      <c r="R45" s="49"/>
      <c r="S45" s="49"/>
    </row>
    <row r="46" spans="1:19" ht="30" customHeight="1" x14ac:dyDescent="0.25">
      <c r="A46" s="49"/>
      <c r="B46" s="49"/>
      <c r="C46" s="49"/>
      <c r="D46" s="49"/>
      <c r="E46" s="49"/>
      <c r="F46" s="49"/>
      <c r="G46" s="49"/>
      <c r="H46" s="123" t="s">
        <v>856</v>
      </c>
      <c r="I46" s="127">
        <v>80</v>
      </c>
      <c r="J46" s="121">
        <v>0</v>
      </c>
      <c r="K46" s="121">
        <v>0</v>
      </c>
      <c r="L46" s="121">
        <v>0</v>
      </c>
      <c r="M46" s="121">
        <f>SUM(FTSEHRI[[#This Row],[Undergraduate]],FTSEHRI[[#This Row],[Master''s¹]],FTSEHRI[[#This Row],[Doctoral]])</f>
        <v>0</v>
      </c>
      <c r="N46" s="121">
        <v>814</v>
      </c>
      <c r="O46" s="121">
        <f>ROUND(SUM(FTSEHRI[[#This Row],[Undergraduate]]/30,FTSEHRI[[#This Row],[Master''s¹]]/24,FTSEHRI[[#This Row],[Doctoral]]/18,FTSEHRI[[#This Row],[Prof &amp; Special-Prof Headcount]]),0)</f>
        <v>814</v>
      </c>
      <c r="P46" s="121">
        <v>814</v>
      </c>
      <c r="Q46" s="124"/>
      <c r="R46" s="49"/>
      <c r="S46" s="49"/>
    </row>
    <row r="47" spans="1:19" ht="30" customHeight="1" x14ac:dyDescent="0.25">
      <c r="A47" s="49"/>
      <c r="B47" s="49"/>
      <c r="C47" s="49"/>
      <c r="D47" s="49"/>
      <c r="E47" s="49"/>
      <c r="F47" s="49"/>
      <c r="G47" s="49"/>
      <c r="H47" s="57" t="s">
        <v>857</v>
      </c>
      <c r="I47" s="126">
        <v>87</v>
      </c>
      <c r="J47" s="58">
        <v>25424</v>
      </c>
      <c r="K47" s="58">
        <v>8024</v>
      </c>
      <c r="L47" s="58">
        <v>1173</v>
      </c>
      <c r="M47" s="58">
        <f>SUM(FTSEHRI[[#This Row],[Undergraduate]],FTSEHRI[[#This Row],[Master''s¹]],FTSEHRI[[#This Row],[Doctoral]])</f>
        <v>34621</v>
      </c>
      <c r="N47" s="58">
        <v>0</v>
      </c>
      <c r="O47" s="58">
        <f>ROUND(SUM(FTSEHRI[[#This Row],[Undergraduate]]/30,FTSEHRI[[#This Row],[Master''s¹]]/24,FTSEHRI[[#This Row],[Doctoral]]/18,FTSEHRI[[#This Row],[Prof &amp; Special-Prof Headcount]]),0)</f>
        <v>1247</v>
      </c>
      <c r="P47" s="58">
        <v>1246</v>
      </c>
      <c r="Q47" s="59"/>
      <c r="R47" s="49"/>
      <c r="S47" s="49"/>
    </row>
    <row r="48" spans="1:19" ht="30" customHeight="1" x14ac:dyDescent="0.25">
      <c r="A48" s="49"/>
      <c r="B48" s="49"/>
      <c r="C48" s="49"/>
      <c r="D48" s="49"/>
      <c r="E48" s="49"/>
      <c r="F48" s="49"/>
      <c r="G48" s="49"/>
      <c r="H48" s="123" t="s">
        <v>858</v>
      </c>
      <c r="I48" s="127">
        <v>88</v>
      </c>
      <c r="J48" s="121">
        <v>0</v>
      </c>
      <c r="K48" s="121">
        <v>16447</v>
      </c>
      <c r="L48" s="121">
        <v>685</v>
      </c>
      <c r="M48" s="121">
        <f>SUM(FTSEHRI[[#This Row],[Undergraduate]],FTSEHRI[[#This Row],[Master''s¹]],FTSEHRI[[#This Row],[Doctoral]])</f>
        <v>17132</v>
      </c>
      <c r="N48" s="121">
        <v>0</v>
      </c>
      <c r="O48" s="121">
        <f>ROUND(SUM(FTSEHRI[[#This Row],[Undergraduate]]/30,FTSEHRI[[#This Row],[Master''s¹]]/24,FTSEHRI[[#This Row],[Doctoral]]/18,FTSEHRI[[#This Row],[Prof &amp; Special-Prof Headcount]]),0)</f>
        <v>723</v>
      </c>
      <c r="P48" s="121">
        <v>723</v>
      </c>
      <c r="Q48" s="124"/>
      <c r="R48" s="49"/>
      <c r="S48" s="49"/>
    </row>
    <row r="49" spans="1:19" ht="30" customHeight="1" x14ac:dyDescent="0.25">
      <c r="A49" s="49"/>
      <c r="B49" s="49"/>
      <c r="C49" s="49"/>
      <c r="D49" s="49"/>
      <c r="E49" s="49"/>
      <c r="F49" s="49"/>
      <c r="G49" s="49"/>
      <c r="H49" s="57" t="s">
        <v>859</v>
      </c>
      <c r="I49" s="126">
        <v>180</v>
      </c>
      <c r="J49" s="58">
        <v>201</v>
      </c>
      <c r="K49" s="58">
        <v>2044</v>
      </c>
      <c r="L49" s="58">
        <v>1708</v>
      </c>
      <c r="M49" s="58">
        <f>SUM(FTSEHRI[[#This Row],[Undergraduate]],FTSEHRI[[#This Row],[Master''s¹]],FTSEHRI[[#This Row],[Doctoral]])</f>
        <v>3953</v>
      </c>
      <c r="N49" s="58">
        <v>0</v>
      </c>
      <c r="O49" s="58">
        <f>ROUND(SUM(FTSEHRI[[#This Row],[Undergraduate]]/30,FTSEHRI[[#This Row],[Master''s¹]]/24,FTSEHRI[[#This Row],[Doctoral]]/18,FTSEHRI[[#This Row],[Prof &amp; Special-Prof Headcount]]),0)</f>
        <v>187</v>
      </c>
      <c r="P49" s="58">
        <v>187</v>
      </c>
      <c r="Q49" s="59"/>
      <c r="R49" s="49"/>
      <c r="S49" s="49"/>
    </row>
    <row r="50" spans="1:19" ht="30" customHeight="1" x14ac:dyDescent="0.25">
      <c r="A50" s="49"/>
      <c r="B50" s="49"/>
      <c r="C50" s="49"/>
      <c r="D50" s="49"/>
      <c r="E50" s="49"/>
      <c r="F50" s="49"/>
      <c r="G50" s="49"/>
      <c r="H50" s="123" t="s">
        <v>860</v>
      </c>
      <c r="I50" s="127">
        <v>405</v>
      </c>
      <c r="J50" s="121">
        <v>1962</v>
      </c>
      <c r="K50" s="121">
        <v>0</v>
      </c>
      <c r="L50" s="121">
        <v>0</v>
      </c>
      <c r="M50" s="121">
        <v>1962</v>
      </c>
      <c r="N50" s="121">
        <v>0</v>
      </c>
      <c r="O50" s="121">
        <f>ROUND(SUM(FTSEHRI[[#This Row],[Undergraduate]]/30,FTSEHRI[[#This Row],[Master''s¹]]/24,FTSEHRI[[#This Row],[Doctoral]]/18,FTSEHRI[[#This Row],[Prof &amp; Special-Prof Headcount]]),0)</f>
        <v>65</v>
      </c>
      <c r="P50" s="121">
        <v>65</v>
      </c>
      <c r="Q50" s="124"/>
      <c r="R50" s="49"/>
      <c r="S50" s="49"/>
    </row>
    <row r="51" spans="1:19" ht="30" customHeight="1" x14ac:dyDescent="0.25">
      <c r="A51" s="49"/>
      <c r="B51" s="49"/>
      <c r="C51" s="49"/>
      <c r="D51" s="49"/>
      <c r="E51" s="49"/>
      <c r="F51" s="49"/>
      <c r="G51" s="49"/>
      <c r="H51" s="57" t="s">
        <v>861</v>
      </c>
      <c r="I51" s="126">
        <v>406</v>
      </c>
      <c r="J51" s="58">
        <v>0</v>
      </c>
      <c r="K51" s="58">
        <v>53</v>
      </c>
      <c r="L51" s="58">
        <v>189</v>
      </c>
      <c r="M51" s="58">
        <v>242</v>
      </c>
      <c r="N51" s="58">
        <v>97</v>
      </c>
      <c r="O51" s="58">
        <f>ROUND(SUM(FTSEHRI[[#This Row],[Undergraduate]]/30,FTSEHRI[[#This Row],[Master''s¹]]/24,FTSEHRI[[#This Row],[Doctoral]]/18,FTSEHRI[[#This Row],[Prof &amp; Special-Prof Headcount]]),0)</f>
        <v>110</v>
      </c>
      <c r="P51" s="58">
        <v>110</v>
      </c>
      <c r="Q51" s="59"/>
      <c r="R51" s="49"/>
      <c r="S51" s="49"/>
    </row>
    <row r="52" spans="1:19" ht="30" customHeight="1" x14ac:dyDescent="0.25">
      <c r="A52" s="49"/>
      <c r="B52" s="49"/>
      <c r="C52" s="49"/>
      <c r="D52" s="49"/>
      <c r="E52" s="49"/>
      <c r="F52" s="49"/>
      <c r="G52" s="49"/>
      <c r="H52" s="123" t="s">
        <v>862</v>
      </c>
      <c r="I52" s="127">
        <v>4948</v>
      </c>
      <c r="J52" s="121">
        <v>0</v>
      </c>
      <c r="K52" s="121">
        <v>0</v>
      </c>
      <c r="L52" s="121">
        <v>0</v>
      </c>
      <c r="M52" s="121">
        <v>0</v>
      </c>
      <c r="N52" s="121">
        <v>414</v>
      </c>
      <c r="O52" s="121">
        <f>ROUND(SUM(FTSEHRI[[#This Row],[Undergraduate]]/30,FTSEHRI[[#This Row],[Master''s¹]]/24,FTSEHRI[[#This Row],[Doctoral]]/18,FTSEHRI[[#This Row],[Prof &amp; Special-Prof Headcount]]),0)</f>
        <v>414</v>
      </c>
      <c r="P52" s="121">
        <v>414</v>
      </c>
      <c r="Q52" s="124"/>
      <c r="R52" s="49"/>
      <c r="S52" s="49"/>
    </row>
    <row r="53" spans="1:19" ht="30" customHeight="1" x14ac:dyDescent="0.25">
      <c r="A53" s="49"/>
      <c r="B53" s="49"/>
      <c r="C53" s="49"/>
      <c r="D53" s="49"/>
      <c r="E53" s="49"/>
      <c r="F53" s="49"/>
      <c r="G53" s="49"/>
      <c r="H53" s="54" t="s">
        <v>203</v>
      </c>
      <c r="I53" s="125">
        <v>130</v>
      </c>
      <c r="J53" s="55">
        <f>SUM(J54,J55,J56,J57,J58,J59)</f>
        <v>1607</v>
      </c>
      <c r="K53" s="55">
        <f t="shared" ref="K53:P53" si="6">SUM(K54,K55,K56,K57,K58,K59)</f>
        <v>38345</v>
      </c>
      <c r="L53" s="55">
        <f t="shared" si="6"/>
        <v>2080</v>
      </c>
      <c r="M53" s="55">
        <f t="shared" si="6"/>
        <v>42032</v>
      </c>
      <c r="N53" s="55">
        <f t="shared" si="6"/>
        <v>948</v>
      </c>
      <c r="O53" s="55">
        <f t="shared" si="6"/>
        <v>2716</v>
      </c>
      <c r="P53" s="55">
        <f t="shared" si="6"/>
        <v>2716</v>
      </c>
      <c r="Q53" s="56">
        <v>81.28</v>
      </c>
      <c r="R53" s="49"/>
      <c r="S53" s="49"/>
    </row>
    <row r="54" spans="1:19" ht="30" customHeight="1" x14ac:dyDescent="0.25">
      <c r="A54" s="49"/>
      <c r="B54" s="49"/>
      <c r="C54" s="49"/>
      <c r="D54" s="49"/>
      <c r="E54" s="49"/>
      <c r="F54" s="49"/>
      <c r="G54" s="49"/>
      <c r="H54" s="57" t="s">
        <v>837</v>
      </c>
      <c r="I54" s="126">
        <v>131</v>
      </c>
      <c r="J54" s="58">
        <v>887</v>
      </c>
      <c r="K54" s="58">
        <v>10013</v>
      </c>
      <c r="L54" s="58">
        <v>1742</v>
      </c>
      <c r="M54" s="58">
        <f>SUM(FTSEHRI[[#This Row],[Undergraduate]],FTSEHRI[[#This Row],[Master''s¹]],FTSEHRI[[#This Row],[Doctoral]])</f>
        <v>12642</v>
      </c>
      <c r="N54" s="58">
        <v>0</v>
      </c>
      <c r="O54" s="58">
        <f>ROUND(SUM(FTSEHRI[[#This Row],[Undergraduate]]/30,FTSEHRI[[#This Row],[Master''s¹]]/24,FTSEHRI[[#This Row],[Doctoral]]/18,FTSEHRI[[#This Row],[Prof &amp; Special-Prof Headcount]]),0)</f>
        <v>544</v>
      </c>
      <c r="P54" s="58">
        <v>544</v>
      </c>
      <c r="Q54" s="59"/>
      <c r="R54" s="49"/>
      <c r="S54" s="49"/>
    </row>
    <row r="55" spans="1:19" ht="30" customHeight="1" x14ac:dyDescent="0.25">
      <c r="A55" s="49"/>
      <c r="B55" s="49"/>
      <c r="C55" s="49"/>
      <c r="D55" s="49"/>
      <c r="E55" s="49"/>
      <c r="F55" s="49"/>
      <c r="G55" s="49"/>
      <c r="H55" s="123" t="s">
        <v>840</v>
      </c>
      <c r="I55" s="127">
        <v>133</v>
      </c>
      <c r="J55" s="121">
        <v>0</v>
      </c>
      <c r="K55" s="121">
        <v>13744</v>
      </c>
      <c r="L55" s="121">
        <v>0</v>
      </c>
      <c r="M55" s="121">
        <f>SUM(FTSEHRI[[#This Row],[Undergraduate]],FTSEHRI[[#This Row],[Master''s¹]],FTSEHRI[[#This Row],[Doctoral]])</f>
        <v>13744</v>
      </c>
      <c r="N55" s="121">
        <v>0</v>
      </c>
      <c r="O55" s="121">
        <f>ROUND(SUM(FTSEHRI[[#This Row],[Undergraduate]]/30,FTSEHRI[[#This Row],[Master''s¹]]/24,FTSEHRI[[#This Row],[Doctoral]]/18,FTSEHRI[[#This Row],[Prof &amp; Special-Prof Headcount]]),0)</f>
        <v>573</v>
      </c>
      <c r="P55" s="121">
        <v>573</v>
      </c>
      <c r="Q55" s="124"/>
      <c r="R55" s="49"/>
      <c r="S55" s="49"/>
    </row>
    <row r="56" spans="1:19" ht="30" customHeight="1" x14ac:dyDescent="0.25">
      <c r="A56" s="49"/>
      <c r="B56" s="49"/>
      <c r="C56" s="49"/>
      <c r="D56" s="49"/>
      <c r="E56" s="49"/>
      <c r="F56" s="49"/>
      <c r="G56" s="49"/>
      <c r="H56" s="57" t="s">
        <v>842</v>
      </c>
      <c r="I56" s="126">
        <v>134</v>
      </c>
      <c r="J56" s="58">
        <v>0</v>
      </c>
      <c r="K56" s="58">
        <v>3144</v>
      </c>
      <c r="L56" s="58">
        <v>338</v>
      </c>
      <c r="M56" s="58">
        <f>SUM(FTSEHRI[[#This Row],[Undergraduate]],FTSEHRI[[#This Row],[Master''s¹]],FTSEHRI[[#This Row],[Doctoral]])</f>
        <v>3482</v>
      </c>
      <c r="N56" s="58">
        <v>0</v>
      </c>
      <c r="O56" s="58">
        <f>ROUND(SUM(FTSEHRI[[#This Row],[Undergraduate]]/30,FTSEHRI[[#This Row],[Master''s¹]]/24,FTSEHRI[[#This Row],[Doctoral]]/18,FTSEHRI[[#This Row],[Prof &amp; Special-Prof Headcount]]),0)</f>
        <v>150</v>
      </c>
      <c r="P56" s="58">
        <v>150</v>
      </c>
      <c r="Q56" s="59"/>
      <c r="R56" s="49"/>
      <c r="S56" s="49"/>
    </row>
    <row r="57" spans="1:19" ht="30" customHeight="1" x14ac:dyDescent="0.25">
      <c r="A57" s="49"/>
      <c r="B57" s="49"/>
      <c r="C57" s="49"/>
      <c r="D57" s="49"/>
      <c r="E57" s="49"/>
      <c r="F57" s="49"/>
      <c r="G57" s="49"/>
      <c r="H57" s="123" t="s">
        <v>863</v>
      </c>
      <c r="I57" s="127">
        <v>136</v>
      </c>
      <c r="J57" s="121">
        <v>0</v>
      </c>
      <c r="K57" s="121">
        <v>11012</v>
      </c>
      <c r="L57" s="121">
        <v>0</v>
      </c>
      <c r="M57" s="121">
        <f>SUM(FTSEHRI[[#This Row],[Undergraduate]],FTSEHRI[[#This Row],[Master''s¹]],FTSEHRI[[#This Row],[Doctoral]])</f>
        <v>11012</v>
      </c>
      <c r="N57" s="121">
        <v>0</v>
      </c>
      <c r="O57" s="121">
        <f>ROUND(SUM(FTSEHRI[[#This Row],[Undergraduate]]/30,FTSEHRI[[#This Row],[Master''s¹]]/24,FTSEHRI[[#This Row],[Doctoral]]/18,FTSEHRI[[#This Row],[Prof &amp; Special-Prof Headcount]]),0)</f>
        <v>459</v>
      </c>
      <c r="P57" s="121">
        <v>459</v>
      </c>
      <c r="Q57" s="124"/>
      <c r="R57" s="49"/>
      <c r="S57" s="49"/>
    </row>
    <row r="58" spans="1:19" ht="30" customHeight="1" x14ac:dyDescent="0.25">
      <c r="A58" s="49"/>
      <c r="B58" s="49"/>
      <c r="C58" s="49"/>
      <c r="D58" s="49"/>
      <c r="E58" s="49"/>
      <c r="F58" s="49"/>
      <c r="G58" s="49"/>
      <c r="H58" s="57" t="s">
        <v>841</v>
      </c>
      <c r="I58" s="126">
        <v>138</v>
      </c>
      <c r="J58" s="58">
        <v>720</v>
      </c>
      <c r="K58" s="58">
        <v>432</v>
      </c>
      <c r="L58" s="58">
        <v>0</v>
      </c>
      <c r="M58" s="58">
        <f>SUM(FTSEHRI[[#This Row],[Undergraduate]],FTSEHRI[[#This Row],[Master''s¹]],FTSEHRI[[#This Row],[Doctoral]])</f>
        <v>1152</v>
      </c>
      <c r="N58" s="58">
        <v>0</v>
      </c>
      <c r="O58" s="58">
        <f>ROUND(SUM(FTSEHRI[[#This Row],[Undergraduate]]/30,FTSEHRI[[#This Row],[Master''s¹]]/24,FTSEHRI[[#This Row],[Doctoral]]/18,FTSEHRI[[#This Row],[Prof &amp; Special-Prof Headcount]]),0)</f>
        <v>42</v>
      </c>
      <c r="P58" s="58">
        <v>42</v>
      </c>
      <c r="Q58" s="59"/>
      <c r="R58" s="49"/>
      <c r="S58" s="49"/>
    </row>
    <row r="59" spans="1:19" ht="30" customHeight="1" x14ac:dyDescent="0.25">
      <c r="A59" s="49"/>
      <c r="B59" s="49"/>
      <c r="C59" s="49"/>
      <c r="D59" s="49"/>
      <c r="E59" s="49"/>
      <c r="F59" s="49"/>
      <c r="G59" s="49"/>
      <c r="H59" s="123" t="s">
        <v>864</v>
      </c>
      <c r="I59" s="127">
        <v>9768</v>
      </c>
      <c r="J59" s="121">
        <v>0</v>
      </c>
      <c r="K59" s="121">
        <v>0</v>
      </c>
      <c r="L59" s="121">
        <v>0</v>
      </c>
      <c r="M59" s="121">
        <f>SUM(FTSEHRI[[#This Row],[Undergraduate]],FTSEHRI[[#This Row],[Master''s¹]],FTSEHRI[[#This Row],[Doctoral]])</f>
        <v>0</v>
      </c>
      <c r="N59" s="121">
        <v>948</v>
      </c>
      <c r="O59" s="121">
        <f>ROUND(SUM(FTSEHRI[[#This Row],[Undergraduate]]/30,FTSEHRI[[#This Row],[Master''s¹]]/24,FTSEHRI[[#This Row],[Doctoral]]/18,FTSEHRI[[#This Row],[Prof &amp; Special-Prof Headcount]]),0)</f>
        <v>948</v>
      </c>
      <c r="P59" s="121">
        <v>948</v>
      </c>
      <c r="Q59" s="124"/>
      <c r="R59" s="49"/>
      <c r="S59" s="49"/>
    </row>
    <row r="60" spans="1:19" ht="30" customHeight="1" x14ac:dyDescent="0.25">
      <c r="A60" s="49"/>
      <c r="B60" s="49"/>
      <c r="C60" s="49"/>
      <c r="D60" s="49"/>
      <c r="E60" s="49"/>
      <c r="F60" s="49"/>
      <c r="G60" s="49"/>
      <c r="H60" s="54" t="s">
        <v>204</v>
      </c>
      <c r="I60" s="125">
        <v>412</v>
      </c>
      <c r="J60" s="55">
        <f>SUM(J61,J62,J63,J64,J65,J66)</f>
        <v>64770</v>
      </c>
      <c r="K60" s="55">
        <f t="shared" ref="K60:P60" si="7">SUM(K61,K62,K63,K64,K65,K66)</f>
        <v>71910</v>
      </c>
      <c r="L60" s="55">
        <f t="shared" si="7"/>
        <v>2924</v>
      </c>
      <c r="M60" s="55">
        <f t="shared" si="7"/>
        <v>139604</v>
      </c>
      <c r="N60" s="55">
        <f t="shared" si="7"/>
        <v>735</v>
      </c>
      <c r="O60" s="55">
        <f t="shared" si="7"/>
        <v>6053</v>
      </c>
      <c r="P60" s="55">
        <f t="shared" si="7"/>
        <v>6038</v>
      </c>
      <c r="Q60" s="56">
        <v>67.98</v>
      </c>
      <c r="R60" s="49"/>
      <c r="S60" s="49"/>
    </row>
    <row r="61" spans="1:19" ht="30" customHeight="1" x14ac:dyDescent="0.25">
      <c r="A61" s="49"/>
      <c r="B61" s="49"/>
      <c r="C61" s="49"/>
      <c r="D61" s="49"/>
      <c r="E61" s="49"/>
      <c r="F61" s="49"/>
      <c r="G61" s="49"/>
      <c r="H61" s="57" t="s">
        <v>865</v>
      </c>
      <c r="I61" s="126">
        <v>413</v>
      </c>
      <c r="J61" s="58">
        <v>7528</v>
      </c>
      <c r="K61" s="58">
        <v>39303</v>
      </c>
      <c r="L61" s="58">
        <v>779</v>
      </c>
      <c r="M61" s="58">
        <f>SUM(FTSEHRI[[#This Row],[Undergraduate]],FTSEHRI[[#This Row],[Master''s¹]],FTSEHRI[[#This Row],[Doctoral]])</f>
        <v>47610</v>
      </c>
      <c r="N61" s="58">
        <v>0</v>
      </c>
      <c r="O61" s="58">
        <f>ROUND(SUM(FTSEHRI[[#This Row],[Undergraduate]]/30,FTSEHRI[[#This Row],[Master''s¹]]/24,FTSEHRI[[#This Row],[Doctoral]]/18,FTSEHRI[[#This Row],[Prof &amp; Special-Prof Headcount]]),0)</f>
        <v>1932</v>
      </c>
      <c r="P61" s="58">
        <v>1927</v>
      </c>
      <c r="Q61" s="59"/>
      <c r="R61" s="49"/>
      <c r="S61" s="49"/>
    </row>
    <row r="62" spans="1:19" ht="30" customHeight="1" x14ac:dyDescent="0.25">
      <c r="A62" s="49"/>
      <c r="B62" s="49"/>
      <c r="C62" s="49"/>
      <c r="D62" s="49"/>
      <c r="E62" s="49"/>
      <c r="F62" s="49"/>
      <c r="G62" s="49"/>
      <c r="H62" s="123" t="s">
        <v>863</v>
      </c>
      <c r="I62" s="127">
        <v>416</v>
      </c>
      <c r="J62" s="121">
        <v>0</v>
      </c>
      <c r="K62" s="121">
        <v>16719</v>
      </c>
      <c r="L62" s="121">
        <v>0</v>
      </c>
      <c r="M62" s="121">
        <f>SUM(FTSEHRI[[#This Row],[Undergraduate]],FTSEHRI[[#This Row],[Master''s¹]],FTSEHRI[[#This Row],[Doctoral]])</f>
        <v>16719</v>
      </c>
      <c r="N62" s="121">
        <v>0</v>
      </c>
      <c r="O62" s="121">
        <f>ROUND(SUM(FTSEHRI[[#This Row],[Undergraduate]]/30,FTSEHRI[[#This Row],[Master''s¹]]/24,FTSEHRI[[#This Row],[Doctoral]]/18,FTSEHRI[[#This Row],[Prof &amp; Special-Prof Headcount]]),0)</f>
        <v>697</v>
      </c>
      <c r="P62" s="121">
        <v>697</v>
      </c>
      <c r="Q62" s="124"/>
      <c r="R62" s="49"/>
      <c r="S62" s="49"/>
    </row>
    <row r="63" spans="1:19" ht="30" customHeight="1" x14ac:dyDescent="0.25">
      <c r="A63" s="49"/>
      <c r="B63" s="49"/>
      <c r="C63" s="49"/>
      <c r="D63" s="49"/>
      <c r="E63" s="49"/>
      <c r="F63" s="49"/>
      <c r="G63" s="49"/>
      <c r="H63" s="57" t="s">
        <v>866</v>
      </c>
      <c r="I63" s="126">
        <v>419</v>
      </c>
      <c r="J63" s="58">
        <v>0</v>
      </c>
      <c r="K63" s="58">
        <v>2686</v>
      </c>
      <c r="L63" s="58">
        <v>0</v>
      </c>
      <c r="M63" s="58">
        <f>SUM(FTSEHRI[[#This Row],[Undergraduate]],FTSEHRI[[#This Row],[Master''s¹]],FTSEHRI[[#This Row],[Doctoral]])</f>
        <v>2686</v>
      </c>
      <c r="N63" s="58">
        <v>0</v>
      </c>
      <c r="O63" s="58">
        <f>ROUND(SUM(FTSEHRI[[#This Row],[Undergraduate]]/30,FTSEHRI[[#This Row],[Master''s¹]]/24,FTSEHRI[[#This Row],[Doctoral]]/18,FTSEHRI[[#This Row],[Prof &amp; Special-Prof Headcount]]),0)</f>
        <v>112</v>
      </c>
      <c r="P63" s="58">
        <v>112</v>
      </c>
      <c r="Q63" s="59"/>
      <c r="R63" s="49"/>
      <c r="S63" s="49"/>
    </row>
    <row r="64" spans="1:19" ht="30" customHeight="1" x14ac:dyDescent="0.25">
      <c r="A64" s="49"/>
      <c r="B64" s="49"/>
      <c r="C64" s="49"/>
      <c r="D64" s="49"/>
      <c r="E64" s="49"/>
      <c r="F64" s="49"/>
      <c r="G64" s="49"/>
      <c r="H64" s="123" t="s">
        <v>867</v>
      </c>
      <c r="I64" s="127">
        <v>10674</v>
      </c>
      <c r="J64" s="121"/>
      <c r="K64" s="121"/>
      <c r="L64" s="121"/>
      <c r="M64" s="121">
        <f>SUM(FTSEHRI[[#This Row],[Undergraduate]],FTSEHRI[[#This Row],[Master''s¹]],FTSEHRI[[#This Row],[Doctoral]])</f>
        <v>0</v>
      </c>
      <c r="N64" s="121">
        <v>735</v>
      </c>
      <c r="O64" s="121">
        <f>ROUND(SUM(FTSEHRI[[#This Row],[Undergraduate]]/30,FTSEHRI[[#This Row],[Master''s¹]]/24,FTSEHRI[[#This Row],[Doctoral]]/18,FTSEHRI[[#This Row],[Prof &amp; Special-Prof Headcount]]),0)</f>
        <v>735</v>
      </c>
      <c r="P64" s="121">
        <v>735</v>
      </c>
      <c r="Q64" s="124"/>
      <c r="R64" s="49"/>
      <c r="S64" s="49"/>
    </row>
    <row r="65" spans="1:19" ht="30" customHeight="1" x14ac:dyDescent="0.25">
      <c r="A65" s="49"/>
      <c r="B65" s="49"/>
      <c r="C65" s="49"/>
      <c r="D65" s="49"/>
      <c r="E65" s="49"/>
      <c r="F65" s="49"/>
      <c r="G65" s="49"/>
      <c r="H65" s="57" t="s">
        <v>841</v>
      </c>
      <c r="I65" s="126">
        <v>110674</v>
      </c>
      <c r="J65" s="58">
        <v>57242</v>
      </c>
      <c r="K65" s="58">
        <v>11807</v>
      </c>
      <c r="L65" s="58">
        <v>0</v>
      </c>
      <c r="M65" s="58">
        <f>SUM(FTSEHRI[[#This Row],[Undergraduate]],FTSEHRI[[#This Row],[Master''s¹]],FTSEHRI[[#This Row],[Doctoral]])</f>
        <v>69049</v>
      </c>
      <c r="N65" s="58">
        <v>0</v>
      </c>
      <c r="O65" s="58">
        <f>ROUND(SUM(FTSEHRI[[#This Row],[Undergraduate]]/30,FTSEHRI[[#This Row],[Master''s¹]]/24,FTSEHRI[[#This Row],[Doctoral]]/18,FTSEHRI[[#This Row],[Prof &amp; Special-Prof Headcount]]),0)</f>
        <v>2400</v>
      </c>
      <c r="P65" s="58">
        <v>2392</v>
      </c>
      <c r="Q65" s="59"/>
      <c r="R65" s="49"/>
      <c r="S65" s="49"/>
    </row>
    <row r="66" spans="1:19" ht="30" customHeight="1" x14ac:dyDescent="0.25">
      <c r="A66" s="49"/>
      <c r="B66" s="49"/>
      <c r="C66" s="49"/>
      <c r="D66" s="49"/>
      <c r="E66" s="49"/>
      <c r="F66" s="49"/>
      <c r="G66" s="49"/>
      <c r="H66" s="123" t="s">
        <v>837</v>
      </c>
      <c r="I66" s="127">
        <v>210674</v>
      </c>
      <c r="J66" s="121">
        <v>0</v>
      </c>
      <c r="K66" s="121">
        <v>1395</v>
      </c>
      <c r="L66" s="121">
        <v>2145</v>
      </c>
      <c r="M66" s="121">
        <f>SUM(FTSEHRI[[#This Row],[Undergraduate]],FTSEHRI[[#This Row],[Master''s¹]],FTSEHRI[[#This Row],[Doctoral]])</f>
        <v>3540</v>
      </c>
      <c r="N66" s="121">
        <v>0</v>
      </c>
      <c r="O66" s="121">
        <f>ROUND(SUM(FTSEHRI[[#This Row],[Undergraduate]]/30,FTSEHRI[[#This Row],[Master''s¹]]/24,FTSEHRI[[#This Row],[Doctoral]]/18,FTSEHRI[[#This Row],[Prof &amp; Special-Prof Headcount]]),0)</f>
        <v>177</v>
      </c>
      <c r="P66" s="121">
        <v>175</v>
      </c>
      <c r="Q66" s="124"/>
      <c r="R66" s="49"/>
      <c r="S66" s="49"/>
    </row>
    <row r="67" spans="1:19" ht="30" customHeight="1" x14ac:dyDescent="0.25">
      <c r="A67" s="49"/>
      <c r="B67" s="49"/>
      <c r="C67" s="49"/>
      <c r="D67" s="49"/>
      <c r="E67" s="49"/>
      <c r="F67" s="49"/>
      <c r="G67" s="49"/>
      <c r="H67" s="54" t="s">
        <v>205</v>
      </c>
      <c r="I67" s="125">
        <v>862</v>
      </c>
      <c r="J67" s="55">
        <f>SUM(J68,J69,J70,J71)</f>
        <v>10639</v>
      </c>
      <c r="K67" s="55">
        <f t="shared" ref="K67:P67" si="8">SUM(K68,K69,K70,K71)</f>
        <v>1163</v>
      </c>
      <c r="L67" s="55">
        <f t="shared" si="8"/>
        <v>0</v>
      </c>
      <c r="M67" s="55">
        <f t="shared" si="8"/>
        <v>11802</v>
      </c>
      <c r="N67" s="55">
        <f t="shared" si="8"/>
        <v>691</v>
      </c>
      <c r="O67" s="55">
        <f t="shared" si="8"/>
        <v>1094</v>
      </c>
      <c r="P67" s="55">
        <f t="shared" si="8"/>
        <v>1090</v>
      </c>
      <c r="Q67" s="56">
        <v>14.04</v>
      </c>
      <c r="R67" s="49"/>
      <c r="S67" s="49"/>
    </row>
    <row r="68" spans="1:19" ht="30" customHeight="1" x14ac:dyDescent="0.25">
      <c r="A68" s="49"/>
      <c r="B68" s="49"/>
      <c r="C68" s="49"/>
      <c r="D68" s="49"/>
      <c r="E68" s="49"/>
      <c r="F68" s="49"/>
      <c r="G68" s="49"/>
      <c r="H68" s="57" t="s">
        <v>868</v>
      </c>
      <c r="I68" s="126">
        <v>418</v>
      </c>
      <c r="J68" s="58">
        <v>0</v>
      </c>
      <c r="K68" s="58">
        <v>0</v>
      </c>
      <c r="L68" s="58">
        <v>0</v>
      </c>
      <c r="M68" s="58">
        <f>SUM(FTSEHRI[[#This Row],[Undergraduate]],FTSEHRI[[#This Row],[Master''s¹]],FTSEHRI[[#This Row],[Doctoral]])</f>
        <v>0</v>
      </c>
      <c r="N68" s="58">
        <v>470</v>
      </c>
      <c r="O68" s="58">
        <f>ROUND(SUM(FTSEHRI[[#This Row],[Undergraduate]]/30,FTSEHRI[[#This Row],[Master''s¹]]/24,FTSEHRI[[#This Row],[Doctoral]]/18,FTSEHRI[[#This Row],[Prof &amp; Special-Prof Headcount]]),0)</f>
        <v>470</v>
      </c>
      <c r="P68" s="58">
        <v>470</v>
      </c>
      <c r="Q68" s="59"/>
      <c r="R68" s="49"/>
      <c r="S68" s="49"/>
    </row>
    <row r="69" spans="1:19" ht="30" customHeight="1" x14ac:dyDescent="0.25">
      <c r="A69" s="49"/>
      <c r="B69" s="49"/>
      <c r="C69" s="49"/>
      <c r="D69" s="49"/>
      <c r="E69" s="49"/>
      <c r="F69" s="49"/>
      <c r="G69" s="49"/>
      <c r="H69" s="123" t="s">
        <v>869</v>
      </c>
      <c r="I69" s="127">
        <v>420</v>
      </c>
      <c r="J69" s="121">
        <v>10639</v>
      </c>
      <c r="K69" s="121">
        <v>270</v>
      </c>
      <c r="L69" s="121">
        <v>0</v>
      </c>
      <c r="M69" s="121">
        <f>SUM(FTSEHRI[[#This Row],[Undergraduate]],FTSEHRI[[#This Row],[Master''s¹]],FTSEHRI[[#This Row],[Doctoral]])</f>
        <v>10909</v>
      </c>
      <c r="N69" s="121">
        <v>0</v>
      </c>
      <c r="O69" s="121">
        <f>ROUND(SUM(FTSEHRI[[#This Row],[Undergraduate]]/30,FTSEHRI[[#This Row],[Master''s¹]]/24,FTSEHRI[[#This Row],[Doctoral]]/18,FTSEHRI[[#This Row],[Prof &amp; Special-Prof Headcount]]),0)</f>
        <v>366</v>
      </c>
      <c r="P69" s="121">
        <v>362</v>
      </c>
      <c r="Q69" s="124"/>
      <c r="R69" s="49"/>
      <c r="S69" s="49"/>
    </row>
    <row r="70" spans="1:19" ht="30" customHeight="1" x14ac:dyDescent="0.25">
      <c r="A70" s="49"/>
      <c r="B70" s="49"/>
      <c r="C70" s="49"/>
      <c r="D70" s="49"/>
      <c r="E70" s="49"/>
      <c r="F70" s="49"/>
      <c r="G70" s="49"/>
      <c r="H70" s="57" t="s">
        <v>870</v>
      </c>
      <c r="I70" s="126">
        <v>421</v>
      </c>
      <c r="J70" s="58">
        <v>0</v>
      </c>
      <c r="K70" s="58">
        <v>0</v>
      </c>
      <c r="L70" s="58">
        <v>0</v>
      </c>
      <c r="M70" s="58">
        <f>SUM(FTSEHRI[[#This Row],[Undergraduate]],FTSEHRI[[#This Row],[Master''s¹]],FTSEHRI[[#This Row],[Doctoral]])</f>
        <v>0</v>
      </c>
      <c r="N70" s="58">
        <v>221</v>
      </c>
      <c r="O70" s="58">
        <f>ROUND(SUM(FTSEHRI[[#This Row],[Undergraduate]]/30,FTSEHRI[[#This Row],[Master''s¹]]/24,FTSEHRI[[#This Row],[Doctoral]]/18,FTSEHRI[[#This Row],[Prof &amp; Special-Prof Headcount]]),0)</f>
        <v>221</v>
      </c>
      <c r="P70" s="58">
        <v>221</v>
      </c>
      <c r="Q70" s="59"/>
      <c r="R70" s="49"/>
      <c r="S70" s="49"/>
    </row>
    <row r="71" spans="1:19" ht="30" customHeight="1" x14ac:dyDescent="0.25">
      <c r="A71" s="49"/>
      <c r="B71" s="49"/>
      <c r="C71" s="49"/>
      <c r="D71" s="49"/>
      <c r="E71" s="49"/>
      <c r="F71" s="49"/>
      <c r="G71" s="49"/>
      <c r="H71" s="123" t="s">
        <v>837</v>
      </c>
      <c r="I71" s="127">
        <v>422</v>
      </c>
      <c r="J71" s="121">
        <v>0</v>
      </c>
      <c r="K71" s="121">
        <v>893</v>
      </c>
      <c r="L71" s="121">
        <v>0</v>
      </c>
      <c r="M71" s="121">
        <f>SUM(FTSEHRI[[#This Row],[Undergraduate]],FTSEHRI[[#This Row],[Master''s¹]],FTSEHRI[[#This Row],[Doctoral]])</f>
        <v>893</v>
      </c>
      <c r="N71" s="121">
        <v>0</v>
      </c>
      <c r="O71" s="121">
        <f>ROUND(SUM(FTSEHRI[[#This Row],[Undergraduate]]/30,FTSEHRI[[#This Row],[Master''s¹]]/24,FTSEHRI[[#This Row],[Doctoral]]/18,FTSEHRI[[#This Row],[Prof &amp; Special-Prof Headcount]]),0)</f>
        <v>37</v>
      </c>
      <c r="P71" s="121">
        <v>37</v>
      </c>
      <c r="Q71" s="124"/>
      <c r="R71" s="49"/>
      <c r="S71" s="49"/>
    </row>
    <row r="72" spans="1:19" ht="30" customHeight="1" x14ac:dyDescent="0.25">
      <c r="A72" s="49"/>
      <c r="B72" s="49"/>
      <c r="C72" s="49"/>
      <c r="D72" s="49"/>
      <c r="E72" s="49"/>
      <c r="F72" s="49"/>
      <c r="G72" s="49"/>
      <c r="H72" s="54" t="s">
        <v>762</v>
      </c>
      <c r="I72" s="125">
        <v>203599</v>
      </c>
      <c r="J72" s="55">
        <f>SUM(J73,J74)</f>
        <v>0</v>
      </c>
      <c r="K72" s="55">
        <f t="shared" ref="K72:P72" si="9">SUM(K73,K74)</f>
        <v>0</v>
      </c>
      <c r="L72" s="55">
        <f t="shared" si="9"/>
        <v>0</v>
      </c>
      <c r="M72" s="55">
        <f t="shared" si="9"/>
        <v>0</v>
      </c>
      <c r="N72" s="55">
        <f t="shared" si="9"/>
        <v>303</v>
      </c>
      <c r="O72" s="55">
        <f t="shared" si="9"/>
        <v>303</v>
      </c>
      <c r="P72" s="55">
        <f t="shared" si="9"/>
        <v>303</v>
      </c>
      <c r="Q72" s="56">
        <v>29.36</v>
      </c>
      <c r="R72" s="49"/>
      <c r="S72" s="49"/>
    </row>
    <row r="73" spans="1:19" ht="30" customHeight="1" x14ac:dyDescent="0.25">
      <c r="A73" s="49"/>
      <c r="B73" s="49"/>
      <c r="C73" s="49"/>
      <c r="D73" s="49"/>
      <c r="E73" s="49"/>
      <c r="F73" s="49"/>
      <c r="G73" s="49"/>
      <c r="H73" s="57" t="s">
        <v>867</v>
      </c>
      <c r="I73" s="126">
        <v>203599</v>
      </c>
      <c r="J73" s="58">
        <v>0</v>
      </c>
      <c r="K73" s="58">
        <v>0</v>
      </c>
      <c r="L73" s="58">
        <v>0</v>
      </c>
      <c r="M73" s="58">
        <f>SUM(FTSEHRI[[#This Row],[Undergraduate]],FTSEHRI[[#This Row],[Master''s¹]],FTSEHRI[[#This Row],[Doctoral]])</f>
        <v>0</v>
      </c>
      <c r="N73" s="58">
        <v>220</v>
      </c>
      <c r="O73" s="58">
        <f>ROUND(SUM(FTSEHRI[[#This Row],[Undergraduate]]/30,FTSEHRI[[#This Row],[Master''s¹]]/24,FTSEHRI[[#This Row],[Doctoral]]/18,FTSEHRI[[#This Row],[Prof &amp; Special-Prof Headcount]]),0)</f>
        <v>220</v>
      </c>
      <c r="P73" s="58">
        <v>220</v>
      </c>
      <c r="Q73" s="59"/>
      <c r="R73" s="49"/>
      <c r="S73" s="49"/>
    </row>
    <row r="74" spans="1:19" ht="30" customHeight="1" x14ac:dyDescent="0.25">
      <c r="A74" s="49"/>
      <c r="B74" s="49"/>
      <c r="C74" s="49"/>
      <c r="D74" s="49"/>
      <c r="E74" s="49"/>
      <c r="F74" s="49"/>
      <c r="G74" s="49"/>
      <c r="H74" s="123" t="s">
        <v>871</v>
      </c>
      <c r="I74" s="127">
        <v>303599</v>
      </c>
      <c r="J74" s="121">
        <v>0</v>
      </c>
      <c r="K74" s="121">
        <v>0</v>
      </c>
      <c r="L74" s="121">
        <v>0</v>
      </c>
      <c r="M74" s="121">
        <f>SUM(FTSEHRI[[#This Row],[Undergraduate]],FTSEHRI[[#This Row],[Master''s¹]],FTSEHRI[[#This Row],[Doctoral]])</f>
        <v>0</v>
      </c>
      <c r="N74" s="121">
        <v>83</v>
      </c>
      <c r="O74" s="121">
        <f>ROUND(SUM(FTSEHRI[[#This Row],[Undergraduate]]/30,FTSEHRI[[#This Row],[Master''s¹]]/24,FTSEHRI[[#This Row],[Doctoral]]/18,FTSEHRI[[#This Row],[Prof &amp; Special-Prof Headcount]]),0)</f>
        <v>83</v>
      </c>
      <c r="P74" s="121">
        <v>83</v>
      </c>
      <c r="Q74" s="124"/>
      <c r="R74" s="49"/>
      <c r="S74" s="49"/>
    </row>
    <row r="75" spans="1:19" ht="30" customHeight="1" x14ac:dyDescent="0.25">
      <c r="A75" s="49"/>
      <c r="B75" s="49"/>
      <c r="C75" s="49"/>
      <c r="D75" s="49"/>
      <c r="E75" s="49"/>
      <c r="F75" s="49"/>
      <c r="G75" s="49"/>
      <c r="H75" s="54" t="s">
        <v>209</v>
      </c>
      <c r="I75" s="125">
        <v>203658</v>
      </c>
      <c r="J75" s="55">
        <v>0</v>
      </c>
      <c r="K75" s="55">
        <v>0</v>
      </c>
      <c r="L75" s="55">
        <v>0</v>
      </c>
      <c r="M75" s="55">
        <v>0</v>
      </c>
      <c r="N75" s="55">
        <v>203</v>
      </c>
      <c r="O75" s="55">
        <f>ROUND(SUM(FTSEHRI[[#This Row],[Undergraduate]]/30,FTSEHRI[[#This Row],[Master''s¹]]/24,FTSEHRI[[#This Row],[Doctoral]]/18,FTSEHRI[[#This Row],[Prof &amp; Special-Prof Headcount]]),0)</f>
        <v>203</v>
      </c>
      <c r="P75" s="55">
        <v>203</v>
      </c>
      <c r="Q75" s="60">
        <v>40.590000000000003</v>
      </c>
      <c r="R75" s="49"/>
      <c r="S75" s="49"/>
    </row>
    <row r="76" spans="1:19" ht="30" customHeight="1" x14ac:dyDescent="0.25">
      <c r="A76" s="49"/>
      <c r="B76" s="49"/>
      <c r="C76" s="49"/>
      <c r="D76" s="49"/>
      <c r="E76" s="49"/>
      <c r="F76" s="49"/>
      <c r="G76" s="49"/>
      <c r="H76" s="54" t="s">
        <v>212</v>
      </c>
      <c r="I76" s="125">
        <v>203652</v>
      </c>
      <c r="J76" s="55">
        <v>0</v>
      </c>
      <c r="K76" s="55">
        <v>0</v>
      </c>
      <c r="L76" s="55">
        <v>0</v>
      </c>
      <c r="M76" s="55">
        <v>0</v>
      </c>
      <c r="N76" s="55">
        <v>206</v>
      </c>
      <c r="O76" s="55">
        <f>ROUND(SUM(FTSEHRI[[#This Row],[Undergraduate]]/30,FTSEHRI[[#This Row],[Master''s¹]]/24,FTSEHRI[[#This Row],[Doctoral]]/18,FTSEHRI[[#This Row],[Prof &amp; Special-Prof Headcount]]),0)</f>
        <v>206</v>
      </c>
      <c r="P76" s="55">
        <v>206</v>
      </c>
      <c r="Q76" s="60">
        <v>0</v>
      </c>
      <c r="R76" s="49"/>
      <c r="S76" s="49"/>
    </row>
    <row r="77" spans="1:19" ht="30" customHeight="1" thickBot="1" x14ac:dyDescent="0.3">
      <c r="A77" s="49"/>
      <c r="B77" s="49"/>
      <c r="C77" s="49"/>
      <c r="D77" s="49"/>
      <c r="E77" s="49"/>
      <c r="F77" s="49"/>
      <c r="G77" s="49"/>
      <c r="H77" s="54" t="s">
        <v>213</v>
      </c>
      <c r="I77" s="125">
        <v>103606</v>
      </c>
      <c r="J77" s="55">
        <v>0</v>
      </c>
      <c r="K77" s="55">
        <v>0</v>
      </c>
      <c r="L77" s="55">
        <v>0</v>
      </c>
      <c r="M77" s="55">
        <v>0</v>
      </c>
      <c r="N77" s="55">
        <v>574</v>
      </c>
      <c r="O77" s="55">
        <f>ROUND(SUM(FTSEHRI[[#This Row],[Undergraduate]]/30,FTSEHRI[[#This Row],[Master''s¹]]/24,FTSEHRI[[#This Row],[Doctoral]]/18,FTSEHRI[[#This Row],[Prof &amp; Special-Prof Headcount]]),0)</f>
        <v>574</v>
      </c>
      <c r="P77" s="55">
        <v>574</v>
      </c>
      <c r="Q77" s="60">
        <v>5.05</v>
      </c>
      <c r="R77" s="49"/>
      <c r="S77" s="49"/>
    </row>
    <row r="78" spans="1:19" ht="30" customHeight="1" x14ac:dyDescent="0.25">
      <c r="A78" s="49"/>
      <c r="B78" s="49"/>
      <c r="C78" s="49"/>
      <c r="D78" s="49"/>
      <c r="E78" s="49"/>
      <c r="F78" s="49"/>
      <c r="G78" s="49"/>
      <c r="H78" s="61"/>
      <c r="I78" s="61"/>
      <c r="J78" s="62" t="s">
        <v>969</v>
      </c>
      <c r="K78" s="62">
        <f t="shared" ref="K78:P78" si="10">SUM(K8,K13,K19,K29,K39,K40,K44,K53,K60,K67,K72,K75,K76,K77)</f>
        <v>275819</v>
      </c>
      <c r="L78" s="62">
        <f t="shared" si="10"/>
        <v>53426</v>
      </c>
      <c r="M78" s="62">
        <f t="shared" si="10"/>
        <v>535417</v>
      </c>
      <c r="N78" s="62">
        <f>SUM(N8,N13,N19,N29,N39,N40,N44,N53,N60,N67,N72,N75,N76,N77)</f>
        <v>9921</v>
      </c>
      <c r="O78" s="62">
        <f t="shared" si="10"/>
        <v>31254</v>
      </c>
      <c r="P78" s="62">
        <f t="shared" si="10"/>
        <v>31146</v>
      </c>
      <c r="Q78" s="62">
        <f>SUM(Q8,Q13,Q19,Q29,Q39,Q40,Q44,Q53,Q60,Q67,Q72,Q75,Q76,Q77)</f>
        <v>3073.8900000000003</v>
      </c>
      <c r="R78" s="49"/>
      <c r="S78" s="49"/>
    </row>
    <row r="79" spans="1:19" ht="30" customHeight="1" x14ac:dyDescent="0.25">
      <c r="A79" s="49"/>
      <c r="B79" s="49"/>
      <c r="C79" s="49"/>
      <c r="D79" s="49"/>
      <c r="E79" s="49"/>
      <c r="F79" s="49"/>
      <c r="G79" s="49"/>
      <c r="H79" s="637" t="s">
        <v>872</v>
      </c>
      <c r="I79" s="637"/>
      <c r="J79" s="637"/>
      <c r="K79" s="637"/>
      <c r="L79" s="637"/>
      <c r="M79" s="637"/>
      <c r="N79" s="637"/>
      <c r="O79" s="637"/>
      <c r="P79" s="637"/>
      <c r="Q79" s="637"/>
      <c r="R79" s="49"/>
      <c r="S79" s="49"/>
    </row>
    <row r="80" spans="1:19" ht="30" customHeight="1" x14ac:dyDescent="0.25">
      <c r="A80" s="49"/>
      <c r="B80" s="49"/>
      <c r="C80" s="49"/>
      <c r="D80" s="49"/>
      <c r="E80" s="49"/>
      <c r="F80" s="49"/>
      <c r="G80" s="49"/>
      <c r="H80" s="636" t="s">
        <v>873</v>
      </c>
      <c r="I80" s="636"/>
      <c r="J80" s="636"/>
      <c r="K80" s="636"/>
      <c r="L80" s="636"/>
      <c r="M80" s="636"/>
      <c r="N80" s="636"/>
      <c r="O80" s="636"/>
      <c r="P80" s="636"/>
      <c r="Q80" s="636"/>
      <c r="R80" s="49"/>
      <c r="S80" s="49"/>
    </row>
    <row r="81" spans="1:28" ht="30" customHeight="1" x14ac:dyDescent="0.25">
      <c r="A81" s="49"/>
      <c r="B81" s="49"/>
      <c r="C81" s="49"/>
      <c r="D81" s="49"/>
      <c r="E81" s="49"/>
      <c r="F81" s="49"/>
      <c r="G81" s="49"/>
      <c r="H81" s="645" t="s">
        <v>874</v>
      </c>
      <c r="I81" s="645"/>
      <c r="J81" s="645"/>
      <c r="K81" s="645"/>
      <c r="L81" s="645"/>
      <c r="M81" s="645"/>
      <c r="N81" s="645"/>
      <c r="O81" s="645"/>
      <c r="P81" s="645"/>
      <c r="Q81" s="645"/>
      <c r="R81" s="49"/>
      <c r="S81" s="49"/>
    </row>
    <row r="82" spans="1:28" ht="30" customHeight="1" x14ac:dyDescent="0.25">
      <c r="A82" s="49"/>
      <c r="B82" s="49"/>
      <c r="C82" s="49"/>
      <c r="D82" s="49"/>
      <c r="E82" s="49"/>
      <c r="F82" s="49"/>
      <c r="G82" s="49"/>
      <c r="H82" s="645" t="s">
        <v>875</v>
      </c>
      <c r="I82" s="645"/>
      <c r="J82" s="645"/>
      <c r="K82" s="645"/>
      <c r="L82" s="645"/>
      <c r="M82" s="645"/>
      <c r="N82" s="645"/>
      <c r="O82" s="645"/>
      <c r="P82" s="645"/>
      <c r="Q82" s="645"/>
      <c r="R82" s="49"/>
      <c r="S82" s="49"/>
    </row>
    <row r="83" spans="1:28" ht="30" customHeight="1" x14ac:dyDescent="0.25">
      <c r="A83" s="49"/>
      <c r="B83" s="49"/>
      <c r="C83" s="49"/>
      <c r="D83" s="49"/>
      <c r="E83" s="49"/>
      <c r="F83" s="49"/>
      <c r="G83" s="49"/>
      <c r="H83" s="636" t="s">
        <v>876</v>
      </c>
      <c r="I83" s="636"/>
      <c r="J83" s="636"/>
      <c r="K83" s="636"/>
      <c r="L83" s="636"/>
      <c r="M83" s="636"/>
      <c r="N83" s="636"/>
      <c r="O83" s="636"/>
      <c r="P83" s="636"/>
      <c r="Q83" s="636"/>
      <c r="R83" s="49"/>
      <c r="S83" s="49"/>
    </row>
    <row r="84" spans="1:28" ht="30" customHeight="1" x14ac:dyDescent="0.25">
      <c r="A84" s="49"/>
      <c r="B84" s="49"/>
      <c r="C84" s="49"/>
      <c r="D84" s="49"/>
      <c r="E84" s="49"/>
      <c r="F84" s="49"/>
      <c r="G84" s="49"/>
      <c r="H84" s="636" t="s">
        <v>877</v>
      </c>
      <c r="I84" s="636"/>
      <c r="J84" s="636"/>
      <c r="K84" s="636"/>
      <c r="L84" s="636"/>
      <c r="M84" s="636"/>
      <c r="N84" s="636"/>
      <c r="O84" s="636"/>
      <c r="P84" s="636"/>
      <c r="Q84" s="636"/>
      <c r="R84" s="49"/>
      <c r="S84" s="49"/>
    </row>
    <row r="85" spans="1:28" ht="30" customHeight="1" x14ac:dyDescent="0.25">
      <c r="A85" s="49"/>
      <c r="B85" s="49"/>
      <c r="C85" s="49"/>
      <c r="D85" s="49"/>
      <c r="E85" s="49"/>
      <c r="F85" s="49"/>
      <c r="G85" s="49"/>
      <c r="H85" s="63"/>
      <c r="I85" s="63"/>
      <c r="J85" s="63"/>
      <c r="K85" s="63"/>
      <c r="L85" s="63"/>
      <c r="M85" s="63"/>
      <c r="N85" s="63"/>
      <c r="O85" s="63"/>
      <c r="P85" s="63"/>
      <c r="Q85" s="63"/>
      <c r="R85" s="49"/>
      <c r="S85" s="49"/>
    </row>
    <row r="86" spans="1:28" ht="30" customHeight="1" x14ac:dyDescent="0.25">
      <c r="A86" s="49"/>
      <c r="B86" s="49"/>
      <c r="C86" s="49"/>
      <c r="D86" s="49"/>
      <c r="E86" s="49"/>
      <c r="F86" s="49"/>
      <c r="G86" s="49"/>
      <c r="H86" s="638" t="s">
        <v>711</v>
      </c>
      <c r="I86" s="639"/>
      <c r="J86" s="639"/>
      <c r="K86" s="639"/>
      <c r="L86" s="639"/>
      <c r="M86" s="639"/>
      <c r="N86" s="639"/>
      <c r="O86" s="639"/>
      <c r="P86" s="640"/>
      <c r="Q86" s="63"/>
      <c r="R86" s="49"/>
      <c r="S86" s="49"/>
    </row>
    <row r="87" spans="1:28" ht="45" customHeight="1" thickBot="1" x14ac:dyDescent="0.35">
      <c r="A87" s="49"/>
      <c r="B87" s="49"/>
      <c r="C87" s="49"/>
      <c r="D87" s="49"/>
      <c r="E87" s="49"/>
      <c r="F87" s="49"/>
      <c r="G87" s="49"/>
      <c r="H87" s="64" t="s">
        <v>830</v>
      </c>
      <c r="I87" s="65" t="s">
        <v>229</v>
      </c>
      <c r="J87" s="66" t="s">
        <v>878</v>
      </c>
      <c r="K87" s="66" t="s">
        <v>879</v>
      </c>
      <c r="L87" s="65" t="s">
        <v>880</v>
      </c>
      <c r="M87" s="66" t="s">
        <v>881</v>
      </c>
      <c r="N87" s="66" t="s">
        <v>882</v>
      </c>
      <c r="O87" s="66" t="s">
        <v>883</v>
      </c>
      <c r="P87" s="67" t="s">
        <v>884</v>
      </c>
      <c r="Q87" s="63"/>
      <c r="R87" s="49"/>
      <c r="S87" s="49"/>
      <c r="V87" s="68"/>
      <c r="W87" s="68"/>
      <c r="X87" s="68"/>
      <c r="Y87" s="68"/>
      <c r="Z87" s="68"/>
      <c r="AA87" s="68"/>
      <c r="AB87" s="68"/>
    </row>
    <row r="88" spans="1:28" ht="30" customHeight="1" x14ac:dyDescent="0.25">
      <c r="A88" s="49"/>
      <c r="B88" s="49"/>
      <c r="C88" s="49"/>
      <c r="D88" s="49"/>
      <c r="E88" s="49"/>
      <c r="F88" s="49"/>
      <c r="G88" s="49"/>
      <c r="H88" s="128" t="s">
        <v>206</v>
      </c>
      <c r="I88" s="129">
        <v>36273</v>
      </c>
      <c r="J88" s="130">
        <v>56159</v>
      </c>
      <c r="K88" s="130">
        <v>40396</v>
      </c>
      <c r="L88" s="130">
        <v>0</v>
      </c>
      <c r="M88" s="130">
        <v>269584</v>
      </c>
      <c r="N88" s="130">
        <v>3518</v>
      </c>
      <c r="O88" s="130">
        <v>3487</v>
      </c>
      <c r="P88" s="131">
        <v>138.75</v>
      </c>
      <c r="Q88" s="63"/>
      <c r="R88" s="49"/>
      <c r="S88" s="49"/>
      <c r="V88" s="68"/>
      <c r="W88" s="68"/>
      <c r="X88" s="68"/>
      <c r="Y88" s="68"/>
      <c r="Z88" s="68"/>
      <c r="AA88" s="68"/>
      <c r="AB88" s="68"/>
    </row>
    <row r="89" spans="1:28" ht="30" customHeight="1" x14ac:dyDescent="0.25">
      <c r="A89" s="49"/>
      <c r="B89" s="49"/>
      <c r="C89" s="49"/>
      <c r="D89" s="49"/>
      <c r="E89" s="49"/>
      <c r="F89" s="49"/>
      <c r="G89" s="49"/>
      <c r="H89" s="69" t="s">
        <v>207</v>
      </c>
      <c r="I89" s="70">
        <v>23582</v>
      </c>
      <c r="J89" s="71">
        <v>34524</v>
      </c>
      <c r="K89" s="71">
        <v>26516</v>
      </c>
      <c r="L89" s="71">
        <v>0</v>
      </c>
      <c r="M89" s="71">
        <v>39571</v>
      </c>
      <c r="N89" s="71">
        <v>2079</v>
      </c>
      <c r="O89" s="71">
        <v>2060</v>
      </c>
      <c r="P89" s="72">
        <v>84.23</v>
      </c>
      <c r="Q89" s="63"/>
      <c r="R89" s="49"/>
      <c r="S89" s="49"/>
      <c r="V89" s="68"/>
      <c r="W89" s="68"/>
      <c r="X89" s="68"/>
      <c r="Y89" s="68"/>
      <c r="Z89" s="68"/>
      <c r="AA89" s="68"/>
      <c r="AB89" s="68"/>
    </row>
    <row r="90" spans="1:28" ht="30" customHeight="1" x14ac:dyDescent="0.25">
      <c r="A90" s="49"/>
      <c r="B90" s="49"/>
      <c r="C90" s="49"/>
      <c r="D90" s="49"/>
      <c r="E90" s="49"/>
      <c r="F90" s="49"/>
      <c r="G90" s="49"/>
      <c r="H90" s="128" t="s">
        <v>210</v>
      </c>
      <c r="I90" s="129">
        <v>23485</v>
      </c>
      <c r="J90" s="130">
        <v>35851</v>
      </c>
      <c r="K90" s="130">
        <v>37376</v>
      </c>
      <c r="L90" s="130">
        <v>0</v>
      </c>
      <c r="M90" s="130">
        <v>224987</v>
      </c>
      <c r="N90" s="130">
        <v>2691</v>
      </c>
      <c r="O90" s="130">
        <v>2668</v>
      </c>
      <c r="P90" s="131">
        <v>116.64</v>
      </c>
      <c r="Q90" s="63"/>
      <c r="R90" s="49"/>
      <c r="S90" s="49"/>
      <c r="V90" s="68"/>
      <c r="W90" s="68"/>
      <c r="X90" s="68"/>
      <c r="Y90" s="68"/>
      <c r="Z90" s="68"/>
      <c r="AA90" s="68"/>
      <c r="AB90" s="68"/>
    </row>
    <row r="91" spans="1:28" ht="30" customHeight="1" x14ac:dyDescent="0.25">
      <c r="A91" s="49"/>
      <c r="B91" s="49"/>
      <c r="C91" s="49"/>
      <c r="D91" s="49"/>
      <c r="E91" s="49"/>
      <c r="F91" s="49"/>
      <c r="G91" s="49"/>
      <c r="H91" s="69" t="s">
        <v>218</v>
      </c>
      <c r="I91" s="70">
        <v>203634</v>
      </c>
      <c r="J91" s="71">
        <v>0</v>
      </c>
      <c r="K91" s="71">
        <v>22678</v>
      </c>
      <c r="L91" s="71">
        <v>0</v>
      </c>
      <c r="M91" s="71">
        <v>10152</v>
      </c>
      <c r="N91" s="71">
        <v>767</v>
      </c>
      <c r="O91" s="71">
        <v>758</v>
      </c>
      <c r="P91" s="72">
        <v>35.17</v>
      </c>
      <c r="Q91" s="63"/>
      <c r="R91" s="49"/>
      <c r="S91" s="49"/>
      <c r="V91" s="68"/>
      <c r="W91" s="68"/>
      <c r="X91" s="68"/>
      <c r="Y91" s="68"/>
      <c r="Z91" s="68"/>
      <c r="AA91" s="68"/>
      <c r="AB91" s="68"/>
    </row>
    <row r="92" spans="1:28" ht="30" customHeight="1" x14ac:dyDescent="0.25">
      <c r="A92" s="49"/>
      <c r="B92" s="49"/>
      <c r="C92" s="49"/>
      <c r="D92" s="49"/>
      <c r="E92" s="49"/>
      <c r="F92" s="49"/>
      <c r="G92" s="49"/>
      <c r="H92" s="128" t="s">
        <v>211</v>
      </c>
      <c r="I92" s="129">
        <v>9225</v>
      </c>
      <c r="J92" s="130">
        <v>1446</v>
      </c>
      <c r="K92" s="130">
        <v>37619</v>
      </c>
      <c r="L92" s="130">
        <v>0</v>
      </c>
      <c r="M92" s="130">
        <v>20903</v>
      </c>
      <c r="N92" s="130">
        <v>1325</v>
      </c>
      <c r="O92" s="130">
        <v>1321</v>
      </c>
      <c r="P92" s="131">
        <v>102.50999999999999</v>
      </c>
      <c r="Q92" s="63"/>
      <c r="R92" s="49"/>
      <c r="S92" s="49"/>
      <c r="V92" s="68"/>
      <c r="W92" s="68"/>
      <c r="X92" s="68"/>
      <c r="Y92" s="68"/>
      <c r="Z92" s="68"/>
      <c r="AA92" s="68"/>
      <c r="AB92" s="68"/>
    </row>
    <row r="93" spans="1:28" ht="30" customHeight="1" x14ac:dyDescent="0.25">
      <c r="A93" s="49"/>
      <c r="B93" s="49"/>
      <c r="C93" s="49"/>
      <c r="D93" s="49"/>
      <c r="E93" s="49"/>
      <c r="F93" s="49"/>
      <c r="G93" s="49"/>
      <c r="H93" s="69" t="s">
        <v>215</v>
      </c>
      <c r="I93" s="70">
        <v>33965</v>
      </c>
      <c r="J93" s="71">
        <v>291</v>
      </c>
      <c r="K93" s="71">
        <v>13237</v>
      </c>
      <c r="L93" s="71">
        <v>0</v>
      </c>
      <c r="M93" s="71">
        <v>6800</v>
      </c>
      <c r="N93" s="71">
        <v>458</v>
      </c>
      <c r="O93" s="71">
        <v>455</v>
      </c>
      <c r="P93" s="72">
        <v>31.914999999999999</v>
      </c>
      <c r="Q93" s="63"/>
      <c r="R93" s="49"/>
      <c r="S93" s="49"/>
      <c r="V93" s="68"/>
      <c r="W93" s="68"/>
      <c r="X93" s="68"/>
      <c r="Y93" s="68"/>
      <c r="Z93" s="68"/>
      <c r="AA93" s="68"/>
      <c r="AB93" s="68"/>
    </row>
    <row r="94" spans="1:28" ht="30" customHeight="1" x14ac:dyDescent="0.25">
      <c r="A94" s="49"/>
      <c r="B94" s="49"/>
      <c r="C94" s="49"/>
      <c r="D94" s="49"/>
      <c r="E94" s="49"/>
      <c r="F94" s="49"/>
      <c r="G94" s="49"/>
      <c r="H94" s="128" t="s">
        <v>217</v>
      </c>
      <c r="I94" s="129">
        <v>133965</v>
      </c>
      <c r="J94" s="130">
        <v>45</v>
      </c>
      <c r="K94" s="130">
        <v>10040</v>
      </c>
      <c r="L94" s="130">
        <v>0</v>
      </c>
      <c r="M94" s="130">
        <v>3496</v>
      </c>
      <c r="N94" s="130">
        <v>340</v>
      </c>
      <c r="O94" s="130">
        <v>334</v>
      </c>
      <c r="P94" s="131">
        <v>24.815000000000001</v>
      </c>
      <c r="Q94" s="63"/>
      <c r="R94" s="49"/>
      <c r="S94" s="49"/>
      <c r="V94" s="68"/>
      <c r="W94" s="68"/>
      <c r="X94" s="68"/>
      <c r="Y94" s="68"/>
      <c r="Z94" s="68"/>
      <c r="AA94" s="68"/>
      <c r="AB94" s="68"/>
    </row>
    <row r="95" spans="1:28" ht="30" customHeight="1" x14ac:dyDescent="0.25">
      <c r="A95" s="49"/>
      <c r="B95" s="49"/>
      <c r="C95" s="49"/>
      <c r="D95" s="49"/>
      <c r="E95" s="49"/>
      <c r="F95" s="49"/>
      <c r="G95" s="49"/>
      <c r="H95" s="73" t="s">
        <v>216</v>
      </c>
      <c r="I95" s="70">
        <v>3634</v>
      </c>
      <c r="J95" s="71">
        <v>57060</v>
      </c>
      <c r="K95" s="71">
        <v>127144</v>
      </c>
      <c r="L95" s="71">
        <v>0</v>
      </c>
      <c r="M95" s="71">
        <v>7420</v>
      </c>
      <c r="N95" s="71">
        <v>6148</v>
      </c>
      <c r="O95" s="71">
        <v>5960</v>
      </c>
      <c r="P95" s="72">
        <v>315.39499999999998</v>
      </c>
      <c r="Q95" s="63"/>
      <c r="R95" s="49"/>
      <c r="S95" s="49"/>
      <c r="V95" s="68"/>
      <c r="W95" s="68"/>
      <c r="X95" s="68"/>
      <c r="Y95" s="68"/>
      <c r="Z95" s="68"/>
      <c r="AA95" s="68"/>
      <c r="AB95" s="68"/>
    </row>
    <row r="96" spans="1:28" ht="30" customHeight="1" thickBot="1" x14ac:dyDescent="0.3">
      <c r="A96" s="49"/>
      <c r="B96" s="49"/>
      <c r="C96" s="49"/>
      <c r="D96" s="49"/>
      <c r="E96" s="49"/>
      <c r="F96" s="49"/>
      <c r="G96" s="49"/>
      <c r="H96" s="128" t="s">
        <v>214</v>
      </c>
      <c r="I96" s="129">
        <v>9932</v>
      </c>
      <c r="J96" s="130">
        <v>60</v>
      </c>
      <c r="K96" s="130">
        <v>19176</v>
      </c>
      <c r="L96" s="130">
        <v>0</v>
      </c>
      <c r="M96" s="130">
        <v>17684</v>
      </c>
      <c r="N96" s="130">
        <v>661</v>
      </c>
      <c r="O96" s="130">
        <v>656</v>
      </c>
      <c r="P96" s="131">
        <v>51.265000000000001</v>
      </c>
      <c r="Q96" s="63"/>
      <c r="R96" s="49"/>
      <c r="S96" s="49"/>
    </row>
    <row r="97" spans="1:19" ht="30" customHeight="1" x14ac:dyDescent="0.3">
      <c r="A97" s="49"/>
      <c r="B97" s="49"/>
      <c r="C97" s="49"/>
      <c r="D97" s="49"/>
      <c r="E97" s="49"/>
      <c r="F97" s="49"/>
      <c r="G97" s="49"/>
      <c r="H97" s="74"/>
      <c r="I97" s="75"/>
      <c r="J97" s="76">
        <f>SUBTOTAL(109,FTSETSTC[Academic
 SCH])</f>
        <v>185436</v>
      </c>
      <c r="K97" s="76">
        <f>SUBTOTAL(109,FTSETSTC[Technical
 SCH])</f>
        <v>334182</v>
      </c>
      <c r="L97" s="76">
        <f>SUBTOTAL(109,FTSETSTC[BAT SCH])</f>
        <v>0</v>
      </c>
      <c r="M97" s="76">
        <f>SUBTOTAL(109,FTSETSTC[Continuing Ed. SCH])</f>
        <v>600597</v>
      </c>
      <c r="N97" s="77">
        <f>SUBTOTAL(109,FTSETSTC[Full-Time Student
Equivalents1])</f>
        <v>17987</v>
      </c>
      <c r="O97" s="77" t="s">
        <v>885</v>
      </c>
      <c r="P97" s="78">
        <f>SUBTOTAL(109,FTSETSTC[Fall 
Faculty FTE])</f>
        <v>900.69</v>
      </c>
      <c r="Q97" s="63"/>
      <c r="R97" s="49"/>
      <c r="S97" s="49"/>
    </row>
    <row r="98" spans="1:19" ht="30" customHeight="1" x14ac:dyDescent="0.25">
      <c r="A98" s="49"/>
      <c r="B98" s="49"/>
      <c r="C98" s="49"/>
      <c r="D98" s="49"/>
      <c r="E98" s="49"/>
      <c r="F98" s="49"/>
      <c r="G98" s="49"/>
      <c r="H98" s="637" t="s">
        <v>886</v>
      </c>
      <c r="I98" s="637"/>
      <c r="J98" s="637"/>
      <c r="K98" s="637"/>
      <c r="L98" s="637"/>
      <c r="M98" s="637"/>
      <c r="N98" s="637"/>
      <c r="O98" s="637"/>
      <c r="P98" s="637"/>
      <c r="Q98" s="63"/>
      <c r="R98" s="49"/>
      <c r="S98" s="49"/>
    </row>
    <row r="99" spans="1:19" ht="30" customHeight="1" x14ac:dyDescent="0.25">
      <c r="A99" s="49"/>
      <c r="B99" s="49"/>
      <c r="C99" s="49"/>
      <c r="D99" s="49"/>
      <c r="E99" s="49"/>
      <c r="F99" s="49"/>
      <c r="G99" s="49"/>
      <c r="H99" s="636" t="s">
        <v>887</v>
      </c>
      <c r="I99" s="636"/>
      <c r="J99" s="636"/>
      <c r="K99" s="636"/>
      <c r="L99" s="636"/>
      <c r="M99" s="636"/>
      <c r="N99" s="636"/>
      <c r="O99" s="636"/>
      <c r="P99" s="636"/>
      <c r="Q99" s="63"/>
      <c r="R99" s="49"/>
      <c r="S99" s="49"/>
    </row>
    <row r="100" spans="1:19" ht="30" customHeight="1" x14ac:dyDescent="0.25">
      <c r="A100" s="49"/>
      <c r="B100" s="49"/>
      <c r="C100" s="49"/>
      <c r="D100" s="49"/>
      <c r="E100" s="49"/>
      <c r="F100" s="49"/>
      <c r="G100" s="49"/>
      <c r="H100" s="636" t="s">
        <v>888</v>
      </c>
      <c r="I100" s="636"/>
      <c r="J100" s="636"/>
      <c r="K100" s="636"/>
      <c r="L100" s="636"/>
      <c r="M100" s="636"/>
      <c r="N100" s="636"/>
      <c r="O100" s="636"/>
      <c r="P100" s="636"/>
      <c r="Q100" s="63"/>
      <c r="R100" s="49"/>
      <c r="S100" s="49"/>
    </row>
    <row r="101" spans="1:19" ht="30" customHeight="1" x14ac:dyDescent="0.25">
      <c r="A101" s="49"/>
      <c r="B101" s="49"/>
      <c r="C101" s="49"/>
      <c r="D101" s="49"/>
      <c r="E101" s="49"/>
      <c r="F101" s="49"/>
      <c r="G101" s="49"/>
      <c r="H101" s="63"/>
      <c r="I101" s="63"/>
      <c r="J101" s="63"/>
      <c r="K101" s="63"/>
      <c r="L101" s="63"/>
      <c r="M101" s="63"/>
      <c r="N101" s="63"/>
      <c r="O101" s="63"/>
      <c r="P101" s="63"/>
      <c r="Q101" s="63"/>
      <c r="R101" s="49"/>
      <c r="S101" s="49"/>
    </row>
    <row r="102" spans="1:19" ht="30" customHeight="1" x14ac:dyDescent="0.25">
      <c r="A102" s="49"/>
      <c r="B102" s="49"/>
      <c r="C102" s="49"/>
      <c r="D102" s="49"/>
      <c r="E102" s="49"/>
      <c r="F102" s="49"/>
      <c r="G102" s="49"/>
      <c r="H102" s="638" t="s">
        <v>671</v>
      </c>
      <c r="I102" s="639"/>
      <c r="J102" s="639"/>
      <c r="K102" s="639"/>
      <c r="L102" s="639"/>
      <c r="M102" s="639"/>
      <c r="N102" s="639"/>
      <c r="O102" s="639"/>
      <c r="P102" s="639"/>
      <c r="Q102" s="640"/>
      <c r="R102" s="49"/>
      <c r="S102" s="49"/>
    </row>
    <row r="103" spans="1:19" ht="45" customHeight="1" thickBot="1" x14ac:dyDescent="0.35">
      <c r="A103" s="49"/>
      <c r="B103" s="49"/>
      <c r="C103" s="49"/>
      <c r="D103" s="49"/>
      <c r="E103" s="49"/>
      <c r="F103" s="49"/>
      <c r="G103" s="49"/>
      <c r="H103" s="79" t="s">
        <v>830</v>
      </c>
      <c r="I103" s="80" t="s">
        <v>229</v>
      </c>
      <c r="J103" s="80" t="s">
        <v>831</v>
      </c>
      <c r="K103" s="80" t="s">
        <v>889</v>
      </c>
      <c r="L103" s="80" t="s">
        <v>740</v>
      </c>
      <c r="M103" s="81" t="s">
        <v>890</v>
      </c>
      <c r="N103" s="80" t="s">
        <v>891</v>
      </c>
      <c r="O103" s="81" t="s">
        <v>892</v>
      </c>
      <c r="P103" s="81" t="s">
        <v>893</v>
      </c>
      <c r="Q103" s="82" t="s">
        <v>894</v>
      </c>
      <c r="R103" s="49"/>
      <c r="S103" s="49"/>
    </row>
    <row r="104" spans="1:19" ht="30" customHeight="1" x14ac:dyDescent="0.25">
      <c r="A104" s="49"/>
      <c r="B104" s="49"/>
      <c r="C104" s="49"/>
      <c r="D104" s="49"/>
      <c r="E104" s="49"/>
      <c r="F104" s="49"/>
      <c r="G104" s="49"/>
      <c r="H104" s="120" t="s">
        <v>197</v>
      </c>
      <c r="I104" s="132">
        <v>3656</v>
      </c>
      <c r="J104" s="130">
        <v>354943</v>
      </c>
      <c r="K104" s="130">
        <v>64020</v>
      </c>
      <c r="L104" s="130">
        <v>7290</v>
      </c>
      <c r="M104" s="130">
        <v>0</v>
      </c>
      <c r="N104" s="130">
        <v>0</v>
      </c>
      <c r="O104" s="130">
        <v>29808</v>
      </c>
      <c r="P104" s="130">
        <v>33319</v>
      </c>
      <c r="Q104" s="133">
        <v>344</v>
      </c>
      <c r="R104" s="49"/>
      <c r="S104" s="49"/>
    </row>
    <row r="105" spans="1:19" ht="30" customHeight="1" x14ac:dyDescent="0.25">
      <c r="A105" s="49"/>
      <c r="B105" s="49"/>
      <c r="C105" s="49"/>
      <c r="D105" s="49"/>
      <c r="E105" s="49"/>
      <c r="F105" s="49"/>
      <c r="G105" s="49"/>
      <c r="H105" s="86" t="s">
        <v>208</v>
      </c>
      <c r="I105" s="84">
        <v>3658</v>
      </c>
      <c r="J105" s="71">
        <v>588337</v>
      </c>
      <c r="K105" s="71">
        <v>49986</v>
      </c>
      <c r="L105" s="71">
        <v>35854</v>
      </c>
      <c r="M105" s="71">
        <v>20856</v>
      </c>
      <c r="N105" s="71">
        <v>0</v>
      </c>
      <c r="O105" s="71">
        <v>49110</v>
      </c>
      <c r="P105" s="71">
        <v>50913</v>
      </c>
      <c r="Q105" s="85">
        <v>1622</v>
      </c>
      <c r="R105" s="49"/>
      <c r="S105" s="49"/>
    </row>
    <row r="106" spans="1:19" ht="30" customHeight="1" x14ac:dyDescent="0.25">
      <c r="A106" s="49"/>
      <c r="B106" s="49"/>
      <c r="C106" s="49"/>
      <c r="D106" s="49"/>
      <c r="E106" s="49"/>
      <c r="F106" s="49"/>
      <c r="G106" s="49"/>
      <c r="H106" s="120" t="s">
        <v>220</v>
      </c>
      <c r="I106" s="132">
        <v>9741</v>
      </c>
      <c r="J106" s="130">
        <v>290777</v>
      </c>
      <c r="K106" s="130">
        <v>56464</v>
      </c>
      <c r="L106" s="130">
        <v>11699</v>
      </c>
      <c r="M106" s="130">
        <v>398</v>
      </c>
      <c r="N106" s="130">
        <v>0</v>
      </c>
      <c r="O106" s="130">
        <v>25424</v>
      </c>
      <c r="P106" s="130">
        <v>25477</v>
      </c>
      <c r="Q106" s="133">
        <v>557</v>
      </c>
      <c r="R106" s="49"/>
      <c r="S106" s="49"/>
    </row>
    <row r="107" spans="1:19" ht="30" customHeight="1" x14ac:dyDescent="0.25">
      <c r="A107" s="49"/>
      <c r="B107" s="49"/>
      <c r="C107" s="49"/>
      <c r="D107" s="49"/>
      <c r="E107" s="49"/>
      <c r="F107" s="49"/>
      <c r="G107" s="49"/>
      <c r="H107" s="83" t="s">
        <v>223</v>
      </c>
      <c r="I107" s="84">
        <v>3661</v>
      </c>
      <c r="J107" s="71">
        <v>244641</v>
      </c>
      <c r="K107" s="71">
        <v>16033</v>
      </c>
      <c r="L107" s="71">
        <v>6501</v>
      </c>
      <c r="M107" s="71">
        <v>3757</v>
      </c>
      <c r="N107" s="71">
        <v>0</v>
      </c>
      <c r="O107" s="71">
        <v>18681</v>
      </c>
      <c r="P107" s="71">
        <v>20515</v>
      </c>
      <c r="Q107" s="85">
        <v>313</v>
      </c>
      <c r="R107" s="49"/>
      <c r="S107" s="49"/>
    </row>
    <row r="108" spans="1:19" ht="30" customHeight="1" x14ac:dyDescent="0.25">
      <c r="A108" s="49"/>
      <c r="B108" s="49"/>
      <c r="C108" s="49"/>
      <c r="D108" s="49"/>
      <c r="E108" s="49"/>
      <c r="F108" s="49"/>
      <c r="G108" s="49"/>
      <c r="H108" s="120" t="s">
        <v>761</v>
      </c>
      <c r="I108" s="132">
        <v>3599</v>
      </c>
      <c r="J108" s="130">
        <v>355275</v>
      </c>
      <c r="K108" s="130">
        <v>26013</v>
      </c>
      <c r="L108" s="130">
        <v>3744</v>
      </c>
      <c r="M108" s="130">
        <v>0</v>
      </c>
      <c r="N108" s="130">
        <v>0</v>
      </c>
      <c r="O108" s="130">
        <v>26269</v>
      </c>
      <c r="P108" s="130">
        <v>29153</v>
      </c>
      <c r="Q108" s="133">
        <v>336</v>
      </c>
      <c r="R108" s="49"/>
      <c r="S108" s="49"/>
    </row>
    <row r="109" spans="1:19" ht="30" customHeight="1" x14ac:dyDescent="0.25">
      <c r="A109" s="49"/>
      <c r="B109" s="49"/>
      <c r="C109" s="49"/>
      <c r="D109" s="49"/>
      <c r="E109" s="49"/>
      <c r="F109" s="49"/>
      <c r="G109" s="49"/>
      <c r="H109" s="83" t="s">
        <v>169</v>
      </c>
      <c r="I109" s="84">
        <v>9930</v>
      </c>
      <c r="J109" s="71">
        <v>41434</v>
      </c>
      <c r="K109" s="71">
        <v>4105</v>
      </c>
      <c r="L109" s="71">
        <v>0</v>
      </c>
      <c r="M109" s="71">
        <v>0</v>
      </c>
      <c r="N109" s="71">
        <v>0</v>
      </c>
      <c r="O109" s="71">
        <v>3104</v>
      </c>
      <c r="P109" s="71">
        <v>3784</v>
      </c>
      <c r="Q109" s="85">
        <v>100</v>
      </c>
      <c r="R109" s="49"/>
      <c r="S109" s="49"/>
    </row>
    <row r="110" spans="1:19" ht="30" customHeight="1" x14ac:dyDescent="0.25">
      <c r="A110" s="49"/>
      <c r="B110" s="49"/>
      <c r="C110" s="49"/>
      <c r="D110" s="49"/>
      <c r="E110" s="49"/>
      <c r="F110" s="49"/>
      <c r="G110" s="49"/>
      <c r="H110" s="120" t="s">
        <v>170</v>
      </c>
      <c r="I110" s="132">
        <v>10115</v>
      </c>
      <c r="J110" s="130">
        <v>374090</v>
      </c>
      <c r="K110" s="130">
        <v>25777</v>
      </c>
      <c r="L110" s="130">
        <v>6979</v>
      </c>
      <c r="M110" s="130">
        <v>0</v>
      </c>
      <c r="N110" s="130">
        <v>0</v>
      </c>
      <c r="O110" s="130">
        <v>27863</v>
      </c>
      <c r="P110" s="130">
        <v>29190</v>
      </c>
      <c r="Q110" s="133">
        <v>605</v>
      </c>
      <c r="R110" s="49"/>
      <c r="S110" s="49"/>
    </row>
    <row r="111" spans="1:19" ht="30" customHeight="1" x14ac:dyDescent="0.25">
      <c r="A111" s="49"/>
      <c r="B111" s="49"/>
      <c r="C111" s="49"/>
      <c r="D111" s="49"/>
      <c r="E111" s="49"/>
      <c r="F111" s="49"/>
      <c r="G111" s="49"/>
      <c r="H111" s="83" t="s">
        <v>171</v>
      </c>
      <c r="I111" s="84">
        <v>11163</v>
      </c>
      <c r="J111" s="71">
        <v>90026</v>
      </c>
      <c r="K111" s="71">
        <v>12636</v>
      </c>
      <c r="L111" s="71">
        <v>1201</v>
      </c>
      <c r="M111" s="71">
        <v>1529</v>
      </c>
      <c r="N111" s="71">
        <v>0</v>
      </c>
      <c r="O111" s="71">
        <v>7316</v>
      </c>
      <c r="P111" s="71">
        <v>8877</v>
      </c>
      <c r="Q111" s="85">
        <v>150</v>
      </c>
      <c r="R111" s="49"/>
      <c r="S111" s="49"/>
    </row>
    <row r="112" spans="1:19" ht="30" customHeight="1" x14ac:dyDescent="0.25">
      <c r="A112" s="49"/>
      <c r="B112" s="49"/>
      <c r="C112" s="49"/>
      <c r="D112" s="49"/>
      <c r="E112" s="49"/>
      <c r="F112" s="49"/>
      <c r="G112" s="49"/>
      <c r="H112" s="120" t="s">
        <v>195</v>
      </c>
      <c r="I112" s="132">
        <v>3624</v>
      </c>
      <c r="J112" s="130">
        <v>121562</v>
      </c>
      <c r="K112" s="130">
        <v>8898</v>
      </c>
      <c r="L112" s="130">
        <v>689</v>
      </c>
      <c r="M112" s="130">
        <v>0</v>
      </c>
      <c r="N112" s="130">
        <v>0</v>
      </c>
      <c r="O112" s="130">
        <v>8922</v>
      </c>
      <c r="P112" s="130">
        <v>8860</v>
      </c>
      <c r="Q112" s="133">
        <v>353</v>
      </c>
      <c r="R112" s="49"/>
      <c r="S112" s="49"/>
    </row>
    <row r="113" spans="1:19" ht="30" customHeight="1" x14ac:dyDescent="0.25">
      <c r="A113" s="49"/>
      <c r="B113" s="49"/>
      <c r="C113" s="49"/>
      <c r="D113" s="49"/>
      <c r="E113" s="49"/>
      <c r="F113" s="49"/>
      <c r="G113" s="49"/>
      <c r="H113" s="83" t="s">
        <v>172</v>
      </c>
      <c r="I113" s="84">
        <v>3632</v>
      </c>
      <c r="J113" s="71">
        <v>749308</v>
      </c>
      <c r="K113" s="71">
        <v>71061</v>
      </c>
      <c r="L113" s="71">
        <v>33364</v>
      </c>
      <c r="M113" s="71">
        <v>21378</v>
      </c>
      <c r="N113" s="71">
        <v>0</v>
      </c>
      <c r="O113" s="71">
        <v>61364</v>
      </c>
      <c r="P113" s="71">
        <v>63243</v>
      </c>
      <c r="Q113" s="85">
        <v>1558</v>
      </c>
      <c r="R113" s="49"/>
      <c r="S113" s="49"/>
    </row>
    <row r="114" spans="1:19" ht="30" customHeight="1" x14ac:dyDescent="0.25">
      <c r="A114" s="49"/>
      <c r="B114" s="49"/>
      <c r="C114" s="49"/>
      <c r="D114" s="49"/>
      <c r="E114" s="49"/>
      <c r="F114" s="49"/>
      <c r="G114" s="49"/>
      <c r="H114" s="120" t="s">
        <v>173</v>
      </c>
      <c r="I114" s="132">
        <v>10298</v>
      </c>
      <c r="J114" s="130">
        <v>26740</v>
      </c>
      <c r="K114" s="130">
        <v>960</v>
      </c>
      <c r="L114" s="130">
        <v>509</v>
      </c>
      <c r="M114" s="130">
        <v>0</v>
      </c>
      <c r="N114" s="130">
        <v>0</v>
      </c>
      <c r="O114" s="130">
        <v>1919</v>
      </c>
      <c r="P114" s="130">
        <v>1852</v>
      </c>
      <c r="Q114" s="133">
        <v>43</v>
      </c>
      <c r="R114" s="49"/>
      <c r="S114" s="49"/>
    </row>
    <row r="115" spans="1:19" ht="30" customHeight="1" x14ac:dyDescent="0.25">
      <c r="A115" s="49"/>
      <c r="B115" s="49"/>
      <c r="C115" s="49"/>
      <c r="D115" s="49"/>
      <c r="E115" s="49"/>
      <c r="F115" s="49"/>
      <c r="G115" s="49"/>
      <c r="H115" s="83" t="s">
        <v>174</v>
      </c>
      <c r="I115" s="84">
        <v>3630</v>
      </c>
      <c r="J115" s="71">
        <v>120479</v>
      </c>
      <c r="K115" s="71">
        <v>6244</v>
      </c>
      <c r="L115" s="71">
        <v>1054</v>
      </c>
      <c r="M115" s="71">
        <v>0</v>
      </c>
      <c r="N115" s="71">
        <v>0</v>
      </c>
      <c r="O115" s="71">
        <v>8669</v>
      </c>
      <c r="P115" s="71">
        <v>8992</v>
      </c>
      <c r="Q115" s="85">
        <v>223</v>
      </c>
      <c r="R115" s="49"/>
      <c r="S115" s="49"/>
    </row>
    <row r="116" spans="1:19" ht="30" customHeight="1" x14ac:dyDescent="0.25">
      <c r="A116" s="49"/>
      <c r="B116" s="49"/>
      <c r="C116" s="49"/>
      <c r="D116" s="49"/>
      <c r="E116" s="49"/>
      <c r="F116" s="49"/>
      <c r="G116" s="49"/>
      <c r="H116" s="120" t="s">
        <v>175</v>
      </c>
      <c r="I116" s="132">
        <v>3631</v>
      </c>
      <c r="J116" s="130">
        <v>168458</v>
      </c>
      <c r="K116" s="130">
        <v>12194</v>
      </c>
      <c r="L116" s="130">
        <v>918</v>
      </c>
      <c r="M116" s="130">
        <v>0</v>
      </c>
      <c r="N116" s="130">
        <v>0</v>
      </c>
      <c r="O116" s="130">
        <v>12349</v>
      </c>
      <c r="P116" s="130">
        <v>13369</v>
      </c>
      <c r="Q116" s="133">
        <v>189</v>
      </c>
      <c r="R116" s="49"/>
      <c r="S116" s="49"/>
    </row>
    <row r="117" spans="1:19" ht="30" customHeight="1" x14ac:dyDescent="0.25">
      <c r="A117" s="49"/>
      <c r="B117" s="49"/>
      <c r="C117" s="49"/>
      <c r="D117" s="49"/>
      <c r="E117" s="49"/>
      <c r="F117" s="49"/>
      <c r="G117" s="49"/>
      <c r="H117" s="83" t="s">
        <v>176</v>
      </c>
      <c r="I117" s="84">
        <v>11161</v>
      </c>
      <c r="J117" s="71">
        <v>105161</v>
      </c>
      <c r="K117" s="71">
        <v>13705</v>
      </c>
      <c r="L117" s="71">
        <v>1831</v>
      </c>
      <c r="M117" s="71">
        <v>0</v>
      </c>
      <c r="N117" s="71">
        <v>0</v>
      </c>
      <c r="O117" s="71">
        <v>8356</v>
      </c>
      <c r="P117" s="71">
        <v>9531</v>
      </c>
      <c r="Q117" s="85">
        <v>153</v>
      </c>
      <c r="R117" s="49"/>
      <c r="S117" s="49"/>
    </row>
    <row r="118" spans="1:19" ht="30" customHeight="1" x14ac:dyDescent="0.25">
      <c r="A118" s="49"/>
      <c r="B118" s="49"/>
      <c r="C118" s="49"/>
      <c r="D118" s="49"/>
      <c r="E118" s="49"/>
      <c r="F118" s="49"/>
      <c r="G118" s="49"/>
      <c r="H118" s="120" t="s">
        <v>177</v>
      </c>
      <c r="I118" s="132">
        <v>3639</v>
      </c>
      <c r="J118" s="130">
        <v>67122</v>
      </c>
      <c r="K118" s="130">
        <v>9861</v>
      </c>
      <c r="L118" s="130">
        <v>851</v>
      </c>
      <c r="M118" s="130">
        <v>0</v>
      </c>
      <c r="N118" s="130">
        <v>0</v>
      </c>
      <c r="O118" s="130">
        <v>5391</v>
      </c>
      <c r="P118" s="130">
        <v>5640</v>
      </c>
      <c r="Q118" s="133">
        <v>202</v>
      </c>
      <c r="R118" s="49"/>
      <c r="S118" s="49"/>
    </row>
    <row r="119" spans="1:19" ht="30" customHeight="1" x14ac:dyDescent="0.25">
      <c r="A119" s="49"/>
      <c r="B119" s="49"/>
      <c r="C119" s="49"/>
      <c r="D119" s="49"/>
      <c r="E119" s="49"/>
      <c r="F119" s="49"/>
      <c r="G119" s="49"/>
      <c r="H119" s="83" t="s">
        <v>178</v>
      </c>
      <c r="I119" s="84">
        <v>9651</v>
      </c>
      <c r="J119" s="71">
        <v>87669</v>
      </c>
      <c r="K119" s="71">
        <v>6393</v>
      </c>
      <c r="L119" s="71">
        <v>247</v>
      </c>
      <c r="M119" s="71">
        <v>0</v>
      </c>
      <c r="N119" s="71">
        <v>0</v>
      </c>
      <c r="O119" s="71">
        <v>6405</v>
      </c>
      <c r="P119" s="71">
        <v>7562</v>
      </c>
      <c r="Q119" s="85">
        <v>142</v>
      </c>
      <c r="R119" s="49"/>
      <c r="S119" s="49"/>
    </row>
    <row r="120" spans="1:19" ht="30" customHeight="1" x14ac:dyDescent="0.25">
      <c r="A120" s="49"/>
      <c r="B120" s="49"/>
      <c r="C120" s="49"/>
      <c r="D120" s="49"/>
      <c r="E120" s="49"/>
      <c r="F120" s="49"/>
      <c r="G120" s="49"/>
      <c r="H120" s="120" t="s">
        <v>179</v>
      </c>
      <c r="I120" s="132">
        <v>3665</v>
      </c>
      <c r="J120" s="130">
        <v>87034</v>
      </c>
      <c r="K120" s="130">
        <v>12294</v>
      </c>
      <c r="L120" s="130">
        <v>586</v>
      </c>
      <c r="M120" s="130">
        <v>0</v>
      </c>
      <c r="N120" s="130">
        <v>0</v>
      </c>
      <c r="O120" s="130">
        <v>6892</v>
      </c>
      <c r="P120" s="130">
        <v>7338</v>
      </c>
      <c r="Q120" s="133">
        <v>149</v>
      </c>
      <c r="R120" s="49"/>
      <c r="S120" s="49"/>
    </row>
    <row r="121" spans="1:19" ht="30" customHeight="1" x14ac:dyDescent="0.25">
      <c r="A121" s="49"/>
      <c r="B121" s="49"/>
      <c r="C121" s="49"/>
      <c r="D121" s="49"/>
      <c r="E121" s="49"/>
      <c r="F121" s="49"/>
      <c r="G121" s="49"/>
      <c r="H121" s="83" t="s">
        <v>180</v>
      </c>
      <c r="I121" s="84">
        <v>3565</v>
      </c>
      <c r="J121" s="71">
        <v>97022</v>
      </c>
      <c r="K121" s="71">
        <v>19109</v>
      </c>
      <c r="L121" s="71">
        <v>1629</v>
      </c>
      <c r="M121" s="71">
        <v>0</v>
      </c>
      <c r="N121" s="71">
        <v>0</v>
      </c>
      <c r="O121" s="71">
        <v>8242</v>
      </c>
      <c r="P121" s="71">
        <v>10094</v>
      </c>
      <c r="Q121" s="85">
        <v>184</v>
      </c>
      <c r="R121" s="49"/>
      <c r="S121" s="49"/>
    </row>
    <row r="122" spans="1:19" ht="30" customHeight="1" x14ac:dyDescent="0.25">
      <c r="A122" s="49"/>
      <c r="B122" s="49"/>
      <c r="C122" s="49"/>
      <c r="D122" s="49"/>
      <c r="E122" s="49"/>
      <c r="F122" s="49"/>
      <c r="G122" s="49"/>
      <c r="H122" s="120" t="s">
        <v>181</v>
      </c>
      <c r="I122" s="132">
        <v>29269</v>
      </c>
      <c r="J122" s="130">
        <v>21781</v>
      </c>
      <c r="K122" s="130">
        <v>2055</v>
      </c>
      <c r="L122" s="130">
        <v>183</v>
      </c>
      <c r="M122" s="130">
        <v>0</v>
      </c>
      <c r="N122" s="130">
        <v>0</v>
      </c>
      <c r="O122" s="130">
        <v>1644</v>
      </c>
      <c r="P122" s="130">
        <v>1699</v>
      </c>
      <c r="Q122" s="133">
        <v>68</v>
      </c>
      <c r="R122" s="49"/>
      <c r="S122" s="49"/>
    </row>
    <row r="123" spans="1:19" ht="30" customHeight="1" x14ac:dyDescent="0.25">
      <c r="A123" s="49"/>
      <c r="B123" s="49"/>
      <c r="C123" s="49"/>
      <c r="D123" s="49"/>
      <c r="E123" s="49"/>
      <c r="F123" s="49"/>
      <c r="G123" s="49"/>
      <c r="H123" s="83" t="s">
        <v>182</v>
      </c>
      <c r="I123" s="84">
        <v>42295</v>
      </c>
      <c r="J123" s="71">
        <v>15813</v>
      </c>
      <c r="K123" s="71">
        <v>3792</v>
      </c>
      <c r="L123" s="71">
        <v>0</v>
      </c>
      <c r="M123" s="71">
        <v>0</v>
      </c>
      <c r="N123" s="71">
        <v>0</v>
      </c>
      <c r="O123" s="71">
        <v>1370</v>
      </c>
      <c r="P123" s="71">
        <v>1811</v>
      </c>
      <c r="Q123" s="85">
        <v>63</v>
      </c>
      <c r="R123" s="49"/>
      <c r="S123" s="49"/>
    </row>
    <row r="124" spans="1:19" ht="30" customHeight="1" x14ac:dyDescent="0.25">
      <c r="A124" s="49"/>
      <c r="B124" s="49"/>
      <c r="C124" s="49"/>
      <c r="D124" s="49"/>
      <c r="E124" s="49"/>
      <c r="F124" s="49"/>
      <c r="G124" s="49"/>
      <c r="H124" s="120" t="s">
        <v>183</v>
      </c>
      <c r="I124" s="132">
        <v>42485</v>
      </c>
      <c r="J124" s="130">
        <v>75934</v>
      </c>
      <c r="K124" s="130">
        <v>5225</v>
      </c>
      <c r="L124" s="130">
        <v>0</v>
      </c>
      <c r="M124" s="130">
        <v>0</v>
      </c>
      <c r="N124" s="130">
        <v>0</v>
      </c>
      <c r="O124" s="130">
        <v>5498</v>
      </c>
      <c r="P124" s="130">
        <v>5683</v>
      </c>
      <c r="Q124" s="133">
        <v>134</v>
      </c>
      <c r="R124" s="49"/>
      <c r="S124" s="49"/>
    </row>
    <row r="125" spans="1:19" ht="30" customHeight="1" x14ac:dyDescent="0.25">
      <c r="A125" s="49"/>
      <c r="B125" s="49"/>
      <c r="C125" s="49"/>
      <c r="D125" s="49"/>
      <c r="E125" s="49"/>
      <c r="F125" s="49"/>
      <c r="G125" s="49"/>
      <c r="H125" s="83" t="s">
        <v>184</v>
      </c>
      <c r="I125" s="84">
        <v>3652</v>
      </c>
      <c r="J125" s="71">
        <v>479498</v>
      </c>
      <c r="K125" s="71">
        <v>41490</v>
      </c>
      <c r="L125" s="71">
        <v>13020</v>
      </c>
      <c r="M125" s="71">
        <v>19056</v>
      </c>
      <c r="N125" s="71">
        <v>6491</v>
      </c>
      <c r="O125" s="71">
        <v>38841</v>
      </c>
      <c r="P125" s="71">
        <v>40598</v>
      </c>
      <c r="Q125" s="85">
        <v>956</v>
      </c>
      <c r="R125" s="49"/>
      <c r="S125" s="49"/>
    </row>
    <row r="126" spans="1:19" ht="30" customHeight="1" x14ac:dyDescent="0.25">
      <c r="A126" s="49"/>
      <c r="B126" s="49"/>
      <c r="C126" s="49"/>
      <c r="D126" s="49"/>
      <c r="E126" s="49"/>
      <c r="F126" s="49"/>
      <c r="G126" s="49"/>
      <c r="H126" s="120" t="s">
        <v>185</v>
      </c>
      <c r="I126" s="132">
        <v>11711</v>
      </c>
      <c r="J126" s="130">
        <v>63811</v>
      </c>
      <c r="K126" s="130">
        <v>10830</v>
      </c>
      <c r="L126" s="130">
        <v>1062</v>
      </c>
      <c r="M126" s="130">
        <v>0</v>
      </c>
      <c r="N126" s="130">
        <v>0</v>
      </c>
      <c r="O126" s="130">
        <v>5274</v>
      </c>
      <c r="P126" s="130">
        <v>6008</v>
      </c>
      <c r="Q126" s="133">
        <v>226</v>
      </c>
      <c r="R126" s="49"/>
      <c r="S126" s="49"/>
    </row>
    <row r="127" spans="1:19" ht="30" customHeight="1" x14ac:dyDescent="0.25">
      <c r="A127" s="49"/>
      <c r="B127" s="49"/>
      <c r="C127" s="49"/>
      <c r="D127" s="49"/>
      <c r="E127" s="49"/>
      <c r="F127" s="49"/>
      <c r="G127" s="49"/>
      <c r="H127" s="83" t="s">
        <v>186</v>
      </c>
      <c r="I127" s="84">
        <v>12826</v>
      </c>
      <c r="J127" s="71">
        <v>124608</v>
      </c>
      <c r="K127" s="71">
        <v>5241</v>
      </c>
      <c r="L127" s="71">
        <v>0</v>
      </c>
      <c r="M127" s="71">
        <v>0</v>
      </c>
      <c r="N127" s="71">
        <v>0</v>
      </c>
      <c r="O127" s="71">
        <v>8744</v>
      </c>
      <c r="P127" s="71">
        <v>10405</v>
      </c>
      <c r="Q127" s="85">
        <v>237</v>
      </c>
      <c r="R127" s="49"/>
      <c r="S127" s="49"/>
    </row>
    <row r="128" spans="1:19" ht="30" customHeight="1" x14ac:dyDescent="0.25">
      <c r="A128" s="49"/>
      <c r="B128" s="49"/>
      <c r="C128" s="49"/>
      <c r="D128" s="49"/>
      <c r="E128" s="49"/>
      <c r="F128" s="49"/>
      <c r="G128" s="49"/>
      <c r="H128" s="120" t="s">
        <v>187</v>
      </c>
      <c r="I128" s="132">
        <v>13231</v>
      </c>
      <c r="J128" s="130">
        <v>26671</v>
      </c>
      <c r="K128" s="130">
        <v>5990</v>
      </c>
      <c r="L128" s="130">
        <v>0</v>
      </c>
      <c r="M128" s="130">
        <v>0</v>
      </c>
      <c r="N128" s="130">
        <v>0</v>
      </c>
      <c r="O128" s="130">
        <v>2277</v>
      </c>
      <c r="P128" s="130">
        <v>2681</v>
      </c>
      <c r="Q128" s="133">
        <v>96</v>
      </c>
      <c r="R128" s="49"/>
      <c r="S128" s="49"/>
    </row>
    <row r="129" spans="1:22" ht="30" customHeight="1" x14ac:dyDescent="0.25">
      <c r="A129" s="49"/>
      <c r="B129" s="49"/>
      <c r="C129" s="49"/>
      <c r="D129" s="49"/>
      <c r="E129" s="49"/>
      <c r="F129" s="49"/>
      <c r="G129" s="49"/>
      <c r="H129" s="83" t="s">
        <v>188</v>
      </c>
      <c r="I129" s="84">
        <v>3581</v>
      </c>
      <c r="J129" s="71">
        <v>101691</v>
      </c>
      <c r="K129" s="71">
        <v>69986</v>
      </c>
      <c r="L129" s="71">
        <v>2026</v>
      </c>
      <c r="M129" s="71">
        <v>390</v>
      </c>
      <c r="N129" s="71">
        <v>0</v>
      </c>
      <c r="O129" s="71">
        <v>12869</v>
      </c>
      <c r="P129" s="71">
        <v>14170</v>
      </c>
      <c r="Q129" s="85">
        <v>269</v>
      </c>
      <c r="R129" s="49"/>
      <c r="S129" s="49"/>
    </row>
    <row r="130" spans="1:22" ht="30" customHeight="1" x14ac:dyDescent="0.25">
      <c r="A130" s="49"/>
      <c r="B130" s="49"/>
      <c r="C130" s="49"/>
      <c r="D130" s="49"/>
      <c r="E130" s="49"/>
      <c r="F130" s="49"/>
      <c r="G130" s="49"/>
      <c r="H130" s="120" t="s">
        <v>189</v>
      </c>
      <c r="I130" s="132">
        <v>3606</v>
      </c>
      <c r="J130" s="130">
        <v>229405</v>
      </c>
      <c r="K130" s="130">
        <v>14979</v>
      </c>
      <c r="L130" s="130">
        <v>1874</v>
      </c>
      <c r="M130" s="130">
        <v>0</v>
      </c>
      <c r="N130" s="130">
        <v>0</v>
      </c>
      <c r="O130" s="130">
        <v>16750</v>
      </c>
      <c r="P130" s="130">
        <v>17145</v>
      </c>
      <c r="Q130" s="133">
        <v>397</v>
      </c>
      <c r="R130" s="49"/>
      <c r="S130" s="49"/>
    </row>
    <row r="131" spans="1:22" ht="30" customHeight="1" x14ac:dyDescent="0.25">
      <c r="A131" s="49"/>
      <c r="B131" s="49"/>
      <c r="C131" s="49"/>
      <c r="D131" s="49"/>
      <c r="E131" s="49"/>
      <c r="F131" s="49"/>
      <c r="G131" s="49"/>
      <c r="H131" s="83" t="s">
        <v>235</v>
      </c>
      <c r="I131" s="84">
        <v>3615</v>
      </c>
      <c r="J131" s="71">
        <v>475780</v>
      </c>
      <c r="K131" s="71">
        <v>26955</v>
      </c>
      <c r="L131" s="71">
        <v>3958</v>
      </c>
      <c r="M131" s="71">
        <v>1533</v>
      </c>
      <c r="N131" s="71">
        <v>0</v>
      </c>
      <c r="O131" s="71">
        <v>34532</v>
      </c>
      <c r="P131" s="71">
        <v>35201</v>
      </c>
      <c r="Q131" s="85">
        <v>493</v>
      </c>
      <c r="R131" s="49"/>
      <c r="S131" s="49"/>
    </row>
    <row r="132" spans="1:22" ht="30" customHeight="1" x14ac:dyDescent="0.25">
      <c r="A132" s="49"/>
      <c r="B132" s="49"/>
      <c r="C132" s="49"/>
      <c r="D132" s="49"/>
      <c r="E132" s="49"/>
      <c r="F132" s="49"/>
      <c r="G132" s="49"/>
      <c r="H132" s="120" t="s">
        <v>190</v>
      </c>
      <c r="I132" s="132">
        <v>3625</v>
      </c>
      <c r="J132" s="130">
        <v>18052</v>
      </c>
      <c r="K132" s="130">
        <v>2881</v>
      </c>
      <c r="L132" s="130">
        <v>0</v>
      </c>
      <c r="M132" s="130">
        <v>0</v>
      </c>
      <c r="N132" s="130">
        <v>0</v>
      </c>
      <c r="O132" s="130">
        <v>1444</v>
      </c>
      <c r="P132" s="130">
        <v>1560</v>
      </c>
      <c r="Q132" s="133">
        <v>74</v>
      </c>
      <c r="R132" s="49"/>
      <c r="S132" s="49"/>
    </row>
    <row r="133" spans="1:22" ht="30" customHeight="1" x14ac:dyDescent="0.25">
      <c r="A133" s="49"/>
      <c r="B133" s="49"/>
      <c r="C133" s="49"/>
      <c r="D133" s="49"/>
      <c r="E133" s="49"/>
      <c r="F133" s="49"/>
      <c r="G133" s="49"/>
      <c r="H133" s="83" t="s">
        <v>191</v>
      </c>
      <c r="I133" s="84">
        <v>3644</v>
      </c>
      <c r="J133" s="71">
        <v>452530</v>
      </c>
      <c r="K133" s="71">
        <v>35771</v>
      </c>
      <c r="L133" s="71">
        <v>19331</v>
      </c>
      <c r="M133" s="71">
        <v>15271</v>
      </c>
      <c r="N133" s="71">
        <v>0</v>
      </c>
      <c r="O133" s="71">
        <v>36570</v>
      </c>
      <c r="P133" s="71">
        <v>38546</v>
      </c>
      <c r="Q133" s="85">
        <v>1030</v>
      </c>
      <c r="R133" s="49"/>
      <c r="S133" s="49"/>
    </row>
    <row r="134" spans="1:22" ht="30" customHeight="1" x14ac:dyDescent="0.25">
      <c r="A134" s="49"/>
      <c r="B134" s="49"/>
      <c r="C134" s="49"/>
      <c r="D134" s="49"/>
      <c r="E134" s="49"/>
      <c r="F134" s="49"/>
      <c r="G134" s="49"/>
      <c r="H134" s="120" t="s">
        <v>192</v>
      </c>
      <c r="I134" s="132">
        <v>3541</v>
      </c>
      <c r="J134" s="130">
        <v>92239</v>
      </c>
      <c r="K134" s="130">
        <v>7699</v>
      </c>
      <c r="L134" s="130">
        <v>378</v>
      </c>
      <c r="M134" s="130">
        <v>862</v>
      </c>
      <c r="N134" s="130">
        <v>0</v>
      </c>
      <c r="O134" s="130">
        <v>6905</v>
      </c>
      <c r="P134" s="130">
        <v>8110</v>
      </c>
      <c r="Q134" s="133">
        <v>170</v>
      </c>
      <c r="R134" s="49"/>
      <c r="S134" s="49"/>
    </row>
    <row r="135" spans="1:22" ht="30" customHeight="1" x14ac:dyDescent="0.25">
      <c r="A135" s="49"/>
      <c r="B135" s="49"/>
      <c r="C135" s="49"/>
      <c r="D135" s="49"/>
      <c r="E135" s="49"/>
      <c r="F135" s="49"/>
      <c r="G135" s="49"/>
      <c r="H135" s="83" t="s">
        <v>236</v>
      </c>
      <c r="I135" s="84">
        <v>3594</v>
      </c>
      <c r="J135" s="71">
        <v>430569</v>
      </c>
      <c r="K135" s="71">
        <v>71955</v>
      </c>
      <c r="L135" s="71">
        <v>11052</v>
      </c>
      <c r="M135" s="71">
        <v>445</v>
      </c>
      <c r="N135" s="71">
        <v>0</v>
      </c>
      <c r="O135" s="71">
        <v>35966</v>
      </c>
      <c r="P135" s="71">
        <v>38778</v>
      </c>
      <c r="Q135" s="85">
        <v>599</v>
      </c>
      <c r="R135" s="49"/>
      <c r="S135" s="49"/>
    </row>
    <row r="136" spans="1:22" ht="30" customHeight="1" x14ac:dyDescent="0.25">
      <c r="A136" s="49"/>
      <c r="B136" s="49"/>
      <c r="C136" s="49"/>
      <c r="D136" s="49"/>
      <c r="E136" s="49"/>
      <c r="F136" s="49"/>
      <c r="G136" s="49"/>
      <c r="H136" s="120" t="s">
        <v>193</v>
      </c>
      <c r="I136" s="132">
        <v>42421</v>
      </c>
      <c r="J136" s="130">
        <v>32082</v>
      </c>
      <c r="K136" s="130">
        <v>2358</v>
      </c>
      <c r="L136" s="130">
        <v>0</v>
      </c>
      <c r="M136" s="130">
        <v>5852</v>
      </c>
      <c r="N136" s="130">
        <v>0</v>
      </c>
      <c r="O136" s="130">
        <v>2823</v>
      </c>
      <c r="P136" s="130">
        <v>3201</v>
      </c>
      <c r="Q136" s="133">
        <v>54</v>
      </c>
      <c r="R136" s="49"/>
      <c r="S136" s="49"/>
    </row>
    <row r="137" spans="1:22" ht="30" customHeight="1" x14ac:dyDescent="0.25">
      <c r="A137" s="49"/>
      <c r="B137" s="49"/>
      <c r="C137" s="49"/>
      <c r="D137" s="49"/>
      <c r="E137" s="49"/>
      <c r="F137" s="49"/>
      <c r="G137" s="49"/>
      <c r="H137" s="83" t="s">
        <v>194</v>
      </c>
      <c r="I137" s="84">
        <v>3592</v>
      </c>
      <c r="J137" s="71">
        <v>48587</v>
      </c>
      <c r="K137" s="71">
        <v>4817</v>
      </c>
      <c r="L137" s="71">
        <v>168</v>
      </c>
      <c r="M137" s="71">
        <v>0</v>
      </c>
      <c r="N137" s="71">
        <v>0</v>
      </c>
      <c r="O137" s="71">
        <v>3659</v>
      </c>
      <c r="P137" s="71">
        <v>3977</v>
      </c>
      <c r="Q137" s="85">
        <v>164</v>
      </c>
      <c r="R137" s="49"/>
      <c r="S137" s="49"/>
    </row>
    <row r="138" spans="1:22" ht="30" customHeight="1" x14ac:dyDescent="0.25">
      <c r="A138" s="49"/>
      <c r="B138" s="49"/>
      <c r="C138" s="49"/>
      <c r="D138" s="49"/>
      <c r="E138" s="49"/>
      <c r="F138" s="49"/>
      <c r="G138" s="49"/>
      <c r="H138" s="120" t="s">
        <v>237</v>
      </c>
      <c r="I138" s="132">
        <v>3642</v>
      </c>
      <c r="J138" s="130">
        <v>92831</v>
      </c>
      <c r="K138" s="130">
        <v>7316</v>
      </c>
      <c r="L138" s="130">
        <v>1019</v>
      </c>
      <c r="M138" s="130">
        <v>11088</v>
      </c>
      <c r="N138" s="130">
        <v>0</v>
      </c>
      <c r="O138" s="130">
        <v>7836</v>
      </c>
      <c r="P138" s="130">
        <v>8007</v>
      </c>
      <c r="Q138" s="133">
        <v>236</v>
      </c>
      <c r="R138" s="49"/>
      <c r="S138" s="49"/>
    </row>
    <row r="139" spans="1:22" ht="30" customHeight="1" thickBot="1" x14ac:dyDescent="0.3">
      <c r="A139" s="49"/>
      <c r="B139" s="49"/>
      <c r="C139" s="49"/>
      <c r="D139" s="49"/>
      <c r="E139" s="49"/>
      <c r="F139" s="49"/>
      <c r="G139" s="49"/>
      <c r="H139" s="83" t="s">
        <v>238</v>
      </c>
      <c r="I139" s="84">
        <v>3646</v>
      </c>
      <c r="J139" s="71">
        <v>115154</v>
      </c>
      <c r="K139" s="71">
        <v>22310</v>
      </c>
      <c r="L139" s="71">
        <v>7287</v>
      </c>
      <c r="M139" s="71">
        <v>3932</v>
      </c>
      <c r="N139" s="71">
        <v>0</v>
      </c>
      <c r="O139" s="71">
        <v>10673</v>
      </c>
      <c r="P139" s="71">
        <v>12629</v>
      </c>
      <c r="Q139" s="85">
        <v>287</v>
      </c>
      <c r="R139" s="49"/>
      <c r="S139" s="49"/>
      <c r="V139" s="68"/>
    </row>
    <row r="140" spans="1:22" ht="30" customHeight="1" x14ac:dyDescent="0.3">
      <c r="A140" s="49"/>
      <c r="B140" s="49"/>
      <c r="C140" s="49"/>
      <c r="D140" s="49"/>
      <c r="E140" s="49"/>
      <c r="F140" s="49"/>
      <c r="G140" s="49"/>
      <c r="H140" s="87"/>
      <c r="I140" s="88"/>
      <c r="J140" s="76">
        <f>SUBTOTAL(109,FTSEUNIV[Undergraduate])</f>
        <v>6867114</v>
      </c>
      <c r="K140" s="76">
        <f>SUBTOTAL(109,FTSEUNIV[Master''s])</f>
        <v>757403</v>
      </c>
      <c r="L140" s="76">
        <f>SUBTOTAL(109,FTSEUNIV[Doctoral])</f>
        <v>176304</v>
      </c>
      <c r="M140" s="76">
        <f>SUBTOTAL(109,FTSEUNIV[Professional &amp; Special-Prof])</f>
        <v>106347</v>
      </c>
      <c r="N140" s="76">
        <f>SUBTOTAL(109,FTSEUNIV[Optometry])</f>
        <v>6491</v>
      </c>
      <c r="O140" s="76">
        <f>SUBTOTAL(109,FTSEUNIV[Full-Time Student
Equivalents¹])</f>
        <v>549759</v>
      </c>
      <c r="P140" s="76">
        <f>SUBTOTAL(109,FTSEUNIV[State Funded 
FTSE²])</f>
        <v>587918</v>
      </c>
      <c r="Q140" s="78">
        <f>SUBTOTAL(109,FTSEUNIV[T/TT Fall
Faculty FTE³])</f>
        <v>12776</v>
      </c>
      <c r="R140" s="49"/>
      <c r="S140" s="49"/>
    </row>
    <row r="141" spans="1:22" ht="30" customHeight="1" x14ac:dyDescent="0.25">
      <c r="A141" s="49"/>
      <c r="B141" s="49"/>
      <c r="C141" s="49"/>
      <c r="D141" s="49"/>
      <c r="E141" s="49"/>
      <c r="F141" s="49"/>
      <c r="G141" s="49"/>
      <c r="H141" s="637" t="s">
        <v>895</v>
      </c>
      <c r="I141" s="637"/>
      <c r="J141" s="637"/>
      <c r="K141" s="637"/>
      <c r="L141" s="637"/>
      <c r="M141" s="637"/>
      <c r="N141" s="637"/>
      <c r="O141" s="637"/>
      <c r="P141" s="637"/>
      <c r="Q141" s="637"/>
      <c r="R141" s="49"/>
      <c r="S141" s="49"/>
    </row>
    <row r="142" spans="1:22" ht="30" customHeight="1" x14ac:dyDescent="0.25">
      <c r="A142" s="49"/>
      <c r="B142" s="49"/>
      <c r="C142" s="49"/>
      <c r="D142" s="49"/>
      <c r="E142" s="49"/>
      <c r="F142" s="49"/>
      <c r="G142" s="49"/>
      <c r="H142" s="636" t="s">
        <v>887</v>
      </c>
      <c r="I142" s="636"/>
      <c r="J142" s="636"/>
      <c r="K142" s="636"/>
      <c r="L142" s="636"/>
      <c r="M142" s="636"/>
      <c r="N142" s="636"/>
      <c r="O142" s="636"/>
      <c r="P142" s="636"/>
      <c r="Q142" s="636"/>
      <c r="R142" s="49"/>
      <c r="S142" s="49"/>
    </row>
    <row r="143" spans="1:22" ht="30" customHeight="1" x14ac:dyDescent="0.25">
      <c r="A143" s="49"/>
      <c r="B143" s="49"/>
      <c r="C143" s="49"/>
      <c r="D143" s="49"/>
      <c r="E143" s="49"/>
      <c r="F143" s="49"/>
      <c r="G143" s="49"/>
      <c r="H143" s="636" t="s">
        <v>896</v>
      </c>
      <c r="I143" s="636"/>
      <c r="J143" s="636"/>
      <c r="K143" s="636"/>
      <c r="L143" s="636"/>
      <c r="M143" s="636"/>
      <c r="N143" s="636"/>
      <c r="O143" s="636"/>
      <c r="P143" s="636"/>
      <c r="Q143" s="636"/>
      <c r="R143" s="49"/>
      <c r="S143" s="49"/>
    </row>
    <row r="144" spans="1:22" ht="30" customHeight="1" x14ac:dyDescent="0.25">
      <c r="A144" s="49"/>
      <c r="B144" s="49"/>
      <c r="C144" s="49"/>
      <c r="D144" s="49"/>
      <c r="E144" s="49"/>
      <c r="F144" s="49"/>
      <c r="G144" s="49"/>
      <c r="H144" s="636" t="s">
        <v>897</v>
      </c>
      <c r="I144" s="636"/>
      <c r="J144" s="636"/>
      <c r="K144" s="636"/>
      <c r="L144" s="636"/>
      <c r="M144" s="636"/>
      <c r="N144" s="636"/>
      <c r="O144" s="636"/>
      <c r="P144" s="636"/>
      <c r="Q144" s="636"/>
      <c r="R144" s="49"/>
      <c r="S144" s="49"/>
    </row>
    <row r="145" spans="1:19" ht="30" customHeight="1" x14ac:dyDescent="0.25">
      <c r="A145" s="49"/>
      <c r="B145" s="49"/>
      <c r="C145" s="49"/>
      <c r="D145" s="49"/>
      <c r="E145" s="49"/>
      <c r="F145" s="49"/>
      <c r="G145" s="49"/>
      <c r="H145" s="49"/>
      <c r="I145" s="49"/>
      <c r="J145" s="49"/>
      <c r="K145" s="49"/>
      <c r="L145" s="49"/>
      <c r="M145" s="49"/>
      <c r="N145" s="49"/>
      <c r="O145" s="49"/>
      <c r="P145" s="49"/>
      <c r="Q145" s="49"/>
      <c r="R145" s="49"/>
      <c r="S145" s="49"/>
    </row>
    <row r="146" spans="1:19" ht="30" customHeight="1" x14ac:dyDescent="0.25">
      <c r="A146" s="49"/>
      <c r="B146" s="49"/>
      <c r="C146" s="49"/>
      <c r="D146" s="49"/>
      <c r="E146" s="49"/>
      <c r="F146" s="49"/>
      <c r="G146" s="49"/>
      <c r="H146" s="49"/>
      <c r="I146" s="49"/>
      <c r="J146" s="49"/>
      <c r="K146" s="49"/>
      <c r="L146" s="49"/>
      <c r="M146" s="49"/>
      <c r="N146" s="49"/>
      <c r="O146" s="49"/>
      <c r="P146" s="49"/>
      <c r="Q146" s="49"/>
      <c r="R146" s="49"/>
      <c r="S146" s="49"/>
    </row>
  </sheetData>
  <sheetProtection algorithmName="SHA-512" hashValue="fYu6K1EZdWFBFk9V53/6ry6StVhOyKBb6g2HRavivHr+tmUfNOR5jdG+Y3OHu/6SC/i8y7FcmtLkOy1jmjd+HA==" saltValue="qPQKyhrPSbxA2uw+iNXXjQ==" spinCount="100000" sheet="1" objects="1" scenarios="1" formatCells="0" formatColumns="0" formatRows="0"/>
  <mergeCells count="20">
    <mergeCell ref="H86:P86"/>
    <mergeCell ref="H1:Q2"/>
    <mergeCell ref="H3:Q3"/>
    <mergeCell ref="H4:Q4"/>
    <mergeCell ref="H5:Q5"/>
    <mergeCell ref="H6:Q6"/>
    <mergeCell ref="H79:Q79"/>
    <mergeCell ref="H80:Q80"/>
    <mergeCell ref="H81:Q81"/>
    <mergeCell ref="H82:Q82"/>
    <mergeCell ref="H83:Q83"/>
    <mergeCell ref="H84:Q84"/>
    <mergeCell ref="H143:Q143"/>
    <mergeCell ref="H144:Q144"/>
    <mergeCell ref="H98:P98"/>
    <mergeCell ref="H99:P99"/>
    <mergeCell ref="H100:P100"/>
    <mergeCell ref="H102:Q102"/>
    <mergeCell ref="H141:Q141"/>
    <mergeCell ref="H142:Q142"/>
  </mergeCells>
  <pageMargins left="0.7" right="0.7" top="0.75" bottom="0.75" header="0.3" footer="0.3"/>
  <drawing r:id="rId1"/>
  <tableParts count="3">
    <tablePart r:id="rId2"/>
    <tablePart r:id="rId3"/>
    <tablePart r:id="rId4"/>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C96CC9-6A09-4182-B790-619887290734}">
  <sheetPr codeName="Sheet6">
    <tabColor theme="0"/>
  </sheetPr>
  <dimension ref="A1:K99"/>
  <sheetViews>
    <sheetView zoomScale="85" zoomScaleNormal="85" workbookViewId="0">
      <selection activeCell="C9" sqref="C9"/>
    </sheetView>
  </sheetViews>
  <sheetFormatPr defaultColWidth="8.90625" defaultRowHeight="15.6" x14ac:dyDescent="0.3"/>
  <cols>
    <col min="1" max="1" width="50.36328125" style="24" customWidth="1"/>
    <col min="2" max="2" width="45.81640625" style="24" customWidth="1"/>
    <col min="3" max="4" width="11.453125" style="9" customWidth="1"/>
    <col min="5" max="7" width="8.90625" style="8"/>
    <col min="8" max="8" width="30.1796875" style="24" customWidth="1"/>
    <col min="9" max="9" width="48.81640625" style="24" customWidth="1"/>
    <col min="10" max="10" width="10.6328125" style="8" customWidth="1"/>
    <col min="11" max="16384" width="8.90625" style="8"/>
  </cols>
  <sheetData>
    <row r="1" spans="1:11" s="10" customFormat="1" ht="27" customHeight="1" x14ac:dyDescent="0.25">
      <c r="A1" s="21" t="s">
        <v>0</v>
      </c>
      <c r="B1" s="21" t="s">
        <v>669</v>
      </c>
      <c r="C1" s="11" t="s">
        <v>225</v>
      </c>
      <c r="D1" s="11" t="s">
        <v>226</v>
      </c>
      <c r="E1" s="12"/>
      <c r="F1" s="12"/>
      <c r="G1" s="12"/>
      <c r="H1" s="25"/>
      <c r="I1" s="25"/>
      <c r="J1" s="12"/>
      <c r="K1" s="12"/>
    </row>
    <row r="2" spans="1:11" s="13" customFormat="1" ht="27" customHeight="1" x14ac:dyDescent="0.25">
      <c r="A2" s="22" t="s">
        <v>552</v>
      </c>
      <c r="B2" s="22" t="s">
        <v>670</v>
      </c>
      <c r="C2" s="14" t="s">
        <v>713</v>
      </c>
      <c r="D2" s="15">
        <f>VLOOKUP(Index[[#This Row],[Institution Name]],ResearchInput[[Institution Name]:[Sort]],5,FALSE)</f>
        <v>1201</v>
      </c>
      <c r="E2" s="16"/>
      <c r="F2" s="16"/>
      <c r="G2" s="16"/>
      <c r="H2" s="647" t="s">
        <v>717</v>
      </c>
      <c r="I2" s="649"/>
      <c r="J2" s="648"/>
      <c r="K2" s="16"/>
    </row>
    <row r="3" spans="1:11" s="13" customFormat="1" ht="27" customHeight="1" x14ac:dyDescent="0.25">
      <c r="A3" s="22" t="s">
        <v>192</v>
      </c>
      <c r="B3" s="22" t="s">
        <v>671</v>
      </c>
      <c r="C3" s="14" t="s">
        <v>673</v>
      </c>
      <c r="D3" s="15">
        <f>VLOOKUP(Index[[#This Row],[Institution Name]],ResearchInput[[Institution Name]:[Sort]],5,FALSE)</f>
        <v>602</v>
      </c>
      <c r="E3" s="16"/>
      <c r="F3" s="16"/>
      <c r="G3" s="16"/>
      <c r="H3" s="26" t="s">
        <v>675</v>
      </c>
      <c r="I3" s="29" t="s">
        <v>718</v>
      </c>
      <c r="J3" s="17" t="s">
        <v>676</v>
      </c>
      <c r="K3" s="16"/>
    </row>
    <row r="4" spans="1:11" s="13" customFormat="1" ht="27" customHeight="1" x14ac:dyDescent="0.25">
      <c r="A4" s="22" t="s">
        <v>560</v>
      </c>
      <c r="B4" s="22" t="s">
        <v>670</v>
      </c>
      <c r="C4" s="14" t="s">
        <v>713</v>
      </c>
      <c r="D4" s="15">
        <f>VLOOKUP(Index[[#This Row],[Institution Name]],ResearchInput[[Institution Name]:[Sort]],5,FALSE)</f>
        <v>1202</v>
      </c>
      <c r="E4" s="16"/>
      <c r="F4" s="16"/>
      <c r="G4" s="16"/>
      <c r="H4" s="27" t="s">
        <v>719</v>
      </c>
      <c r="I4" s="23" t="s">
        <v>720</v>
      </c>
      <c r="J4" s="18" t="s">
        <v>674</v>
      </c>
      <c r="K4" s="16"/>
    </row>
    <row r="5" spans="1:11" s="13" customFormat="1" ht="27" customHeight="1" x14ac:dyDescent="0.25">
      <c r="A5" s="22" t="s">
        <v>567</v>
      </c>
      <c r="B5" s="22" t="s">
        <v>670</v>
      </c>
      <c r="C5" s="14" t="s">
        <v>713</v>
      </c>
      <c r="D5" s="15">
        <f>VLOOKUP(Index[[#This Row],[Institution Name]],ResearchInput[[Institution Name]:[Sort]],5,FALSE)</f>
        <v>1203</v>
      </c>
      <c r="E5" s="16"/>
      <c r="F5" s="16"/>
      <c r="G5" s="16"/>
      <c r="H5" s="26" t="s">
        <v>721</v>
      </c>
      <c r="I5" s="29" t="s">
        <v>720</v>
      </c>
      <c r="J5" s="17" t="s">
        <v>677</v>
      </c>
      <c r="K5" s="16"/>
    </row>
    <row r="6" spans="1:11" s="13" customFormat="1" ht="27" customHeight="1" x14ac:dyDescent="0.25">
      <c r="A6" s="22" t="s">
        <v>180</v>
      </c>
      <c r="B6" s="22" t="s">
        <v>671</v>
      </c>
      <c r="C6" s="14" t="s">
        <v>673</v>
      </c>
      <c r="D6" s="15">
        <f>VLOOKUP(Index[[#This Row],[Institution Name]],ResearchInput[[Institution Name]:[Sort]],5,FALSE)</f>
        <v>211</v>
      </c>
      <c r="E6" s="16"/>
      <c r="F6" s="16"/>
      <c r="G6" s="16"/>
      <c r="H6" s="27" t="s">
        <v>722</v>
      </c>
      <c r="I6" s="23" t="s">
        <v>723</v>
      </c>
      <c r="J6" s="18" t="s">
        <v>686</v>
      </c>
      <c r="K6" s="16"/>
    </row>
    <row r="7" spans="1:11" s="13" customFormat="1" ht="27" customHeight="1" x14ac:dyDescent="0.25">
      <c r="A7" s="22" t="s">
        <v>573</v>
      </c>
      <c r="B7" s="22" t="s">
        <v>670</v>
      </c>
      <c r="C7" s="14" t="s">
        <v>713</v>
      </c>
      <c r="D7" s="15">
        <f>VLOOKUP(Index[[#This Row],[Institution Name]],ResearchInput[[Institution Name]:[Sort]],5,FALSE)</f>
        <v>1204</v>
      </c>
      <c r="E7" s="16"/>
      <c r="F7" s="16"/>
      <c r="G7" s="16"/>
      <c r="H7" s="26" t="s">
        <v>724</v>
      </c>
      <c r="I7" s="29" t="s">
        <v>720</v>
      </c>
      <c r="J7" s="17" t="s">
        <v>672</v>
      </c>
      <c r="K7" s="16"/>
    </row>
    <row r="8" spans="1:11" s="13" customFormat="1" ht="27" customHeight="1" x14ac:dyDescent="0.25">
      <c r="A8" s="22" t="s">
        <v>580</v>
      </c>
      <c r="B8" s="22" t="s">
        <v>670</v>
      </c>
      <c r="C8" s="14" t="s">
        <v>713</v>
      </c>
      <c r="D8" s="15">
        <f>VLOOKUP(Index[[#This Row],[Institution Name]],ResearchInput[[Institution Name]:[Sort]],5,FALSE)</f>
        <v>1205</v>
      </c>
      <c r="E8" s="16"/>
      <c r="F8" s="16"/>
      <c r="G8" s="16"/>
      <c r="H8" s="27" t="s">
        <v>725</v>
      </c>
      <c r="I8" s="23" t="s">
        <v>720</v>
      </c>
      <c r="J8" s="18" t="s">
        <v>687</v>
      </c>
      <c r="K8" s="16"/>
    </row>
    <row r="9" spans="1:11" s="13" customFormat="1" ht="27" customHeight="1" x14ac:dyDescent="0.25">
      <c r="A9" s="22" t="s">
        <v>206</v>
      </c>
      <c r="B9" s="22" t="s">
        <v>711</v>
      </c>
      <c r="C9" s="14" t="s">
        <v>676</v>
      </c>
      <c r="D9" s="15">
        <f>VLOOKUP(Index[[#This Row],[Institution Name]],ResearchInput[[Institution Name]:[Sort]],5,FALSE)</f>
        <v>802</v>
      </c>
      <c r="E9" s="16"/>
      <c r="F9" s="16"/>
      <c r="G9" s="16"/>
      <c r="H9" s="26" t="s">
        <v>236</v>
      </c>
      <c r="I9" s="29" t="s">
        <v>720</v>
      </c>
      <c r="J9" s="17" t="s">
        <v>688</v>
      </c>
      <c r="K9" s="16"/>
    </row>
    <row r="10" spans="1:11" s="13" customFormat="1" ht="27" customHeight="1" x14ac:dyDescent="0.25">
      <c r="A10" s="22" t="s">
        <v>207</v>
      </c>
      <c r="B10" s="22" t="s">
        <v>711</v>
      </c>
      <c r="C10" s="14" t="s">
        <v>676</v>
      </c>
      <c r="D10" s="15">
        <f>VLOOKUP(Index[[#This Row],[Institution Name]],ResearchInput[[Institution Name]:[Sort]],5,FALSE)</f>
        <v>803</v>
      </c>
      <c r="E10" s="16"/>
      <c r="F10" s="16"/>
      <c r="G10" s="16"/>
      <c r="H10" s="28" t="s">
        <v>726</v>
      </c>
      <c r="I10" s="30" t="s">
        <v>720</v>
      </c>
      <c r="J10" s="19" t="s">
        <v>682</v>
      </c>
      <c r="K10" s="16"/>
    </row>
    <row r="11" spans="1:11" s="13" customFormat="1" ht="27" customHeight="1" x14ac:dyDescent="0.25">
      <c r="A11" s="22" t="s">
        <v>210</v>
      </c>
      <c r="B11" s="22" t="s">
        <v>711</v>
      </c>
      <c r="C11" s="14" t="s">
        <v>676</v>
      </c>
      <c r="D11" s="15">
        <f>VLOOKUP(Index[[#This Row],[Institution Name]],ResearchInput[[Institution Name]:[Sort]],5,FALSE)</f>
        <v>804</v>
      </c>
      <c r="E11" s="16"/>
      <c r="F11" s="16"/>
      <c r="G11" s="16"/>
      <c r="H11" s="23"/>
      <c r="I11" s="23"/>
      <c r="J11" s="16"/>
      <c r="K11" s="16"/>
    </row>
    <row r="12" spans="1:11" s="13" customFormat="1" ht="27" customHeight="1" x14ac:dyDescent="0.25">
      <c r="A12" s="22" t="s">
        <v>188</v>
      </c>
      <c r="B12" s="22" t="s">
        <v>671</v>
      </c>
      <c r="C12" s="14" t="s">
        <v>673</v>
      </c>
      <c r="D12" s="15">
        <f>VLOOKUP(Index[[#This Row],[Institution Name]],ResearchInput[[Institution Name]:[Sort]],5,FALSE)</f>
        <v>801</v>
      </c>
      <c r="E12" s="16"/>
      <c r="F12" s="16"/>
      <c r="G12" s="16"/>
      <c r="H12" s="23"/>
      <c r="I12" s="23"/>
      <c r="J12" s="16"/>
      <c r="K12" s="16"/>
    </row>
    <row r="13" spans="1:11" s="13" customFormat="1" ht="27" customHeight="1" x14ac:dyDescent="0.25">
      <c r="A13" s="22" t="s">
        <v>587</v>
      </c>
      <c r="B13" s="22" t="s">
        <v>670</v>
      </c>
      <c r="C13" s="14" t="s">
        <v>713</v>
      </c>
      <c r="D13" s="15">
        <f>VLOOKUP(Index[[#This Row],[Institution Name]],ResearchInput[[Institution Name]:[Sort]],5,FALSE)</f>
        <v>1206</v>
      </c>
      <c r="E13" s="16"/>
      <c r="F13" s="16"/>
      <c r="G13" s="16"/>
      <c r="H13" s="647" t="s">
        <v>727</v>
      </c>
      <c r="I13" s="649"/>
      <c r="J13" s="648"/>
      <c r="K13" s="16"/>
    </row>
    <row r="14" spans="1:11" s="13" customFormat="1" ht="27" customHeight="1" x14ac:dyDescent="0.25">
      <c r="A14" s="22" t="s">
        <v>194</v>
      </c>
      <c r="B14" s="22" t="s">
        <v>671</v>
      </c>
      <c r="C14" s="14" t="s">
        <v>673</v>
      </c>
      <c r="D14" s="15">
        <f>VLOOKUP(Index[[#This Row],[Institution Name]],ResearchInput[[Institution Name]:[Sort]],5,FALSE)</f>
        <v>603</v>
      </c>
      <c r="E14" s="16"/>
      <c r="F14" s="16"/>
      <c r="G14" s="16"/>
      <c r="H14" s="26" t="s">
        <v>728</v>
      </c>
      <c r="I14" s="115" t="s">
        <v>729</v>
      </c>
      <c r="J14" s="17" t="s">
        <v>673</v>
      </c>
      <c r="K14" s="16"/>
    </row>
    <row r="15" spans="1:11" s="13" customFormat="1" ht="27" customHeight="1" x14ac:dyDescent="0.25">
      <c r="A15" s="22" t="s">
        <v>592</v>
      </c>
      <c r="B15" s="22" t="s">
        <v>670</v>
      </c>
      <c r="C15" s="14" t="s">
        <v>713</v>
      </c>
      <c r="D15" s="15">
        <f>VLOOKUP(Index[[#This Row],[Institution Name]],ResearchInput[[Institution Name]:[Sort]],5,FALSE)</f>
        <v>1207</v>
      </c>
      <c r="E15" s="16"/>
      <c r="F15" s="16"/>
      <c r="G15" s="16"/>
      <c r="H15" s="27" t="s">
        <v>730</v>
      </c>
      <c r="I15" s="116" t="s">
        <v>731</v>
      </c>
      <c r="J15" s="18" t="s">
        <v>681</v>
      </c>
      <c r="K15" s="16"/>
    </row>
    <row r="16" spans="1:11" s="13" customFormat="1" ht="27" customHeight="1" x14ac:dyDescent="0.25">
      <c r="A16" s="22" t="s">
        <v>599</v>
      </c>
      <c r="B16" s="22" t="s">
        <v>670</v>
      </c>
      <c r="C16" s="14" t="s">
        <v>713</v>
      </c>
      <c r="D16" s="15">
        <f>VLOOKUP(Index[[#This Row],[Institution Name]],ResearchInput[[Institution Name]:[Sort]],5,FALSE)</f>
        <v>1208</v>
      </c>
      <c r="E16" s="16"/>
      <c r="F16" s="16"/>
      <c r="G16" s="16"/>
      <c r="H16" s="26" t="s">
        <v>732</v>
      </c>
      <c r="I16" s="115" t="s">
        <v>733</v>
      </c>
      <c r="J16" s="17" t="s">
        <v>676</v>
      </c>
      <c r="K16" s="16"/>
    </row>
    <row r="17" spans="1:11" s="13" customFormat="1" ht="27" customHeight="1" x14ac:dyDescent="0.25">
      <c r="A17" s="22" t="s">
        <v>174</v>
      </c>
      <c r="B17" s="22" t="s">
        <v>671</v>
      </c>
      <c r="C17" s="14" t="s">
        <v>673</v>
      </c>
      <c r="D17" s="15">
        <f>VLOOKUP(Index[[#This Row],[Institution Name]],ResearchInput[[Institution Name]:[Sort]],5,FALSE)</f>
        <v>204</v>
      </c>
      <c r="E17" s="16"/>
      <c r="F17" s="16"/>
      <c r="G17" s="16"/>
      <c r="H17" s="27" t="s">
        <v>813</v>
      </c>
      <c r="I17" s="116" t="s">
        <v>734</v>
      </c>
      <c r="J17" s="18" t="s">
        <v>686</v>
      </c>
      <c r="K17" s="16"/>
    </row>
    <row r="18" spans="1:11" s="13" customFormat="1" ht="27" customHeight="1" x14ac:dyDescent="0.25">
      <c r="A18" s="22" t="s">
        <v>189</v>
      </c>
      <c r="B18" s="22" t="s">
        <v>671</v>
      </c>
      <c r="C18" s="14" t="s">
        <v>673</v>
      </c>
      <c r="D18" s="15">
        <f>VLOOKUP(Index[[#This Row],[Institution Name]],ResearchInput[[Institution Name]:[Sort]],5,FALSE)</f>
        <v>806</v>
      </c>
      <c r="E18" s="16"/>
      <c r="F18" s="16"/>
      <c r="G18" s="16"/>
      <c r="H18" s="26" t="s">
        <v>670</v>
      </c>
      <c r="I18" s="115" t="s">
        <v>966</v>
      </c>
      <c r="J18" s="17" t="s">
        <v>713</v>
      </c>
      <c r="K18" s="16"/>
    </row>
    <row r="19" spans="1:11" s="13" customFormat="1" ht="27" customHeight="1" x14ac:dyDescent="0.25">
      <c r="A19" s="22" t="s">
        <v>377</v>
      </c>
      <c r="B19" s="22" t="s">
        <v>712</v>
      </c>
      <c r="C19" s="14" t="s">
        <v>679</v>
      </c>
      <c r="D19" s="15">
        <f>VLOOKUP(Index[[#This Row],[Institution Name]],ResearchInput[[Institution Name]:[Sort]],5,FALSE)</f>
        <v>805</v>
      </c>
      <c r="E19" s="16"/>
      <c r="F19" s="16"/>
      <c r="G19" s="16"/>
      <c r="H19" s="27" t="s">
        <v>965</v>
      </c>
      <c r="I19" s="116" t="s">
        <v>967</v>
      </c>
      <c r="J19" s="18" t="s">
        <v>684</v>
      </c>
      <c r="K19" s="16"/>
    </row>
    <row r="20" spans="1:11" s="13" customFormat="1" ht="27" customHeight="1" x14ac:dyDescent="0.25">
      <c r="A20" s="22" t="s">
        <v>213</v>
      </c>
      <c r="B20" s="22" t="s">
        <v>680</v>
      </c>
      <c r="C20" s="14" t="s">
        <v>681</v>
      </c>
      <c r="D20" s="15">
        <f>VLOOKUP(Index[[#This Row],[Institution Name]],ResearchInput[[Institution Name]:[Sort]],5,FALSE)</f>
        <v>914</v>
      </c>
      <c r="E20" s="16"/>
      <c r="F20" s="16"/>
      <c r="G20" s="16"/>
      <c r="H20" s="117" t="s">
        <v>735</v>
      </c>
      <c r="I20" s="118" t="s">
        <v>736</v>
      </c>
      <c r="J20" s="119" t="s">
        <v>683</v>
      </c>
      <c r="K20" s="16"/>
    </row>
    <row r="21" spans="1:11" s="13" customFormat="1" ht="27" customHeight="1" x14ac:dyDescent="0.25">
      <c r="A21" s="22" t="s">
        <v>629</v>
      </c>
      <c r="B21" s="22" t="s">
        <v>670</v>
      </c>
      <c r="C21" s="14" t="s">
        <v>713</v>
      </c>
      <c r="D21" s="15">
        <f>VLOOKUP(Index[[#This Row],[Institution Name]],ResearchInput[[Institution Name]:[Sort]],5,FALSE)</f>
        <v>1209</v>
      </c>
      <c r="E21" s="16"/>
      <c r="F21" s="16"/>
      <c r="G21" s="16"/>
      <c r="H21" s="23"/>
      <c r="I21" s="23"/>
      <c r="J21" s="16"/>
      <c r="K21" s="16"/>
    </row>
    <row r="22" spans="1:11" s="13" customFormat="1" ht="27" customHeight="1" x14ac:dyDescent="0.25">
      <c r="A22" s="22" t="s">
        <v>195</v>
      </c>
      <c r="B22" s="22" t="s">
        <v>671</v>
      </c>
      <c r="C22" s="14" t="s">
        <v>673</v>
      </c>
      <c r="D22" s="15">
        <f>VLOOKUP(Index[[#This Row],[Institution Name]],ResearchInput[[Institution Name]:[Sort]],5,FALSE)</f>
        <v>111</v>
      </c>
      <c r="E22" s="16"/>
      <c r="F22" s="16"/>
      <c r="G22" s="16"/>
      <c r="H22" s="23"/>
      <c r="I22" s="23"/>
      <c r="J22" s="16"/>
      <c r="K22" s="16"/>
    </row>
    <row r="23" spans="1:11" s="13" customFormat="1" ht="27" customHeight="1" x14ac:dyDescent="0.25">
      <c r="A23" s="22" t="s">
        <v>190</v>
      </c>
      <c r="B23" s="22" t="s">
        <v>671</v>
      </c>
      <c r="C23" s="14" t="s">
        <v>673</v>
      </c>
      <c r="D23" s="15">
        <f>VLOOKUP(Index[[#This Row],[Institution Name]],ResearchInput[[Institution Name]:[Sort]],5,FALSE)</f>
        <v>809</v>
      </c>
      <c r="E23" s="16"/>
      <c r="F23" s="16"/>
      <c r="G23" s="16"/>
      <c r="H23" s="23"/>
      <c r="I23" s="23"/>
      <c r="J23" s="16"/>
      <c r="K23" s="16"/>
    </row>
    <row r="24" spans="1:11" s="13" customFormat="1" ht="27" customHeight="1" x14ac:dyDescent="0.25">
      <c r="A24" s="22" t="s">
        <v>175</v>
      </c>
      <c r="B24" s="22" t="s">
        <v>671</v>
      </c>
      <c r="C24" s="14" t="s">
        <v>673</v>
      </c>
      <c r="D24" s="15">
        <f>VLOOKUP(Index[[#This Row],[Institution Name]],ResearchInput[[Institution Name]:[Sort]],5,FALSE)</f>
        <v>205</v>
      </c>
      <c r="E24" s="16"/>
      <c r="F24" s="16"/>
      <c r="G24" s="16"/>
      <c r="H24" s="647" t="s">
        <v>737</v>
      </c>
      <c r="I24" s="648"/>
      <c r="J24" s="16"/>
      <c r="K24" s="16"/>
    </row>
    <row r="25" spans="1:11" s="13" customFormat="1" ht="27" customHeight="1" x14ac:dyDescent="0.25">
      <c r="A25" s="22" t="s">
        <v>518</v>
      </c>
      <c r="B25" s="22" t="s">
        <v>735</v>
      </c>
      <c r="C25" s="14" t="s">
        <v>683</v>
      </c>
      <c r="D25" s="15">
        <f>VLOOKUP(Index[[#This Row],[Institution Name]],ResearchInput[[Institution Name]:[Sort]],5,FALSE)</f>
        <v>1102</v>
      </c>
      <c r="E25" s="16"/>
      <c r="F25" s="16"/>
      <c r="G25" s="16"/>
      <c r="H25" s="26" t="s">
        <v>738</v>
      </c>
      <c r="I25" s="31" t="s">
        <v>694</v>
      </c>
      <c r="J25" s="16"/>
      <c r="K25" s="16"/>
    </row>
    <row r="26" spans="1:11" s="13" customFormat="1" ht="27" customHeight="1" x14ac:dyDescent="0.25">
      <c r="A26" s="22" t="s">
        <v>221</v>
      </c>
      <c r="B26" s="22" t="s">
        <v>735</v>
      </c>
      <c r="C26" s="14" t="s">
        <v>683</v>
      </c>
      <c r="D26" s="15">
        <f>VLOOKUP(Index[[#This Row],[Institution Name]],ResearchInput[[Institution Name]:[Sort]],5,FALSE)</f>
        <v>1101</v>
      </c>
      <c r="E26" s="16"/>
      <c r="F26" s="16"/>
      <c r="G26" s="16"/>
      <c r="H26" s="27" t="s">
        <v>739</v>
      </c>
      <c r="I26" s="32" t="s">
        <v>695</v>
      </c>
      <c r="J26" s="16"/>
      <c r="K26" s="16"/>
    </row>
    <row r="27" spans="1:11" s="13" customFormat="1" ht="27" customHeight="1" x14ac:dyDescent="0.25">
      <c r="A27" s="22" t="s">
        <v>222</v>
      </c>
      <c r="B27" s="22" t="s">
        <v>735</v>
      </c>
      <c r="C27" s="14" t="s">
        <v>683</v>
      </c>
      <c r="D27" s="15">
        <f>VLOOKUP(Index[[#This Row],[Institution Name]],ResearchInput[[Institution Name]:[Sort]],5,FALSE)</f>
        <v>1103</v>
      </c>
      <c r="E27" s="16"/>
      <c r="F27" s="16"/>
      <c r="G27" s="16"/>
      <c r="H27" s="26" t="s">
        <v>740</v>
      </c>
      <c r="I27" s="31" t="s">
        <v>691</v>
      </c>
      <c r="J27" s="16"/>
      <c r="K27" s="16"/>
    </row>
    <row r="28" spans="1:11" s="13" customFormat="1" ht="27" customHeight="1" x14ac:dyDescent="0.25">
      <c r="A28" s="22" t="s">
        <v>524</v>
      </c>
      <c r="B28" s="22" t="s">
        <v>735</v>
      </c>
      <c r="C28" s="14" t="s">
        <v>683</v>
      </c>
      <c r="D28" s="15">
        <f>VLOOKUP(Index[[#This Row],[Institution Name]],ResearchInput[[Institution Name]:[Sort]],5,FALSE)</f>
        <v>1105</v>
      </c>
      <c r="E28" s="16"/>
      <c r="F28" s="16"/>
      <c r="G28" s="16"/>
      <c r="H28" s="27" t="s">
        <v>741</v>
      </c>
      <c r="I28" s="32" t="s">
        <v>690</v>
      </c>
      <c r="J28" s="16"/>
      <c r="K28" s="16"/>
    </row>
    <row r="29" spans="1:11" s="13" customFormat="1" ht="27" customHeight="1" x14ac:dyDescent="0.25">
      <c r="A29" s="22" t="s">
        <v>528</v>
      </c>
      <c r="B29" s="22" t="s">
        <v>735</v>
      </c>
      <c r="C29" s="14" t="s">
        <v>683</v>
      </c>
      <c r="D29" s="15">
        <f>VLOOKUP(Index[[#This Row],[Institution Name]],ResearchInput[[Institution Name]:[Sort]],5,FALSE)</f>
        <v>1106</v>
      </c>
      <c r="E29" s="16"/>
      <c r="F29" s="16"/>
      <c r="G29" s="16"/>
      <c r="H29" s="26" t="s">
        <v>742</v>
      </c>
      <c r="I29" s="31" t="s">
        <v>692</v>
      </c>
      <c r="J29" s="16"/>
      <c r="K29" s="16"/>
    </row>
    <row r="30" spans="1:11" s="13" customFormat="1" ht="27" customHeight="1" x14ac:dyDescent="0.25">
      <c r="A30" s="22" t="s">
        <v>178</v>
      </c>
      <c r="B30" s="22" t="s">
        <v>671</v>
      </c>
      <c r="C30" s="14" t="s">
        <v>673</v>
      </c>
      <c r="D30" s="15">
        <f>VLOOKUP(Index[[#This Row],[Institution Name]],ResearchInput[[Institution Name]:[Sort]],5,FALSE)</f>
        <v>210</v>
      </c>
      <c r="E30" s="16"/>
      <c r="F30" s="16"/>
      <c r="G30" s="16"/>
      <c r="H30" s="28" t="s">
        <v>740</v>
      </c>
      <c r="I30" s="33" t="s">
        <v>691</v>
      </c>
      <c r="J30" s="16"/>
      <c r="K30" s="16"/>
    </row>
    <row r="31" spans="1:11" s="13" customFormat="1" ht="27" customHeight="1" x14ac:dyDescent="0.25">
      <c r="A31" s="22" t="s">
        <v>543</v>
      </c>
      <c r="B31" s="22" t="s">
        <v>735</v>
      </c>
      <c r="C31" s="14" t="s">
        <v>683</v>
      </c>
      <c r="D31" s="15">
        <f>VLOOKUP(Index[[#This Row],[Institution Name]],ResearchInput[[Institution Name]:[Sort]],5,FALSE)</f>
        <v>1100</v>
      </c>
      <c r="E31" s="16"/>
      <c r="F31" s="16"/>
      <c r="G31" s="16"/>
      <c r="H31" s="23"/>
      <c r="I31" s="23"/>
      <c r="J31" s="16"/>
      <c r="K31" s="16"/>
    </row>
    <row r="32" spans="1:11" s="13" customFormat="1" ht="27" customHeight="1" x14ac:dyDescent="0.25">
      <c r="A32" s="22" t="s">
        <v>532</v>
      </c>
      <c r="B32" s="22" t="s">
        <v>735</v>
      </c>
      <c r="C32" s="14" t="s">
        <v>683</v>
      </c>
      <c r="D32" s="15">
        <f>VLOOKUP(Index[[#This Row],[Institution Name]],ResearchInput[[Institution Name]:[Sort]],5,FALSE)</f>
        <v>1104</v>
      </c>
      <c r="E32" s="16"/>
      <c r="F32" s="16"/>
      <c r="G32" s="16"/>
      <c r="H32" s="23"/>
      <c r="I32" s="23"/>
      <c r="J32" s="16"/>
      <c r="K32" s="16"/>
    </row>
    <row r="33" spans="1:11" s="13" customFormat="1" ht="27" customHeight="1" x14ac:dyDescent="0.25">
      <c r="A33" s="22" t="s">
        <v>172</v>
      </c>
      <c r="B33" s="22" t="s">
        <v>671</v>
      </c>
      <c r="C33" s="14" t="s">
        <v>673</v>
      </c>
      <c r="D33" s="15">
        <f>VLOOKUP(Index[[#This Row],[Institution Name]],ResearchInput[[Institution Name]:[Sort]],5,FALSE)</f>
        <v>201</v>
      </c>
      <c r="E33" s="16"/>
      <c r="F33" s="16"/>
      <c r="G33" s="16"/>
      <c r="H33" s="23"/>
      <c r="I33" s="23"/>
      <c r="J33" s="16"/>
      <c r="K33" s="16"/>
    </row>
    <row r="34" spans="1:11" s="13" customFormat="1" ht="27" customHeight="1" x14ac:dyDescent="0.25">
      <c r="A34" s="22" t="s">
        <v>182</v>
      </c>
      <c r="B34" s="22" t="s">
        <v>671</v>
      </c>
      <c r="C34" s="14" t="s">
        <v>673</v>
      </c>
      <c r="D34" s="15">
        <f>VLOOKUP(Index[[#This Row],[Institution Name]],ResearchInput[[Institution Name]:[Sort]],5,FALSE)</f>
        <v>206</v>
      </c>
      <c r="E34" s="16"/>
      <c r="F34" s="16"/>
      <c r="G34" s="16"/>
      <c r="H34" s="646" t="s">
        <v>743</v>
      </c>
      <c r="I34" s="646"/>
      <c r="J34" s="646"/>
      <c r="K34" s="16"/>
    </row>
    <row r="35" spans="1:11" s="13" customFormat="1" ht="27" customHeight="1" x14ac:dyDescent="0.25">
      <c r="A35" s="22" t="s">
        <v>176</v>
      </c>
      <c r="B35" s="22" t="s">
        <v>671</v>
      </c>
      <c r="C35" s="14" t="s">
        <v>673</v>
      </c>
      <c r="D35" s="15">
        <f>VLOOKUP(Index[[#This Row],[Institution Name]],ResearchInput[[Institution Name]:[Sort]],5,FALSE)</f>
        <v>207</v>
      </c>
      <c r="E35" s="16"/>
      <c r="F35" s="16"/>
      <c r="G35" s="16"/>
      <c r="H35" s="646"/>
      <c r="I35" s="646"/>
      <c r="J35" s="646"/>
      <c r="K35" s="16"/>
    </row>
    <row r="36" spans="1:11" s="13" customFormat="1" ht="27" customHeight="1" x14ac:dyDescent="0.25">
      <c r="A36" s="22" t="s">
        <v>177</v>
      </c>
      <c r="B36" s="22" t="s">
        <v>671</v>
      </c>
      <c r="C36" s="14" t="s">
        <v>673</v>
      </c>
      <c r="D36" s="15">
        <f>VLOOKUP(Index[[#This Row],[Institution Name]],ResearchInput[[Institution Name]:[Sort]],5,FALSE)</f>
        <v>208</v>
      </c>
      <c r="E36" s="16"/>
      <c r="F36" s="16"/>
      <c r="G36" s="16"/>
      <c r="H36" s="646"/>
      <c r="I36" s="646"/>
      <c r="J36" s="646"/>
      <c r="K36" s="16"/>
    </row>
    <row r="37" spans="1:11" s="13" customFormat="1" ht="27" customHeight="1" x14ac:dyDescent="0.25">
      <c r="A37" s="22" t="s">
        <v>183</v>
      </c>
      <c r="B37" s="22" t="s">
        <v>671</v>
      </c>
      <c r="C37" s="14" t="s">
        <v>673</v>
      </c>
      <c r="D37" s="15">
        <f>VLOOKUP(Index[[#This Row],[Institution Name]],ResearchInput[[Institution Name]:[Sort]],5,FALSE)</f>
        <v>209</v>
      </c>
      <c r="E37" s="16"/>
      <c r="F37" s="16"/>
      <c r="G37" s="16"/>
      <c r="H37" s="646"/>
      <c r="I37" s="646"/>
      <c r="J37" s="646"/>
      <c r="K37" s="16"/>
    </row>
    <row r="38" spans="1:11" s="13" customFormat="1" ht="27" customHeight="1" x14ac:dyDescent="0.25">
      <c r="A38" s="22" t="s">
        <v>181</v>
      </c>
      <c r="B38" s="22" t="s">
        <v>671</v>
      </c>
      <c r="C38" s="14" t="s">
        <v>673</v>
      </c>
      <c r="D38" s="15">
        <f>VLOOKUP(Index[[#This Row],[Institution Name]],ResearchInput[[Institution Name]:[Sort]],5,FALSE)</f>
        <v>212</v>
      </c>
      <c r="E38" s="16"/>
      <c r="F38" s="16"/>
      <c r="G38" s="16"/>
      <c r="H38" s="646" t="s">
        <v>744</v>
      </c>
      <c r="I38" s="646"/>
      <c r="J38" s="646"/>
      <c r="K38" s="16"/>
    </row>
    <row r="39" spans="1:11" s="13" customFormat="1" ht="27" customHeight="1" x14ac:dyDescent="0.25">
      <c r="A39" s="22" t="s">
        <v>173</v>
      </c>
      <c r="B39" s="22" t="s">
        <v>671</v>
      </c>
      <c r="C39" s="14" t="s">
        <v>673</v>
      </c>
      <c r="D39" s="15">
        <f>VLOOKUP(Index[[#This Row],[Institution Name]],ResearchInput[[Institution Name]:[Sort]],5,FALSE)</f>
        <v>203</v>
      </c>
      <c r="E39" s="16"/>
      <c r="F39" s="16"/>
      <c r="G39" s="16"/>
      <c r="H39" s="646"/>
      <c r="I39" s="646"/>
      <c r="J39" s="646"/>
      <c r="K39" s="16"/>
    </row>
    <row r="40" spans="1:11" s="13" customFormat="1" ht="27" customHeight="1" x14ac:dyDescent="0.25">
      <c r="A40" s="22" t="s">
        <v>764</v>
      </c>
      <c r="B40" s="22" t="s">
        <v>790</v>
      </c>
      <c r="C40" s="14" t="s">
        <v>683</v>
      </c>
      <c r="D40" s="15">
        <f>VLOOKUP(Index[[#This Row],[Institution Name]],ResearchInput[[Institution Name]:[Sort]],5,FALSE)</f>
        <v>200</v>
      </c>
      <c r="E40" s="16"/>
      <c r="F40" s="16"/>
      <c r="G40" s="16"/>
      <c r="H40" s="646"/>
      <c r="I40" s="646"/>
      <c r="J40" s="646"/>
      <c r="K40" s="16"/>
    </row>
    <row r="41" spans="1:11" s="13" customFormat="1" ht="27" customHeight="1" x14ac:dyDescent="0.25">
      <c r="A41" s="22" t="s">
        <v>234</v>
      </c>
      <c r="B41" s="22" t="s">
        <v>680</v>
      </c>
      <c r="C41" s="14" t="s">
        <v>681</v>
      </c>
      <c r="D41" s="15">
        <f>VLOOKUP(Index[[#This Row],[Institution Name]],ResearchInput[[Institution Name]:[Sort]],5,FALSE)</f>
        <v>909</v>
      </c>
      <c r="E41" s="16"/>
      <c r="F41" s="16"/>
      <c r="G41" s="16"/>
      <c r="H41" s="646"/>
      <c r="I41" s="646"/>
      <c r="J41" s="646"/>
      <c r="K41" s="16"/>
    </row>
    <row r="42" spans="1:11" s="13" customFormat="1" ht="27" customHeight="1" x14ac:dyDescent="0.25">
      <c r="A42" s="22" t="s">
        <v>535</v>
      </c>
      <c r="B42" s="22" t="s">
        <v>735</v>
      </c>
      <c r="C42" s="14" t="s">
        <v>683</v>
      </c>
      <c r="D42" s="15">
        <f>VLOOKUP(Index[[#This Row],[Institution Name]],ResearchInput[[Institution Name]:[Sort]],5,FALSE)</f>
        <v>1107</v>
      </c>
      <c r="E42" s="16"/>
      <c r="F42" s="16"/>
      <c r="G42" s="16"/>
      <c r="H42" s="23"/>
      <c r="I42" s="23"/>
      <c r="J42" s="16"/>
      <c r="K42" s="16"/>
    </row>
    <row r="43" spans="1:11" s="13" customFormat="1" ht="27" customHeight="1" x14ac:dyDescent="0.25">
      <c r="A43" s="22" t="s">
        <v>636</v>
      </c>
      <c r="B43" s="22" t="s">
        <v>670</v>
      </c>
      <c r="C43" s="14" t="s">
        <v>713</v>
      </c>
      <c r="D43" s="15">
        <f>VLOOKUP(Index[[#This Row],[Institution Name]],ResearchInput[[Institution Name]:[Sort]],5,FALSE)</f>
        <v>1210</v>
      </c>
      <c r="E43" s="16"/>
      <c r="F43" s="16"/>
      <c r="G43" s="16"/>
      <c r="H43" s="23"/>
      <c r="I43" s="23"/>
      <c r="J43" s="16"/>
      <c r="K43" s="16"/>
    </row>
    <row r="44" spans="1:11" s="13" customFormat="1" ht="27" customHeight="1" x14ac:dyDescent="0.25">
      <c r="A44" s="22" t="s">
        <v>539</v>
      </c>
      <c r="B44" s="22" t="s">
        <v>735</v>
      </c>
      <c r="C44" s="14" t="s">
        <v>683</v>
      </c>
      <c r="D44" s="15">
        <f>VLOOKUP(Index[[#This Row],[Institution Name]],ResearchInput[[Institution Name]:[Sort]],5,FALSE)</f>
        <v>1108</v>
      </c>
      <c r="E44" s="16"/>
      <c r="F44" s="16"/>
      <c r="G44" s="16"/>
      <c r="H44" s="23"/>
      <c r="I44" s="23"/>
      <c r="J44" s="16"/>
      <c r="K44" s="16"/>
    </row>
    <row r="45" spans="1:11" s="13" customFormat="1" ht="27" customHeight="1" x14ac:dyDescent="0.25">
      <c r="A45" s="22" t="s">
        <v>643</v>
      </c>
      <c r="B45" s="22" t="s">
        <v>670</v>
      </c>
      <c r="C45" s="14" t="s">
        <v>713</v>
      </c>
      <c r="D45" s="15">
        <f>VLOOKUP(Index[[#This Row],[Institution Name]],ResearchInput[[Institution Name]:[Sort]],5,FALSE)</f>
        <v>1211</v>
      </c>
      <c r="E45" s="16"/>
      <c r="F45" s="16"/>
      <c r="G45" s="16"/>
      <c r="H45" s="23"/>
      <c r="I45" s="23"/>
      <c r="J45" s="16"/>
      <c r="K45" s="16"/>
    </row>
    <row r="46" spans="1:11" s="13" customFormat="1" ht="27" customHeight="1" x14ac:dyDescent="0.25">
      <c r="A46" s="22" t="s">
        <v>237</v>
      </c>
      <c r="B46" s="22" t="s">
        <v>671</v>
      </c>
      <c r="C46" s="14" t="s">
        <v>673</v>
      </c>
      <c r="D46" s="15">
        <f>VLOOKUP(Index[[#This Row],[Institution Name]],ResearchInput[[Institution Name]:[Sort]],5,FALSE)</f>
        <v>500</v>
      </c>
      <c r="E46" s="16"/>
      <c r="F46" s="16"/>
      <c r="G46" s="16"/>
      <c r="H46" s="23"/>
      <c r="I46" s="23"/>
      <c r="J46" s="16"/>
      <c r="K46" s="16"/>
    </row>
    <row r="47" spans="1:11" s="13" customFormat="1" ht="27" customHeight="1" x14ac:dyDescent="0.25">
      <c r="A47" s="22" t="s">
        <v>218</v>
      </c>
      <c r="B47" s="22" t="s">
        <v>711</v>
      </c>
      <c r="C47" s="14" t="s">
        <v>686</v>
      </c>
      <c r="D47" s="15">
        <f>VLOOKUP(Index[[#This Row],[Institution Name]],ResearchInput[[Institution Name]:[Sort]],5,FALSE)</f>
        <v>1005</v>
      </c>
      <c r="E47" s="16"/>
      <c r="F47" s="16"/>
      <c r="G47" s="16"/>
      <c r="H47" s="23"/>
      <c r="I47" s="23"/>
      <c r="J47" s="16"/>
      <c r="K47" s="16"/>
    </row>
    <row r="48" spans="1:11" s="13" customFormat="1" ht="27" customHeight="1" x14ac:dyDescent="0.25">
      <c r="A48" s="22" t="s">
        <v>211</v>
      </c>
      <c r="B48" s="22" t="s">
        <v>711</v>
      </c>
      <c r="C48" s="14" t="s">
        <v>686</v>
      </c>
      <c r="D48" s="15">
        <f>VLOOKUP(Index[[#This Row],[Institution Name]],ResearchInput[[Institution Name]:[Sort]],5,FALSE)</f>
        <v>1001</v>
      </c>
      <c r="E48" s="16"/>
      <c r="F48" s="16"/>
      <c r="G48" s="16"/>
      <c r="H48" s="23"/>
      <c r="I48" s="23"/>
      <c r="J48" s="16"/>
      <c r="K48" s="16"/>
    </row>
    <row r="49" spans="1:11" s="13" customFormat="1" ht="27" customHeight="1" x14ac:dyDescent="0.25">
      <c r="A49" s="22" t="s">
        <v>215</v>
      </c>
      <c r="B49" s="22" t="s">
        <v>711</v>
      </c>
      <c r="C49" s="14" t="s">
        <v>686</v>
      </c>
      <c r="D49" s="15">
        <f>VLOOKUP(Index[[#This Row],[Institution Name]],ResearchInput[[Institution Name]:[Sort]],5,FALSE)</f>
        <v>1003</v>
      </c>
      <c r="E49" s="16"/>
      <c r="F49" s="16"/>
      <c r="G49" s="16"/>
      <c r="H49" s="23"/>
      <c r="I49" s="23"/>
      <c r="J49" s="16"/>
      <c r="K49" s="16"/>
    </row>
    <row r="50" spans="1:11" s="13" customFormat="1" ht="27" customHeight="1" x14ac:dyDescent="0.25">
      <c r="A50" s="22" t="s">
        <v>217</v>
      </c>
      <c r="B50" s="22" t="s">
        <v>711</v>
      </c>
      <c r="C50" s="14" t="s">
        <v>686</v>
      </c>
      <c r="D50" s="15">
        <f>VLOOKUP(Index[[#This Row],[Institution Name]],ResearchInput[[Institution Name]:[Sort]],5,FALSE)</f>
        <v>1006</v>
      </c>
      <c r="E50" s="16"/>
      <c r="F50" s="16"/>
      <c r="G50" s="16"/>
      <c r="H50" s="23"/>
      <c r="I50" s="23"/>
      <c r="J50" s="16"/>
      <c r="K50" s="16"/>
    </row>
    <row r="51" spans="1:11" s="13" customFormat="1" ht="27" customHeight="1" x14ac:dyDescent="0.25">
      <c r="A51" s="22" t="s">
        <v>216</v>
      </c>
      <c r="B51" s="22" t="s">
        <v>711</v>
      </c>
      <c r="C51" s="14" t="s">
        <v>686</v>
      </c>
      <c r="D51" s="15">
        <f>VLOOKUP(Index[[#This Row],[Institution Name]],ResearchInput[[Institution Name]:[Sort]],5,FALSE)</f>
        <v>1004</v>
      </c>
      <c r="E51" s="16"/>
      <c r="F51" s="16"/>
      <c r="G51" s="16"/>
      <c r="H51" s="23"/>
      <c r="I51" s="23"/>
      <c r="J51" s="16"/>
      <c r="K51" s="16"/>
    </row>
    <row r="52" spans="1:11" s="13" customFormat="1" ht="27" customHeight="1" x14ac:dyDescent="0.25">
      <c r="A52" s="22" t="s">
        <v>214</v>
      </c>
      <c r="B52" s="22" t="s">
        <v>711</v>
      </c>
      <c r="C52" s="14" t="s">
        <v>686</v>
      </c>
      <c r="D52" s="15">
        <f>VLOOKUP(Index[[#This Row],[Institution Name]],ResearchInput[[Institution Name]:[Sort]],5,FALSE)</f>
        <v>1002</v>
      </c>
      <c r="E52" s="16"/>
      <c r="F52" s="16"/>
      <c r="G52" s="16"/>
      <c r="H52" s="23"/>
      <c r="I52" s="23"/>
      <c r="J52" s="16"/>
      <c r="K52" s="16"/>
    </row>
    <row r="53" spans="1:11" s="13" customFormat="1" ht="27" customHeight="1" x14ac:dyDescent="0.25">
      <c r="A53" s="22" t="s">
        <v>770</v>
      </c>
      <c r="B53" s="22" t="s">
        <v>790</v>
      </c>
      <c r="C53" s="14" t="s">
        <v>684</v>
      </c>
      <c r="D53" s="15">
        <f>VLOOKUP(Index[[#This Row],[Institution Name]],ResearchInput[[Institution Name]:[Sort]],5,FALSE)</f>
        <v>1000</v>
      </c>
      <c r="E53" s="16"/>
      <c r="F53" s="16"/>
      <c r="G53" s="16"/>
      <c r="H53" s="23"/>
      <c r="I53" s="23"/>
      <c r="J53" s="16"/>
      <c r="K53" s="16"/>
    </row>
    <row r="54" spans="1:11" s="13" customFormat="1" ht="27" customHeight="1" x14ac:dyDescent="0.25">
      <c r="A54" s="22" t="s">
        <v>235</v>
      </c>
      <c r="B54" s="22" t="s">
        <v>671</v>
      </c>
      <c r="C54" s="14" t="s">
        <v>673</v>
      </c>
      <c r="D54" s="15">
        <f>VLOOKUP(Index[[#This Row],[Institution Name]],ResearchInput[[Institution Name]:[Sort]],5,FALSE)</f>
        <v>808</v>
      </c>
      <c r="E54" s="16"/>
      <c r="F54" s="16"/>
      <c r="G54" s="16"/>
      <c r="H54" s="23"/>
      <c r="I54" s="23"/>
      <c r="J54" s="16"/>
      <c r="K54" s="16"/>
    </row>
    <row r="55" spans="1:11" s="13" customFormat="1" ht="27" customHeight="1" x14ac:dyDescent="0.25">
      <c r="A55" s="22" t="s">
        <v>769</v>
      </c>
      <c r="B55" s="22" t="s">
        <v>790</v>
      </c>
      <c r="C55" s="14" t="s">
        <v>684</v>
      </c>
      <c r="D55" s="15">
        <f>VLOOKUP(Index[[#This Row],[Institution Name]],ResearchInput[[Institution Name]:[Sort]],5,FALSE)</f>
        <v>800</v>
      </c>
      <c r="E55" s="16"/>
      <c r="F55" s="16"/>
      <c r="G55" s="16"/>
      <c r="H55" s="23"/>
      <c r="I55" s="23"/>
      <c r="J55" s="16"/>
      <c r="K55" s="16"/>
    </row>
    <row r="56" spans="1:11" s="13" customFormat="1" ht="27" customHeight="1" x14ac:dyDescent="0.25">
      <c r="A56" s="22" t="s">
        <v>191</v>
      </c>
      <c r="B56" s="22" t="s">
        <v>671</v>
      </c>
      <c r="C56" s="14" t="s">
        <v>673</v>
      </c>
      <c r="D56" s="15">
        <f>VLOOKUP(Index[[#This Row],[Institution Name]],ResearchInput[[Institution Name]:[Sort]],5,FALSE)</f>
        <v>601</v>
      </c>
      <c r="E56" s="16"/>
      <c r="F56" s="16"/>
      <c r="G56" s="16"/>
      <c r="H56" s="23"/>
      <c r="I56" s="23"/>
      <c r="J56" s="16"/>
      <c r="K56" s="16"/>
    </row>
    <row r="57" spans="1:11" s="13" customFormat="1" ht="27" customHeight="1" x14ac:dyDescent="0.25">
      <c r="A57" s="22" t="s">
        <v>204</v>
      </c>
      <c r="B57" s="22" t="s">
        <v>680</v>
      </c>
      <c r="C57" s="14" t="s">
        <v>681</v>
      </c>
      <c r="D57" s="15">
        <f>VLOOKUP(Index[[#This Row],[Institution Name]],ResearchInput[[Institution Name]:[Sort]],5,FALSE)</f>
        <v>911</v>
      </c>
      <c r="E57" s="16"/>
      <c r="F57" s="16"/>
      <c r="G57" s="16"/>
      <c r="H57" s="23"/>
      <c r="I57" s="23"/>
      <c r="J57" s="16"/>
      <c r="K57" s="16"/>
    </row>
    <row r="58" spans="1:11" s="13" customFormat="1" ht="27" customHeight="1" x14ac:dyDescent="0.25">
      <c r="A58" s="22" t="s">
        <v>205</v>
      </c>
      <c r="B58" s="22" t="s">
        <v>680</v>
      </c>
      <c r="C58" s="14" t="s">
        <v>681</v>
      </c>
      <c r="D58" s="15">
        <f>VLOOKUP(Index[[#This Row],[Institution Name]],ResearchInput[[Institution Name]:[Sort]],5,FALSE)</f>
        <v>912</v>
      </c>
      <c r="E58" s="16"/>
      <c r="F58" s="16"/>
      <c r="G58" s="16"/>
      <c r="H58" s="23"/>
      <c r="I58" s="23"/>
      <c r="J58" s="16"/>
      <c r="K58" s="16"/>
    </row>
    <row r="59" spans="1:11" s="13" customFormat="1" ht="27" customHeight="1" x14ac:dyDescent="0.25">
      <c r="A59" s="22" t="s">
        <v>767</v>
      </c>
      <c r="B59" s="22" t="s">
        <v>790</v>
      </c>
      <c r="C59" s="14" t="s">
        <v>684</v>
      </c>
      <c r="D59" s="15">
        <f>VLOOKUP(Index[[#This Row],[Institution Name]],ResearchInput[[Institution Name]:[Sort]],5,FALSE)</f>
        <v>600</v>
      </c>
      <c r="E59" s="16"/>
      <c r="F59" s="16"/>
      <c r="G59" s="16"/>
      <c r="H59" s="23"/>
      <c r="I59" s="23"/>
      <c r="J59" s="16"/>
      <c r="K59" s="16"/>
    </row>
    <row r="60" spans="1:11" s="13" customFormat="1" ht="27" customHeight="1" x14ac:dyDescent="0.25">
      <c r="A60" s="22" t="s">
        <v>238</v>
      </c>
      <c r="B60" s="22" t="s">
        <v>671</v>
      </c>
      <c r="C60" s="14" t="s">
        <v>673</v>
      </c>
      <c r="D60" s="15">
        <f>VLOOKUP(Index[[#This Row],[Institution Name]],ResearchInput[[Institution Name]:[Sort]],5,FALSE)</f>
        <v>700</v>
      </c>
      <c r="E60" s="16"/>
      <c r="F60" s="16"/>
      <c r="G60" s="16"/>
      <c r="H60" s="23"/>
      <c r="I60" s="23"/>
      <c r="J60" s="16"/>
      <c r="K60" s="16"/>
    </row>
    <row r="61" spans="1:11" s="13" customFormat="1" ht="27" customHeight="1" x14ac:dyDescent="0.25">
      <c r="A61" s="22" t="s">
        <v>197</v>
      </c>
      <c r="B61" s="22" t="s">
        <v>671</v>
      </c>
      <c r="C61" s="14" t="s">
        <v>673</v>
      </c>
      <c r="D61" s="15">
        <f>VLOOKUP(Index[[#This Row],[Institution Name]],ResearchInput[[Institution Name]:[Sort]],5,FALSE)</f>
        <v>101</v>
      </c>
      <c r="E61" s="16"/>
      <c r="F61" s="16"/>
      <c r="G61" s="16"/>
      <c r="H61" s="23"/>
      <c r="I61" s="23"/>
      <c r="J61" s="16"/>
      <c r="K61" s="16"/>
    </row>
    <row r="62" spans="1:11" s="13" customFormat="1" ht="27" customHeight="1" x14ac:dyDescent="0.25">
      <c r="A62" s="22" t="s">
        <v>208</v>
      </c>
      <c r="B62" s="22" t="s">
        <v>671</v>
      </c>
      <c r="C62" s="14" t="s">
        <v>673</v>
      </c>
      <c r="D62" s="15">
        <f>VLOOKUP(Index[[#This Row],[Institution Name]],ResearchInput[[Institution Name]:[Sort]],5,FALSE)</f>
        <v>103</v>
      </c>
      <c r="E62" s="16"/>
      <c r="F62" s="16"/>
      <c r="G62" s="16"/>
      <c r="H62" s="23"/>
      <c r="I62" s="23"/>
      <c r="J62" s="16"/>
      <c r="K62" s="16"/>
    </row>
    <row r="63" spans="1:11" s="13" customFormat="1" ht="27" customHeight="1" x14ac:dyDescent="0.25">
      <c r="A63" s="22" t="s">
        <v>478</v>
      </c>
      <c r="B63" s="22" t="s">
        <v>712</v>
      </c>
      <c r="C63" s="14" t="s">
        <v>679</v>
      </c>
      <c r="D63" s="15">
        <f>VLOOKUP(Index[[#This Row],[Institution Name]],ResearchInput[[Institution Name]:[Sort]],5,FALSE)</f>
        <v>102</v>
      </c>
      <c r="E63" s="16"/>
      <c r="F63" s="16"/>
      <c r="G63" s="16"/>
      <c r="H63" s="23"/>
      <c r="I63" s="23"/>
      <c r="J63" s="16"/>
      <c r="K63" s="16"/>
    </row>
    <row r="64" spans="1:11" s="13" customFormat="1" ht="27" customHeight="1" x14ac:dyDescent="0.25">
      <c r="A64" s="22" t="s">
        <v>209</v>
      </c>
      <c r="B64" s="22" t="s">
        <v>680</v>
      </c>
      <c r="C64" s="14" t="s">
        <v>681</v>
      </c>
      <c r="D64" s="15">
        <f>VLOOKUP(Index[[#This Row],[Institution Name]],ResearchInput[[Institution Name]:[Sort]],5,FALSE)</f>
        <v>908</v>
      </c>
      <c r="E64" s="16"/>
      <c r="F64" s="16"/>
      <c r="G64" s="16"/>
      <c r="H64" s="23"/>
      <c r="I64" s="23"/>
      <c r="J64" s="16"/>
      <c r="K64" s="16"/>
    </row>
    <row r="65" spans="1:11" s="13" customFormat="1" ht="27" customHeight="1" x14ac:dyDescent="0.25">
      <c r="A65" s="22" t="s">
        <v>220</v>
      </c>
      <c r="B65" s="22" t="s">
        <v>671</v>
      </c>
      <c r="C65" s="14" t="s">
        <v>673</v>
      </c>
      <c r="D65" s="15">
        <f>VLOOKUP(Index[[#This Row],[Institution Name]],ResearchInput[[Institution Name]:[Sort]],5,FALSE)</f>
        <v>104</v>
      </c>
      <c r="E65" s="16"/>
      <c r="F65" s="16"/>
      <c r="G65" s="16"/>
      <c r="H65" s="23"/>
      <c r="I65" s="23"/>
      <c r="J65" s="16"/>
      <c r="K65" s="16"/>
    </row>
    <row r="66" spans="1:11" s="13" customFormat="1" ht="27" customHeight="1" x14ac:dyDescent="0.25">
      <c r="A66" s="22" t="s">
        <v>223</v>
      </c>
      <c r="B66" s="22" t="s">
        <v>671</v>
      </c>
      <c r="C66" s="14" t="s">
        <v>673</v>
      </c>
      <c r="D66" s="15">
        <f>VLOOKUP(Index[[#This Row],[Institution Name]],ResearchInput[[Institution Name]:[Sort]],5,FALSE)</f>
        <v>105</v>
      </c>
      <c r="E66" s="16"/>
      <c r="F66" s="16"/>
      <c r="G66" s="16"/>
      <c r="H66" s="23"/>
      <c r="I66" s="23"/>
      <c r="J66" s="16"/>
      <c r="K66" s="16"/>
    </row>
    <row r="67" spans="1:11" s="13" customFormat="1" ht="27" customHeight="1" x14ac:dyDescent="0.25">
      <c r="A67" s="22" t="s">
        <v>170</v>
      </c>
      <c r="B67" s="22" t="s">
        <v>671</v>
      </c>
      <c r="C67" s="14" t="s">
        <v>673</v>
      </c>
      <c r="D67" s="15">
        <f>VLOOKUP(Index[[#This Row],[Institution Name]],ResearchInput[[Institution Name]:[Sort]],5,FALSE)</f>
        <v>109</v>
      </c>
      <c r="E67" s="16"/>
      <c r="F67" s="16"/>
      <c r="G67" s="16"/>
      <c r="H67" s="23"/>
      <c r="I67" s="23"/>
      <c r="J67" s="16"/>
      <c r="K67" s="16"/>
    </row>
    <row r="68" spans="1:11" s="13" customFormat="1" ht="27" customHeight="1" x14ac:dyDescent="0.25">
      <c r="A68" s="22" t="s">
        <v>171</v>
      </c>
      <c r="B68" s="22" t="s">
        <v>671</v>
      </c>
      <c r="C68" s="14" t="s">
        <v>673</v>
      </c>
      <c r="D68" s="15">
        <f>VLOOKUP(Index[[#This Row],[Institution Name]],ResearchInput[[Institution Name]:[Sort]],5,FALSE)</f>
        <v>110</v>
      </c>
      <c r="E68" s="16"/>
      <c r="F68" s="16"/>
      <c r="G68" s="16"/>
      <c r="H68" s="23"/>
      <c r="I68" s="23"/>
      <c r="J68" s="16"/>
      <c r="K68" s="16"/>
    </row>
    <row r="69" spans="1:11" s="13" customFormat="1" ht="27" customHeight="1" x14ac:dyDescent="0.25">
      <c r="A69" s="22" t="s">
        <v>199</v>
      </c>
      <c r="B69" s="22" t="s">
        <v>680</v>
      </c>
      <c r="C69" s="14" t="s">
        <v>681</v>
      </c>
      <c r="D69" s="15">
        <f>VLOOKUP(Index[[#This Row],[Institution Name]],ResearchInput[[Institution Name]:[Sort]],5,FALSE)</f>
        <v>903</v>
      </c>
      <c r="E69" s="16"/>
      <c r="F69" s="16"/>
      <c r="G69" s="16"/>
      <c r="H69" s="23"/>
      <c r="I69" s="23"/>
      <c r="J69" s="16"/>
      <c r="K69" s="16"/>
    </row>
    <row r="70" spans="1:11" s="13" customFormat="1" ht="27" customHeight="1" x14ac:dyDescent="0.25">
      <c r="A70" s="22" t="s">
        <v>200</v>
      </c>
      <c r="B70" s="22" t="s">
        <v>680</v>
      </c>
      <c r="C70" s="14" t="s">
        <v>681</v>
      </c>
      <c r="D70" s="15">
        <f>VLOOKUP(Index[[#This Row],[Institution Name]],ResearchInput[[Institution Name]:[Sort]],5,FALSE)</f>
        <v>904</v>
      </c>
      <c r="E70" s="16"/>
      <c r="F70" s="16"/>
      <c r="G70" s="16"/>
      <c r="H70" s="23"/>
      <c r="I70" s="23"/>
      <c r="J70" s="16"/>
      <c r="K70" s="16"/>
    </row>
    <row r="71" spans="1:11" s="13" customFormat="1" ht="27" customHeight="1" x14ac:dyDescent="0.25">
      <c r="A71" s="22" t="s">
        <v>202</v>
      </c>
      <c r="B71" s="22" t="s">
        <v>680</v>
      </c>
      <c r="C71" s="14" t="s">
        <v>681</v>
      </c>
      <c r="D71" s="15">
        <f>VLOOKUP(Index[[#This Row],[Institution Name]],ResearchInput[[Institution Name]:[Sort]],5,FALSE)</f>
        <v>907</v>
      </c>
      <c r="E71" s="16"/>
      <c r="F71" s="16"/>
      <c r="G71" s="16"/>
      <c r="H71" s="23"/>
      <c r="I71" s="23"/>
      <c r="J71" s="16"/>
      <c r="K71" s="16"/>
    </row>
    <row r="72" spans="1:11" s="13" customFormat="1" ht="27" customHeight="1" x14ac:dyDescent="0.25">
      <c r="A72" s="22" t="s">
        <v>201</v>
      </c>
      <c r="B72" s="22" t="s">
        <v>680</v>
      </c>
      <c r="C72" s="14" t="s">
        <v>681</v>
      </c>
      <c r="D72" s="15">
        <f>VLOOKUP(Index[[#This Row],[Institution Name]],ResearchInput[[Institution Name]:[Sort]],5,FALSE)</f>
        <v>906</v>
      </c>
      <c r="E72" s="16"/>
      <c r="F72" s="16"/>
      <c r="G72" s="16"/>
      <c r="H72" s="23"/>
      <c r="I72" s="23"/>
      <c r="J72" s="16"/>
      <c r="K72" s="16"/>
    </row>
    <row r="73" spans="1:11" s="13" customFormat="1" ht="27" customHeight="1" x14ac:dyDescent="0.25">
      <c r="A73" s="22" t="s">
        <v>198</v>
      </c>
      <c r="B73" s="22" t="s">
        <v>680</v>
      </c>
      <c r="C73" s="14" t="s">
        <v>681</v>
      </c>
      <c r="D73" s="15">
        <f>VLOOKUP(Index[[#This Row],[Institution Name]],ResearchInput[[Institution Name]:[Sort]],5,FALSE)</f>
        <v>902</v>
      </c>
      <c r="E73" s="16"/>
      <c r="F73" s="16"/>
      <c r="G73" s="16"/>
      <c r="H73" s="23"/>
      <c r="I73" s="23"/>
      <c r="J73" s="16"/>
      <c r="K73" s="16"/>
    </row>
    <row r="74" spans="1:11" s="13" customFormat="1" ht="27" customHeight="1" x14ac:dyDescent="0.25">
      <c r="A74" s="22" t="s">
        <v>169</v>
      </c>
      <c r="B74" s="22" t="s">
        <v>671</v>
      </c>
      <c r="C74" s="14" t="s">
        <v>673</v>
      </c>
      <c r="D74" s="15">
        <f>VLOOKUP(Index[[#This Row],[Institution Name]],ResearchInput[[Institution Name]:[Sort]],5,FALSE)</f>
        <v>108</v>
      </c>
      <c r="E74" s="16"/>
      <c r="F74" s="16"/>
      <c r="G74" s="16"/>
      <c r="H74" s="23"/>
      <c r="I74" s="23"/>
      <c r="J74" s="16"/>
      <c r="K74" s="16"/>
    </row>
    <row r="75" spans="1:11" s="13" customFormat="1" ht="27" customHeight="1" x14ac:dyDescent="0.25">
      <c r="A75" s="22" t="s">
        <v>761</v>
      </c>
      <c r="B75" s="22" t="s">
        <v>671</v>
      </c>
      <c r="C75" s="14" t="s">
        <v>673</v>
      </c>
      <c r="D75" s="15">
        <f>VLOOKUP(Index[[#This Row],[Institution Name]],ResearchInput[[Institution Name]:[Sort]],5,FALSE)</f>
        <v>107</v>
      </c>
      <c r="E75" s="16"/>
      <c r="F75" s="16"/>
      <c r="G75" s="16"/>
      <c r="H75" s="23"/>
      <c r="I75" s="23"/>
      <c r="J75" s="16"/>
      <c r="K75" s="16"/>
    </row>
    <row r="76" spans="1:11" s="13" customFormat="1" ht="27" customHeight="1" x14ac:dyDescent="0.25">
      <c r="A76" s="22" t="s">
        <v>763</v>
      </c>
      <c r="B76" s="22" t="s">
        <v>712</v>
      </c>
      <c r="C76" s="14" t="s">
        <v>679</v>
      </c>
      <c r="D76" s="15">
        <f>VLOOKUP(Index[[#This Row],[Institution Name]],ResearchInput[[Institution Name]:[Sort]],5,FALSE)</f>
        <v>106</v>
      </c>
      <c r="E76" s="16"/>
      <c r="F76" s="16"/>
      <c r="G76" s="16"/>
      <c r="H76" s="23"/>
      <c r="I76" s="23"/>
      <c r="J76" s="16"/>
      <c r="K76" s="16"/>
    </row>
    <row r="77" spans="1:11" s="13" customFormat="1" ht="27" customHeight="1" x14ac:dyDescent="0.25">
      <c r="A77" s="22" t="s">
        <v>762</v>
      </c>
      <c r="B77" s="22" t="s">
        <v>680</v>
      </c>
      <c r="C77" s="14" t="s">
        <v>681</v>
      </c>
      <c r="D77" s="15">
        <f>VLOOKUP(Index[[#This Row],[Institution Name]],ResearchInput[[Institution Name]:[Sort]],5,FALSE)</f>
        <v>905</v>
      </c>
      <c r="E77" s="16"/>
      <c r="F77" s="16"/>
      <c r="G77" s="16"/>
      <c r="H77" s="23"/>
      <c r="I77" s="23"/>
      <c r="J77" s="16"/>
      <c r="K77" s="16"/>
    </row>
    <row r="78" spans="1:11" s="13" customFormat="1" ht="27" customHeight="1" x14ac:dyDescent="0.25">
      <c r="A78" s="22" t="s">
        <v>196</v>
      </c>
      <c r="B78" s="22" t="s">
        <v>680</v>
      </c>
      <c r="C78" s="14" t="s">
        <v>681</v>
      </c>
      <c r="D78" s="15">
        <f>VLOOKUP(Index[[#This Row],[Institution Name]],ResearchInput[[Institution Name]:[Sort]],5,FALSE)</f>
        <v>901</v>
      </c>
      <c r="E78" s="16"/>
      <c r="F78" s="16"/>
      <c r="G78" s="16"/>
      <c r="H78" s="23"/>
      <c r="I78" s="23"/>
      <c r="J78" s="16"/>
      <c r="K78" s="16"/>
    </row>
    <row r="79" spans="1:11" s="13" customFormat="1" ht="27" customHeight="1" x14ac:dyDescent="0.25">
      <c r="A79" s="22" t="s">
        <v>765</v>
      </c>
      <c r="B79" s="22" t="s">
        <v>790</v>
      </c>
      <c r="C79" s="14" t="s">
        <v>684</v>
      </c>
      <c r="D79" s="15">
        <f>VLOOKUP(Index[[#This Row],[Institution Name]],ResearchInput[[Institution Name]:[Sort]],5,FALSE)</f>
        <v>100</v>
      </c>
      <c r="E79" s="16"/>
      <c r="F79" s="16"/>
      <c r="G79" s="16"/>
      <c r="H79" s="23"/>
      <c r="I79" s="23"/>
      <c r="J79" s="16"/>
      <c r="K79" s="16"/>
    </row>
    <row r="80" spans="1:11" s="13" customFormat="1" ht="27" customHeight="1" x14ac:dyDescent="0.25">
      <c r="A80" s="22" t="s">
        <v>649</v>
      </c>
      <c r="B80" s="22" t="s">
        <v>670</v>
      </c>
      <c r="C80" s="14" t="s">
        <v>713</v>
      </c>
      <c r="D80" s="15">
        <f>VLOOKUP(Index[[#This Row],[Institution Name]],ResearchInput[[Institution Name]:[Sort]],5,FALSE)</f>
        <v>1212</v>
      </c>
      <c r="E80" s="16"/>
      <c r="F80" s="16"/>
      <c r="G80" s="16"/>
      <c r="H80" s="23"/>
      <c r="I80" s="23"/>
      <c r="J80" s="16"/>
      <c r="K80" s="16"/>
    </row>
    <row r="81" spans="1:11" s="13" customFormat="1" ht="27" customHeight="1" x14ac:dyDescent="0.25">
      <c r="A81" s="22" t="s">
        <v>652</v>
      </c>
      <c r="B81" s="22" t="s">
        <v>670</v>
      </c>
      <c r="C81" s="14" t="s">
        <v>713</v>
      </c>
      <c r="D81" s="15">
        <f>VLOOKUP(Index[[#This Row],[Institution Name]],ResearchInput[[Institution Name]:[Sort]],5,FALSE)</f>
        <v>1213</v>
      </c>
      <c r="E81" s="16"/>
      <c r="F81" s="16"/>
      <c r="G81" s="16"/>
      <c r="H81" s="23"/>
      <c r="I81" s="23"/>
      <c r="J81" s="16"/>
      <c r="K81" s="16"/>
    </row>
    <row r="82" spans="1:11" s="13" customFormat="1" ht="27" customHeight="1" x14ac:dyDescent="0.25">
      <c r="A82" s="22" t="s">
        <v>185</v>
      </c>
      <c r="B82" s="22" t="s">
        <v>671</v>
      </c>
      <c r="C82" s="14" t="s">
        <v>673</v>
      </c>
      <c r="D82" s="15">
        <f>VLOOKUP(Index[[#This Row],[Institution Name]],ResearchInput[[Institution Name]:[Sort]],5,FALSE)</f>
        <v>305</v>
      </c>
      <c r="E82" s="16"/>
      <c r="F82" s="16"/>
      <c r="G82" s="16"/>
      <c r="H82" s="23"/>
      <c r="I82" s="23"/>
      <c r="J82" s="16"/>
      <c r="K82" s="16"/>
    </row>
    <row r="83" spans="1:11" s="13" customFormat="1" ht="27" customHeight="1" x14ac:dyDescent="0.25">
      <c r="A83" s="22" t="s">
        <v>186</v>
      </c>
      <c r="B83" s="22" t="s">
        <v>671</v>
      </c>
      <c r="C83" s="14" t="s">
        <v>673</v>
      </c>
      <c r="D83" s="15">
        <f>VLOOKUP(Index[[#This Row],[Institution Name]],ResearchInput[[Institution Name]:[Sort]],5,FALSE)</f>
        <v>306</v>
      </c>
      <c r="E83" s="16"/>
      <c r="F83" s="16"/>
      <c r="G83" s="16"/>
      <c r="H83" s="23"/>
      <c r="I83" s="23"/>
      <c r="J83" s="16"/>
      <c r="K83" s="16"/>
    </row>
    <row r="84" spans="1:11" s="13" customFormat="1" ht="27" customHeight="1" x14ac:dyDescent="0.25">
      <c r="A84" s="22" t="s">
        <v>187</v>
      </c>
      <c r="B84" s="22" t="s">
        <v>671</v>
      </c>
      <c r="C84" s="14" t="s">
        <v>673</v>
      </c>
      <c r="D84" s="15">
        <f>VLOOKUP(Index[[#This Row],[Institution Name]],ResearchInput[[Institution Name]:[Sort]],5,FALSE)</f>
        <v>307</v>
      </c>
      <c r="E84" s="16"/>
      <c r="F84" s="16"/>
      <c r="G84" s="16"/>
      <c r="H84" s="23"/>
      <c r="I84" s="23"/>
      <c r="J84" s="16"/>
      <c r="K84" s="16"/>
    </row>
    <row r="85" spans="1:11" s="13" customFormat="1" ht="27" customHeight="1" x14ac:dyDescent="0.25">
      <c r="A85" s="22" t="s">
        <v>184</v>
      </c>
      <c r="B85" s="22" t="s">
        <v>671</v>
      </c>
      <c r="C85" s="14" t="s">
        <v>673</v>
      </c>
      <c r="D85" s="15">
        <f>VLOOKUP(Index[[#This Row],[Institution Name]],ResearchInput[[Institution Name]:[Sort]],5,FALSE)</f>
        <v>302</v>
      </c>
      <c r="E85" s="16"/>
      <c r="F85" s="16"/>
      <c r="G85" s="16"/>
      <c r="H85" s="23"/>
      <c r="I85" s="23"/>
      <c r="J85" s="16"/>
      <c r="K85" s="16"/>
    </row>
    <row r="86" spans="1:11" s="13" customFormat="1" ht="27" customHeight="1" x14ac:dyDescent="0.25">
      <c r="A86" s="22" t="s">
        <v>347</v>
      </c>
      <c r="B86" s="22" t="s">
        <v>712</v>
      </c>
      <c r="C86" s="14" t="s">
        <v>679</v>
      </c>
      <c r="D86" s="15">
        <f>VLOOKUP(Index[[#This Row],[Institution Name]],ResearchInput[[Institution Name]:[Sort]],5,FALSE)</f>
        <v>301</v>
      </c>
      <c r="E86" s="16"/>
      <c r="F86" s="16"/>
      <c r="G86" s="16"/>
      <c r="H86" s="23"/>
      <c r="I86" s="23"/>
      <c r="J86" s="16"/>
      <c r="K86" s="16"/>
    </row>
    <row r="87" spans="1:11" s="13" customFormat="1" ht="27" customHeight="1" x14ac:dyDescent="0.25">
      <c r="A87" s="22" t="s">
        <v>212</v>
      </c>
      <c r="B87" s="22" t="s">
        <v>680</v>
      </c>
      <c r="C87" s="14" t="s">
        <v>681</v>
      </c>
      <c r="D87" s="15">
        <f>VLOOKUP(Index[[#This Row],[Institution Name]],ResearchInput[[Institution Name]:[Sort]],5,FALSE)</f>
        <v>913</v>
      </c>
      <c r="E87" s="16"/>
      <c r="F87" s="16"/>
      <c r="G87" s="16"/>
      <c r="H87" s="23"/>
      <c r="I87" s="23"/>
      <c r="J87" s="16"/>
      <c r="K87" s="16"/>
    </row>
    <row r="88" spans="1:11" s="13" customFormat="1" ht="27" customHeight="1" x14ac:dyDescent="0.25">
      <c r="A88" s="22" t="s">
        <v>766</v>
      </c>
      <c r="B88" s="22" t="s">
        <v>790</v>
      </c>
      <c r="C88" s="14" t="s">
        <v>684</v>
      </c>
      <c r="D88" s="15">
        <f>VLOOKUP(Index[[#This Row],[Institution Name]],ResearchInput[[Institution Name]:[Sort]],5,FALSE)</f>
        <v>300</v>
      </c>
      <c r="E88" s="16"/>
      <c r="F88" s="16"/>
      <c r="G88" s="16"/>
      <c r="H88" s="23"/>
      <c r="I88" s="23"/>
      <c r="J88" s="16"/>
      <c r="K88" s="16"/>
    </row>
    <row r="89" spans="1:11" s="13" customFormat="1" ht="27" customHeight="1" x14ac:dyDescent="0.25">
      <c r="A89" s="22" t="s">
        <v>236</v>
      </c>
      <c r="B89" s="22" t="s">
        <v>671</v>
      </c>
      <c r="C89" s="14" t="s">
        <v>673</v>
      </c>
      <c r="D89" s="15">
        <f>VLOOKUP(Index[[#This Row],[Institution Name]],ResearchInput[[Institution Name]:[Sort]],5,FALSE)</f>
        <v>401</v>
      </c>
      <c r="E89" s="16"/>
      <c r="F89" s="16"/>
      <c r="G89" s="16"/>
      <c r="H89" s="23"/>
      <c r="I89" s="23"/>
      <c r="J89" s="16"/>
      <c r="K89" s="16"/>
    </row>
    <row r="90" spans="1:11" s="13" customFormat="1" ht="27" customHeight="1" x14ac:dyDescent="0.25">
      <c r="A90" s="22" t="s">
        <v>193</v>
      </c>
      <c r="B90" s="22" t="s">
        <v>671</v>
      </c>
      <c r="C90" s="14" t="s">
        <v>673</v>
      </c>
      <c r="D90" s="15">
        <f>VLOOKUP(Index[[#This Row],[Institution Name]],ResearchInput[[Institution Name]:[Sort]],5,FALSE)</f>
        <v>402</v>
      </c>
      <c r="E90" s="16"/>
      <c r="F90" s="16"/>
      <c r="G90" s="16"/>
      <c r="H90" s="23"/>
      <c r="I90" s="23"/>
      <c r="J90" s="16"/>
      <c r="K90" s="16"/>
    </row>
    <row r="91" spans="1:11" s="13" customFormat="1" ht="27" customHeight="1" x14ac:dyDescent="0.25">
      <c r="A91" s="22" t="s">
        <v>203</v>
      </c>
      <c r="B91" s="22" t="s">
        <v>680</v>
      </c>
      <c r="C91" s="14" t="s">
        <v>681</v>
      </c>
      <c r="D91" s="15">
        <f>VLOOKUP(Index[[#This Row],[Institution Name]],ResearchInput[[Institution Name]:[Sort]],5,FALSE)</f>
        <v>910</v>
      </c>
      <c r="E91" s="16"/>
      <c r="F91" s="16"/>
      <c r="G91" s="16"/>
      <c r="H91" s="23"/>
      <c r="I91" s="23"/>
      <c r="J91" s="16"/>
      <c r="K91" s="16"/>
    </row>
    <row r="92" spans="1:11" s="13" customFormat="1" ht="27" customHeight="1" x14ac:dyDescent="0.25">
      <c r="A92" s="22" t="s">
        <v>768</v>
      </c>
      <c r="B92" s="22" t="s">
        <v>790</v>
      </c>
      <c r="C92" s="14" t="s">
        <v>684</v>
      </c>
      <c r="D92" s="15">
        <f>VLOOKUP(Index[[#This Row],[Institution Name]],ResearchInput[[Institution Name]:[Sort]],5,FALSE)</f>
        <v>400</v>
      </c>
      <c r="E92" s="16"/>
      <c r="F92" s="16"/>
      <c r="G92" s="16"/>
      <c r="H92" s="23"/>
      <c r="I92" s="23"/>
      <c r="J92" s="16"/>
      <c r="K92" s="16"/>
    </row>
    <row r="93" spans="1:11" s="13" customFormat="1" ht="27" customHeight="1" x14ac:dyDescent="0.25">
      <c r="A93" s="22" t="s">
        <v>658</v>
      </c>
      <c r="B93" s="22" t="s">
        <v>670</v>
      </c>
      <c r="C93" s="14" t="s">
        <v>713</v>
      </c>
      <c r="D93" s="15">
        <f>VLOOKUP(Index[[#This Row],[Institution Name]],ResearchInput[[Institution Name]:[Sort]],5,FALSE)</f>
        <v>1214</v>
      </c>
      <c r="E93" s="16"/>
      <c r="F93" s="16"/>
      <c r="G93" s="16"/>
      <c r="H93" s="23"/>
      <c r="I93" s="23"/>
      <c r="J93" s="16"/>
      <c r="K93" s="16"/>
    </row>
    <row r="94" spans="1:11" s="13" customFormat="1" ht="27" customHeight="1" x14ac:dyDescent="0.25">
      <c r="A94" s="22" t="s">
        <v>179</v>
      </c>
      <c r="B94" s="22" t="s">
        <v>671</v>
      </c>
      <c r="C94" s="14" t="s">
        <v>673</v>
      </c>
      <c r="D94" s="15">
        <f>VLOOKUP(Index[[#This Row],[Institution Name]],ResearchInput[[Institution Name]:[Sort]],5,FALSE)</f>
        <v>211</v>
      </c>
      <c r="E94" s="16"/>
      <c r="F94" s="16"/>
      <c r="G94" s="16"/>
      <c r="H94" s="23"/>
      <c r="I94" s="23"/>
      <c r="J94" s="16"/>
      <c r="K94" s="16"/>
    </row>
    <row r="95" spans="1:11" s="13" customFormat="1" ht="27" customHeight="1" x14ac:dyDescent="0.25">
      <c r="A95" s="22" t="s">
        <v>224</v>
      </c>
      <c r="B95" s="22" t="s">
        <v>670</v>
      </c>
      <c r="C95" s="14" t="s">
        <v>713</v>
      </c>
      <c r="D95" s="15">
        <f>VLOOKUP(Index[[#This Row],[Institution Name]],ResearchInput[[Institution Name]:[Sort]],5,FALSE)</f>
        <v>1215</v>
      </c>
      <c r="E95" s="16"/>
      <c r="F95" s="16"/>
      <c r="G95" s="16"/>
      <c r="H95" s="23"/>
      <c r="I95" s="23"/>
      <c r="J95" s="16"/>
      <c r="K95" s="16"/>
    </row>
    <row r="96" spans="1:11" s="13" customFormat="1" ht="27" customHeight="1" x14ac:dyDescent="0.25">
      <c r="A96" s="23"/>
      <c r="B96" s="23"/>
      <c r="C96" s="20"/>
      <c r="D96" s="20"/>
      <c r="E96" s="16"/>
      <c r="F96" s="16"/>
      <c r="G96" s="16"/>
      <c r="H96" s="23"/>
      <c r="I96" s="23"/>
      <c r="J96" s="16"/>
      <c r="K96" s="16"/>
    </row>
    <row r="97" spans="1:11" s="13" customFormat="1" ht="27" customHeight="1" x14ac:dyDescent="0.25">
      <c r="A97" s="23"/>
      <c r="B97" s="23"/>
      <c r="C97" s="20"/>
      <c r="D97" s="20"/>
      <c r="E97" s="16"/>
      <c r="F97" s="16"/>
      <c r="G97" s="16"/>
      <c r="H97" s="23"/>
      <c r="I97" s="23"/>
      <c r="J97" s="16"/>
      <c r="K97" s="16"/>
    </row>
    <row r="98" spans="1:11" s="13" customFormat="1" ht="27" customHeight="1" x14ac:dyDescent="0.25">
      <c r="A98" s="22"/>
      <c r="B98" s="22"/>
      <c r="C98" s="14"/>
      <c r="D98" s="14"/>
      <c r="H98" s="23"/>
      <c r="I98" s="23"/>
      <c r="J98" s="16"/>
    </row>
    <row r="99" spans="1:11" x14ac:dyDescent="0.3">
      <c r="H99" s="22"/>
      <c r="I99" s="22"/>
      <c r="J99" s="13"/>
    </row>
  </sheetData>
  <sheetProtection algorithmName="SHA-512" hashValue="blcYqepaOWhc8gltVvSlYjJRAq44Celh14DYlhyxzEOeqGbA0dGyGaetcBskkQiJSbiDEDMM0GI+Xob4gVCmgQ==" saltValue="aqQZOwE/rdBf6tRhO/nYEw==" spinCount="100000" sheet="1" objects="1" scenarios="1" formatCells="0" formatColumns="0" formatRows="0"/>
  <mergeCells count="5">
    <mergeCell ref="H34:J37"/>
    <mergeCell ref="H38:J41"/>
    <mergeCell ref="H24:I24"/>
    <mergeCell ref="H2:J2"/>
    <mergeCell ref="H13:J13"/>
  </mergeCells>
  <pageMargins left="0.7" right="0.7" top="0.75" bottom="0.75" header="0.3" footer="0.3"/>
  <tableParts count="1">
    <tablePart r:id="rId1"/>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0"/>
  </sheetPr>
  <dimension ref="A1:GY97"/>
  <sheetViews>
    <sheetView topLeftCell="GF16" zoomScale="70" zoomScaleNormal="70" workbookViewId="0">
      <selection activeCell="GH87" sqref="GH87"/>
    </sheetView>
  </sheetViews>
  <sheetFormatPr defaultColWidth="8.90625" defaultRowHeight="15.6" x14ac:dyDescent="0.3"/>
  <cols>
    <col min="1" max="1" width="68" style="34" customWidth="1"/>
    <col min="2" max="2" width="48" style="34" customWidth="1"/>
    <col min="3" max="3" width="9.54296875" style="35" customWidth="1"/>
    <col min="4" max="4" width="8.90625" style="35" customWidth="1"/>
    <col min="5" max="5" width="6.81640625" style="35" customWidth="1"/>
    <col min="6" max="6" width="10.81640625" style="36" customWidth="1"/>
    <col min="7" max="7" width="9.54296875" style="35" customWidth="1"/>
    <col min="8" max="8" width="11.6328125" style="36" customWidth="1"/>
    <col min="9" max="9" width="17" style="36" customWidth="1"/>
    <col min="10" max="11" width="15.54296875" style="36" customWidth="1"/>
    <col min="12" max="13" width="16.81640625" style="36" customWidth="1"/>
    <col min="14" max="14" width="16.6328125" style="36" customWidth="1"/>
    <col min="15" max="16" width="16.81640625" style="6" customWidth="1"/>
    <col min="17" max="17" width="16.36328125" style="6" customWidth="1"/>
    <col min="18" max="18" width="14.90625" style="6" customWidth="1"/>
    <col min="19" max="19" width="13.6328125" style="6" customWidth="1"/>
    <col min="20" max="20" width="14.90625" style="6" customWidth="1"/>
    <col min="21" max="21" width="16.1796875" style="6" customWidth="1"/>
    <col min="22" max="23" width="14.6328125" style="6" customWidth="1"/>
    <col min="24" max="24" width="14.1796875" style="6" customWidth="1"/>
    <col min="25" max="25" width="14.90625" style="6" customWidth="1"/>
    <col min="26" max="26" width="16.1796875" style="6" customWidth="1"/>
    <col min="27" max="27" width="14.6328125" style="6" customWidth="1"/>
    <col min="28" max="28" width="13.453125" style="6" customWidth="1"/>
    <col min="29" max="29" width="11.453125" style="6" customWidth="1"/>
    <col min="30" max="30" width="11.1796875" style="6" customWidth="1"/>
    <col min="31" max="32" width="12.54296875" style="6" customWidth="1"/>
    <col min="33" max="33" width="16.6328125" style="6" customWidth="1"/>
    <col min="34" max="34" width="12" style="6" customWidth="1"/>
    <col min="35" max="35" width="17.54296875" style="6" customWidth="1"/>
    <col min="36" max="36" width="16.453125" style="6" customWidth="1"/>
    <col min="37" max="37" width="14.54296875" style="6" customWidth="1"/>
    <col min="38" max="38" width="15.453125" style="6" customWidth="1"/>
    <col min="39" max="39" width="14.54296875" style="6" customWidth="1"/>
    <col min="40" max="40" width="15.54296875" style="6" customWidth="1"/>
    <col min="41" max="41" width="16.6328125" style="6" customWidth="1"/>
    <col min="42" max="42" width="15.453125" style="6" customWidth="1"/>
    <col min="43" max="44" width="14.1796875" style="6" customWidth="1"/>
    <col min="45" max="45" width="15.453125" style="6" customWidth="1"/>
    <col min="46" max="46" width="11.81640625" style="6" customWidth="1"/>
    <col min="47" max="48" width="14.1796875" style="6" customWidth="1"/>
    <col min="49" max="49" width="15.54296875" style="6" customWidth="1"/>
    <col min="50" max="50" width="7.90625" style="6" customWidth="1"/>
    <col min="51" max="51" width="13.81640625" style="6" customWidth="1"/>
    <col min="52" max="52" width="12.1796875" style="6" customWidth="1"/>
    <col min="53" max="53" width="10.1796875" style="6" customWidth="1"/>
    <col min="54" max="54" width="15" style="6" customWidth="1"/>
    <col min="55" max="55" width="15.453125" style="6" customWidth="1"/>
    <col min="56" max="56" width="11.36328125" style="6" customWidth="1"/>
    <col min="57" max="57" width="15.54296875" style="6" customWidth="1"/>
    <col min="58" max="58" width="10.453125" style="6" customWidth="1"/>
    <col min="59" max="59" width="15.90625" style="6" customWidth="1"/>
    <col min="60" max="60" width="14.90625" style="6" customWidth="1"/>
    <col min="61" max="61" width="13.81640625" style="6" customWidth="1"/>
    <col min="62" max="62" width="12.1796875" style="6" customWidth="1"/>
    <col min="63" max="64" width="13.81640625" style="6" customWidth="1"/>
    <col min="65" max="65" width="16.36328125" style="6" customWidth="1"/>
    <col min="66" max="66" width="10.90625" style="6" customWidth="1"/>
    <col min="67" max="67" width="15.90625" style="6" customWidth="1"/>
    <col min="68" max="69" width="14.90625" style="6" customWidth="1"/>
    <col min="70" max="70" width="12.54296875" style="6" customWidth="1"/>
    <col min="71" max="71" width="15.90625" style="6" customWidth="1"/>
    <col min="72" max="72" width="13.81640625" style="6" customWidth="1"/>
    <col min="73" max="73" width="16.81640625" style="6" customWidth="1"/>
    <col min="74" max="74" width="13.81640625" style="6" customWidth="1"/>
    <col min="75" max="75" width="16.1796875" style="6" customWidth="1"/>
    <col min="76" max="76" width="15" style="6" customWidth="1"/>
    <col min="77" max="77" width="15.453125" style="6" customWidth="1"/>
    <col min="78" max="78" width="13.81640625" style="6" customWidth="1"/>
    <col min="79" max="80" width="14.1796875" style="6" customWidth="1"/>
    <col min="81" max="81" width="17" style="6" customWidth="1"/>
    <col min="82" max="83" width="15.54296875" style="6" customWidth="1"/>
    <col min="84" max="84" width="15.1796875" style="6" customWidth="1"/>
    <col min="85" max="85" width="15.54296875" style="6" customWidth="1"/>
    <col min="86" max="87" width="15.453125" style="6" customWidth="1"/>
    <col min="88" max="88" width="15" style="6" customWidth="1"/>
    <col min="89" max="89" width="15.453125" style="6" customWidth="1"/>
    <col min="90" max="90" width="13.81640625" style="6" customWidth="1"/>
    <col min="91" max="91" width="14.1796875" style="6" customWidth="1"/>
    <col min="92" max="92" width="12.54296875" style="6" customWidth="1"/>
    <col min="93" max="96" width="14.1796875" style="6" customWidth="1"/>
    <col min="97" max="97" width="17" style="6" customWidth="1"/>
    <col min="98" max="98" width="16.6328125" style="6" customWidth="1"/>
    <col min="99" max="99" width="15.54296875" style="6" customWidth="1"/>
    <col min="100" max="101" width="16.453125" style="6" customWidth="1"/>
    <col min="102" max="102" width="17" style="6" customWidth="1"/>
    <col min="103" max="104" width="16.81640625" style="6" customWidth="1"/>
    <col min="105" max="105" width="15.1796875" style="6" customWidth="1"/>
    <col min="106" max="106" width="13.81640625" style="6" customWidth="1"/>
    <col min="107" max="107" width="15.81640625" style="6" customWidth="1"/>
    <col min="108" max="108" width="15.453125" style="6" customWidth="1"/>
    <col min="109" max="109" width="14.1796875" style="6" customWidth="1"/>
    <col min="110" max="110" width="12" style="6" customWidth="1"/>
    <col min="111" max="111" width="14.1796875" style="6" customWidth="1"/>
    <col min="112" max="112" width="13.81640625" style="6" customWidth="1"/>
    <col min="113" max="113" width="15.54296875" style="6" customWidth="1"/>
    <col min="114" max="114" width="14.1796875" style="6" customWidth="1"/>
    <col min="115" max="115" width="15.1796875" style="6" customWidth="1"/>
    <col min="116" max="116" width="14.1796875" style="6" customWidth="1"/>
    <col min="117" max="117" width="15.453125" style="6" customWidth="1"/>
    <col min="118" max="120" width="14.1796875" style="6" customWidth="1"/>
    <col min="121" max="121" width="15" style="6" customWidth="1"/>
    <col min="122" max="122" width="14.1796875" style="6" customWidth="1"/>
    <col min="123" max="123" width="14.6328125" style="6" customWidth="1"/>
    <col min="124" max="125" width="14.1796875" style="6" customWidth="1"/>
    <col min="126" max="126" width="11.81640625" style="6" customWidth="1"/>
    <col min="127" max="127" width="14.1796875" style="6" customWidth="1"/>
    <col min="128" max="128" width="13.81640625" style="6" customWidth="1"/>
    <col min="129" max="129" width="15.453125" style="6" customWidth="1"/>
    <col min="130" max="130" width="15.1796875" style="6" customWidth="1"/>
    <col min="131" max="132" width="13.81640625" style="6" customWidth="1"/>
    <col min="133" max="133" width="15.453125" style="6" customWidth="1"/>
    <col min="134" max="134" width="13.81640625" style="6" customWidth="1"/>
    <col min="135" max="135" width="14.1796875" style="6" customWidth="1"/>
    <col min="136" max="136" width="13.6328125" style="6" customWidth="1"/>
    <col min="137" max="137" width="15.1796875" style="6" customWidth="1"/>
    <col min="138" max="138" width="15.54296875" style="6" customWidth="1"/>
    <col min="139" max="139" width="15.1796875" style="6" customWidth="1"/>
    <col min="140" max="140" width="14.1796875" style="6" customWidth="1"/>
    <col min="141" max="141" width="15.54296875" style="6" customWidth="1"/>
    <col min="142" max="142" width="11.81640625" style="6" customWidth="1"/>
    <col min="143" max="143" width="15.453125" style="6" customWidth="1"/>
    <col min="144" max="144" width="14.1796875" style="6" customWidth="1"/>
    <col min="145" max="146" width="15.453125" style="6" customWidth="1"/>
    <col min="147" max="147" width="14.6328125" style="6" customWidth="1"/>
    <col min="148" max="148" width="13" style="6" customWidth="1"/>
    <col min="149" max="149" width="15.54296875" style="6" customWidth="1"/>
    <col min="150" max="151" width="14.1796875" style="6" customWidth="1"/>
    <col min="152" max="152" width="15.453125" style="6" customWidth="1"/>
    <col min="153" max="153" width="16.81640625" style="6" customWidth="1"/>
    <col min="154" max="154" width="15.54296875" style="6" customWidth="1"/>
    <col min="155" max="155" width="18.36328125" style="6" customWidth="1"/>
    <col min="156" max="156" width="17.1796875" style="6" customWidth="1"/>
    <col min="157" max="157" width="15.54296875" style="6" customWidth="1"/>
    <col min="158" max="158" width="16.6328125" style="6" customWidth="1"/>
    <col min="159" max="159" width="16.453125" style="6" customWidth="1"/>
    <col min="160" max="160" width="16.36328125" style="6" customWidth="1"/>
    <col min="161" max="161" width="13.81640625" style="6" customWidth="1"/>
    <col min="162" max="162" width="10.90625" style="6" customWidth="1"/>
    <col min="163" max="163" width="16.453125" style="6" customWidth="1"/>
    <col min="164" max="164" width="15.453125" style="6" customWidth="1"/>
    <col min="165" max="165" width="14.1796875" style="6" customWidth="1"/>
    <col min="166" max="166" width="12.6328125" style="6" customWidth="1"/>
    <col min="167" max="167" width="13.36328125" style="6" customWidth="1"/>
    <col min="168" max="168" width="14.54296875" style="6" customWidth="1"/>
    <col min="169" max="169" width="12.453125" style="6" customWidth="1"/>
    <col min="170" max="170" width="10.54296875" style="6" customWidth="1"/>
    <col min="171" max="171" width="16.1796875" style="6" customWidth="1"/>
    <col min="172" max="172" width="15" style="6" customWidth="1"/>
    <col min="173" max="173" width="12.90625" style="6" customWidth="1"/>
    <col min="174" max="174" width="12.453125" style="6" customWidth="1"/>
    <col min="175" max="175" width="12.90625" style="6" customWidth="1"/>
    <col min="176" max="176" width="14.1796875" style="6" customWidth="1"/>
    <col min="177" max="177" width="10.54296875" style="6" customWidth="1"/>
    <col min="178" max="178" width="8.81640625" style="6" customWidth="1"/>
    <col min="179" max="179" width="14.36328125" style="6" customWidth="1"/>
    <col min="180" max="180" width="13" style="6" customWidth="1"/>
    <col min="181" max="181" width="11.1796875" style="6" customWidth="1"/>
    <col min="182" max="182" width="10.54296875" style="6" customWidth="1"/>
    <col min="183" max="183" width="11.1796875" style="6" customWidth="1"/>
    <col min="184" max="184" width="12.1796875" style="6" customWidth="1"/>
    <col min="185" max="185" width="15.54296875" style="6" customWidth="1"/>
    <col min="186" max="186" width="18.81640625" style="6" customWidth="1"/>
    <col min="187" max="187" width="19.1796875" style="6" customWidth="1"/>
    <col min="188" max="188" width="21.453125" style="6" customWidth="1"/>
    <col min="189" max="189" width="18.54296875" style="186" customWidth="1"/>
    <col min="190" max="190" width="25.54296875" style="186" customWidth="1"/>
    <col min="191" max="191" width="22.54296875" style="182" customWidth="1"/>
    <col min="192" max="192" width="45.54296875" style="6" customWidth="1"/>
    <col min="193" max="193" width="18.54296875" style="6" customWidth="1"/>
    <col min="194" max="194" width="25.54296875" style="6" customWidth="1"/>
    <col min="195" max="195" width="22.54296875" style="182" customWidth="1"/>
    <col min="196" max="196" width="45.54296875" style="186" customWidth="1"/>
    <col min="197" max="198" width="12.453125" style="6" customWidth="1"/>
    <col min="199" max="199" width="15.453125" style="6" customWidth="1"/>
    <col min="200" max="207" width="26.36328125" style="6" customWidth="1"/>
    <col min="208" max="16384" width="8.90625" style="6"/>
  </cols>
  <sheetData>
    <row r="1" spans="1:207" s="48" customFormat="1" ht="27" customHeight="1" x14ac:dyDescent="0.25">
      <c r="A1" s="89" t="s">
        <v>0</v>
      </c>
      <c r="B1" s="89" t="s">
        <v>669</v>
      </c>
      <c r="C1" s="48" t="s">
        <v>219</v>
      </c>
      <c r="D1" s="48" t="s">
        <v>225</v>
      </c>
      <c r="E1" s="48" t="s">
        <v>226</v>
      </c>
      <c r="F1" s="48" t="s">
        <v>227</v>
      </c>
      <c r="G1" s="48" t="s">
        <v>228</v>
      </c>
      <c r="H1" s="48" t="s">
        <v>229</v>
      </c>
      <c r="I1" s="48" t="s">
        <v>1</v>
      </c>
      <c r="J1" s="48" t="s">
        <v>9</v>
      </c>
      <c r="K1" s="48" t="s">
        <v>17</v>
      </c>
      <c r="L1" s="48" t="s">
        <v>25</v>
      </c>
      <c r="M1" s="48" t="s">
        <v>33</v>
      </c>
      <c r="N1" s="48" t="s">
        <v>41</v>
      </c>
      <c r="O1" s="48" t="s">
        <v>49</v>
      </c>
      <c r="P1" s="48" t="s">
        <v>57</v>
      </c>
      <c r="Q1" s="48" t="s">
        <v>2</v>
      </c>
      <c r="R1" s="48" t="s">
        <v>10</v>
      </c>
      <c r="S1" s="48" t="s">
        <v>18</v>
      </c>
      <c r="T1" s="48" t="s">
        <v>26</v>
      </c>
      <c r="U1" s="48" t="s">
        <v>34</v>
      </c>
      <c r="V1" s="48" t="s">
        <v>42</v>
      </c>
      <c r="W1" s="48" t="s">
        <v>50</v>
      </c>
      <c r="X1" s="48" t="s">
        <v>58</v>
      </c>
      <c r="Y1" s="48" t="s">
        <v>3</v>
      </c>
      <c r="Z1" s="48" t="s">
        <v>11</v>
      </c>
      <c r="AA1" s="48" t="s">
        <v>19</v>
      </c>
      <c r="AB1" s="48" t="s">
        <v>27</v>
      </c>
      <c r="AC1" s="48" t="s">
        <v>35</v>
      </c>
      <c r="AD1" s="48" t="s">
        <v>43</v>
      </c>
      <c r="AE1" s="48" t="s">
        <v>51</v>
      </c>
      <c r="AF1" s="48" t="s">
        <v>59</v>
      </c>
      <c r="AG1" s="48" t="s">
        <v>4</v>
      </c>
      <c r="AH1" s="48" t="s">
        <v>12</v>
      </c>
      <c r="AI1" s="48" t="s">
        <v>20</v>
      </c>
      <c r="AJ1" s="48" t="s">
        <v>28</v>
      </c>
      <c r="AK1" s="48" t="s">
        <v>36</v>
      </c>
      <c r="AL1" s="48" t="s">
        <v>44</v>
      </c>
      <c r="AM1" s="48" t="s">
        <v>52</v>
      </c>
      <c r="AN1" s="48" t="s">
        <v>60</v>
      </c>
      <c r="AO1" s="48" t="s">
        <v>5</v>
      </c>
      <c r="AP1" s="48" t="s">
        <v>13</v>
      </c>
      <c r="AQ1" s="48" t="s">
        <v>21</v>
      </c>
      <c r="AR1" s="48" t="s">
        <v>29</v>
      </c>
      <c r="AS1" s="48" t="s">
        <v>37</v>
      </c>
      <c r="AT1" s="48" t="s">
        <v>45</v>
      </c>
      <c r="AU1" s="48" t="s">
        <v>53</v>
      </c>
      <c r="AV1" s="48" t="s">
        <v>61</v>
      </c>
      <c r="AW1" s="48" t="s">
        <v>6</v>
      </c>
      <c r="AX1" s="48" t="s">
        <v>14</v>
      </c>
      <c r="AY1" s="48" t="s">
        <v>22</v>
      </c>
      <c r="AZ1" s="48" t="s">
        <v>30</v>
      </c>
      <c r="BA1" s="48" t="s">
        <v>38</v>
      </c>
      <c r="BB1" s="48" t="s">
        <v>46</v>
      </c>
      <c r="BC1" s="48" t="s">
        <v>54</v>
      </c>
      <c r="BD1" s="48" t="s">
        <v>62</v>
      </c>
      <c r="BE1" s="48" t="s">
        <v>7</v>
      </c>
      <c r="BF1" s="48" t="s">
        <v>15</v>
      </c>
      <c r="BG1" s="48" t="s">
        <v>23</v>
      </c>
      <c r="BH1" s="48" t="s">
        <v>31</v>
      </c>
      <c r="BI1" s="48" t="s">
        <v>39</v>
      </c>
      <c r="BJ1" s="48" t="s">
        <v>47</v>
      </c>
      <c r="BK1" s="48" t="s">
        <v>55</v>
      </c>
      <c r="BL1" s="48" t="s">
        <v>63</v>
      </c>
      <c r="BM1" s="48" t="s">
        <v>8</v>
      </c>
      <c r="BN1" s="48" t="s">
        <v>16</v>
      </c>
      <c r="BO1" s="48" t="s">
        <v>24</v>
      </c>
      <c r="BP1" s="48" t="s">
        <v>32</v>
      </c>
      <c r="BQ1" s="48" t="s">
        <v>40</v>
      </c>
      <c r="BR1" s="48" t="s">
        <v>48</v>
      </c>
      <c r="BS1" s="48" t="s">
        <v>56</v>
      </c>
      <c r="BT1" s="48" t="s">
        <v>64</v>
      </c>
      <c r="BU1" s="48" t="s">
        <v>65</v>
      </c>
      <c r="BV1" s="48" t="s">
        <v>75</v>
      </c>
      <c r="BW1" s="48" t="s">
        <v>85</v>
      </c>
      <c r="BX1" s="48" t="s">
        <v>95</v>
      </c>
      <c r="BY1" s="48" t="s">
        <v>105</v>
      </c>
      <c r="BZ1" s="48" t="s">
        <v>115</v>
      </c>
      <c r="CA1" s="48" t="s">
        <v>125</v>
      </c>
      <c r="CB1" s="48" t="s">
        <v>135</v>
      </c>
      <c r="CC1" s="48" t="s">
        <v>66</v>
      </c>
      <c r="CD1" s="48" t="s">
        <v>76</v>
      </c>
      <c r="CE1" s="48" t="s">
        <v>86</v>
      </c>
      <c r="CF1" s="48" t="s">
        <v>96</v>
      </c>
      <c r="CG1" s="48" t="s">
        <v>106</v>
      </c>
      <c r="CH1" s="48" t="s">
        <v>116</v>
      </c>
      <c r="CI1" s="48" t="s">
        <v>126</v>
      </c>
      <c r="CJ1" s="48" t="s">
        <v>136</v>
      </c>
      <c r="CK1" s="48" t="s">
        <v>67</v>
      </c>
      <c r="CL1" s="48" t="s">
        <v>77</v>
      </c>
      <c r="CM1" s="48" t="s">
        <v>87</v>
      </c>
      <c r="CN1" s="48" t="s">
        <v>97</v>
      </c>
      <c r="CO1" s="48" t="s">
        <v>107</v>
      </c>
      <c r="CP1" s="48" t="s">
        <v>117</v>
      </c>
      <c r="CQ1" s="48" t="s">
        <v>127</v>
      </c>
      <c r="CR1" s="48" t="s">
        <v>137</v>
      </c>
      <c r="CS1" s="48" t="s">
        <v>68</v>
      </c>
      <c r="CT1" s="48" t="s">
        <v>78</v>
      </c>
      <c r="CU1" s="48" t="s">
        <v>88</v>
      </c>
      <c r="CV1" s="48" t="s">
        <v>98</v>
      </c>
      <c r="CW1" s="48" t="s">
        <v>108</v>
      </c>
      <c r="CX1" s="48" t="s">
        <v>118</v>
      </c>
      <c r="CY1" s="48" t="s">
        <v>128</v>
      </c>
      <c r="CZ1" s="48" t="s">
        <v>138</v>
      </c>
      <c r="DA1" s="48" t="s">
        <v>69</v>
      </c>
      <c r="DB1" s="48" t="s">
        <v>79</v>
      </c>
      <c r="DC1" s="48" t="s">
        <v>89</v>
      </c>
      <c r="DD1" s="48" t="s">
        <v>99</v>
      </c>
      <c r="DE1" s="48" t="s">
        <v>109</v>
      </c>
      <c r="DF1" s="48" t="s">
        <v>119</v>
      </c>
      <c r="DG1" s="48" t="s">
        <v>129</v>
      </c>
      <c r="DH1" s="48" t="s">
        <v>139</v>
      </c>
      <c r="DI1" s="48" t="s">
        <v>70</v>
      </c>
      <c r="DJ1" s="48" t="s">
        <v>80</v>
      </c>
      <c r="DK1" s="48" t="s">
        <v>90</v>
      </c>
      <c r="DL1" s="48" t="s">
        <v>100</v>
      </c>
      <c r="DM1" s="48" t="s">
        <v>110</v>
      </c>
      <c r="DN1" s="48" t="s">
        <v>120</v>
      </c>
      <c r="DO1" s="48" t="s">
        <v>130</v>
      </c>
      <c r="DP1" s="48" t="s">
        <v>140</v>
      </c>
      <c r="DQ1" s="48" t="s">
        <v>71</v>
      </c>
      <c r="DR1" s="48" t="s">
        <v>81</v>
      </c>
      <c r="DS1" s="48" t="s">
        <v>91</v>
      </c>
      <c r="DT1" s="48" t="s">
        <v>101</v>
      </c>
      <c r="DU1" s="48" t="s">
        <v>111</v>
      </c>
      <c r="DV1" s="48" t="s">
        <v>121</v>
      </c>
      <c r="DW1" s="48" t="s">
        <v>131</v>
      </c>
      <c r="DX1" s="48" t="s">
        <v>141</v>
      </c>
      <c r="DY1" s="48" t="s">
        <v>72</v>
      </c>
      <c r="DZ1" s="48" t="s">
        <v>82</v>
      </c>
      <c r="EA1" s="48" t="s">
        <v>92</v>
      </c>
      <c r="EB1" s="48" t="s">
        <v>102</v>
      </c>
      <c r="EC1" s="48" t="s">
        <v>112</v>
      </c>
      <c r="ED1" s="48" t="s">
        <v>122</v>
      </c>
      <c r="EE1" s="48" t="s">
        <v>132</v>
      </c>
      <c r="EF1" s="48" t="s">
        <v>142</v>
      </c>
      <c r="EG1" s="48" t="s">
        <v>73</v>
      </c>
      <c r="EH1" s="48" t="s">
        <v>83</v>
      </c>
      <c r="EI1" s="48" t="s">
        <v>93</v>
      </c>
      <c r="EJ1" s="48" t="s">
        <v>103</v>
      </c>
      <c r="EK1" s="48" t="s">
        <v>113</v>
      </c>
      <c r="EL1" s="48" t="s">
        <v>123</v>
      </c>
      <c r="EM1" s="48" t="s">
        <v>133</v>
      </c>
      <c r="EN1" s="48" t="s">
        <v>143</v>
      </c>
      <c r="EO1" s="48" t="s">
        <v>74</v>
      </c>
      <c r="EP1" s="48" t="s">
        <v>84</v>
      </c>
      <c r="EQ1" s="48" t="s">
        <v>94</v>
      </c>
      <c r="ER1" s="48" t="s">
        <v>104</v>
      </c>
      <c r="ES1" s="48" t="s">
        <v>114</v>
      </c>
      <c r="ET1" s="48" t="s">
        <v>124</v>
      </c>
      <c r="EU1" s="48" t="s">
        <v>134</v>
      </c>
      <c r="EV1" s="48" t="s">
        <v>144</v>
      </c>
      <c r="EW1" s="48" t="s">
        <v>145</v>
      </c>
      <c r="EX1" s="48" t="s">
        <v>148</v>
      </c>
      <c r="EY1" s="48" t="s">
        <v>150</v>
      </c>
      <c r="EZ1" s="48" t="s">
        <v>153</v>
      </c>
      <c r="FA1" s="48" t="s">
        <v>156</v>
      </c>
      <c r="FB1" s="48" t="s">
        <v>159</v>
      </c>
      <c r="FC1" s="48" t="s">
        <v>274</v>
      </c>
      <c r="FD1" s="48" t="s">
        <v>164</v>
      </c>
      <c r="FE1" s="48" t="s">
        <v>146</v>
      </c>
      <c r="FF1" s="48" t="s">
        <v>696</v>
      </c>
      <c r="FG1" s="48" t="s">
        <v>151</v>
      </c>
      <c r="FH1" s="48" t="s">
        <v>154</v>
      </c>
      <c r="FI1" s="48" t="s">
        <v>157</v>
      </c>
      <c r="FJ1" s="48" t="s">
        <v>160</v>
      </c>
      <c r="FK1" s="48" t="s">
        <v>162</v>
      </c>
      <c r="FL1" s="48" t="s">
        <v>165</v>
      </c>
      <c r="FM1" s="48" t="s">
        <v>147</v>
      </c>
      <c r="FN1" s="48" t="s">
        <v>149</v>
      </c>
      <c r="FO1" s="48" t="s">
        <v>152</v>
      </c>
      <c r="FP1" s="48" t="s">
        <v>155</v>
      </c>
      <c r="FQ1" s="48" t="s">
        <v>158</v>
      </c>
      <c r="FR1" s="48" t="s">
        <v>161</v>
      </c>
      <c r="FS1" s="48" t="s">
        <v>163</v>
      </c>
      <c r="FT1" s="48" t="s">
        <v>166</v>
      </c>
      <c r="FU1" s="48" t="s">
        <v>275</v>
      </c>
      <c r="FV1" s="48" t="s">
        <v>276</v>
      </c>
      <c r="FW1" s="48" t="s">
        <v>277</v>
      </c>
      <c r="FX1" s="48" t="s">
        <v>278</v>
      </c>
      <c r="FY1" s="48" t="s">
        <v>279</v>
      </c>
      <c r="FZ1" s="48" t="s">
        <v>280</v>
      </c>
      <c r="GA1" s="48" t="s">
        <v>281</v>
      </c>
      <c r="GB1" s="48" t="s">
        <v>282</v>
      </c>
      <c r="GC1" s="48" t="s">
        <v>283</v>
      </c>
      <c r="GD1" s="48" t="s">
        <v>284</v>
      </c>
      <c r="GE1" s="48" t="s">
        <v>167</v>
      </c>
      <c r="GF1" s="48" t="s">
        <v>168</v>
      </c>
      <c r="GG1" s="184" t="s">
        <v>285</v>
      </c>
      <c r="GH1" s="184" t="s">
        <v>286</v>
      </c>
      <c r="GI1" s="48" t="s">
        <v>287</v>
      </c>
      <c r="GJ1" s="48" t="s">
        <v>288</v>
      </c>
      <c r="GK1" s="48" t="s">
        <v>289</v>
      </c>
      <c r="GL1" s="48" t="s">
        <v>290</v>
      </c>
      <c r="GM1" s="48" t="s">
        <v>291</v>
      </c>
      <c r="GN1" s="184" t="s">
        <v>292</v>
      </c>
      <c r="GO1" s="48" t="s">
        <v>898</v>
      </c>
      <c r="GP1" s="48" t="s">
        <v>899</v>
      </c>
      <c r="GQ1" s="48" t="s">
        <v>230</v>
      </c>
      <c r="GR1" s="48" t="s">
        <v>791</v>
      </c>
      <c r="GS1" s="48" t="s">
        <v>792</v>
      </c>
      <c r="GT1" s="48" t="s">
        <v>793</v>
      </c>
      <c r="GU1" s="48" t="s">
        <v>794</v>
      </c>
      <c r="GV1" s="48" t="s">
        <v>795</v>
      </c>
      <c r="GW1" s="48" t="s">
        <v>796</v>
      </c>
      <c r="GX1" s="48" t="s">
        <v>797</v>
      </c>
      <c r="GY1" s="48" t="s">
        <v>798</v>
      </c>
    </row>
    <row r="2" spans="1:207" s="47" customFormat="1" ht="27" customHeight="1" x14ac:dyDescent="0.25">
      <c r="A2" s="34" t="s">
        <v>765</v>
      </c>
      <c r="B2" s="34" t="s">
        <v>219</v>
      </c>
      <c r="C2" s="35" t="s">
        <v>682</v>
      </c>
      <c r="D2" s="35" t="s">
        <v>684</v>
      </c>
      <c r="E2" s="90">
        <v>100</v>
      </c>
      <c r="F2" s="91" t="s">
        <v>716</v>
      </c>
      <c r="G2" s="35" t="s">
        <v>553</v>
      </c>
      <c r="H2" s="96">
        <v>3655</v>
      </c>
      <c r="I2" s="92">
        <v>0</v>
      </c>
      <c r="J2" s="92">
        <v>0</v>
      </c>
      <c r="K2" s="92">
        <v>0</v>
      </c>
      <c r="L2" s="92">
        <v>0</v>
      </c>
      <c r="M2" s="92">
        <v>0</v>
      </c>
      <c r="N2" s="92">
        <v>0</v>
      </c>
      <c r="O2" s="92">
        <v>0</v>
      </c>
      <c r="P2" s="92">
        <v>0</v>
      </c>
      <c r="Q2" s="92">
        <v>0</v>
      </c>
      <c r="R2" s="92">
        <v>0</v>
      </c>
      <c r="S2" s="92">
        <v>0</v>
      </c>
      <c r="T2" s="92">
        <v>0</v>
      </c>
      <c r="U2" s="92">
        <v>0</v>
      </c>
      <c r="V2" s="92">
        <v>0</v>
      </c>
      <c r="W2" s="92">
        <v>0</v>
      </c>
      <c r="X2" s="92">
        <v>0</v>
      </c>
      <c r="Y2" s="92">
        <v>0</v>
      </c>
      <c r="Z2" s="92">
        <v>0</v>
      </c>
      <c r="AA2" s="92">
        <v>0</v>
      </c>
      <c r="AB2" s="92">
        <v>0</v>
      </c>
      <c r="AC2" s="92">
        <v>0</v>
      </c>
      <c r="AD2" s="92">
        <v>0</v>
      </c>
      <c r="AE2" s="92">
        <v>0</v>
      </c>
      <c r="AF2" s="92">
        <v>0</v>
      </c>
      <c r="AG2" s="92">
        <v>0</v>
      </c>
      <c r="AH2" s="92">
        <v>0</v>
      </c>
      <c r="AI2" s="92">
        <v>0</v>
      </c>
      <c r="AJ2" s="92">
        <v>0</v>
      </c>
      <c r="AK2" s="92">
        <v>0</v>
      </c>
      <c r="AL2" s="92">
        <v>0</v>
      </c>
      <c r="AM2" s="92">
        <v>0</v>
      </c>
      <c r="AN2" s="92">
        <v>0</v>
      </c>
      <c r="AO2" s="92">
        <v>0</v>
      </c>
      <c r="AP2" s="92">
        <v>0</v>
      </c>
      <c r="AQ2" s="92">
        <v>0</v>
      </c>
      <c r="AR2" s="92">
        <v>0</v>
      </c>
      <c r="AS2" s="92">
        <v>0</v>
      </c>
      <c r="AT2" s="92">
        <v>0</v>
      </c>
      <c r="AU2" s="92">
        <v>0</v>
      </c>
      <c r="AV2" s="92">
        <v>0</v>
      </c>
      <c r="AW2" s="92">
        <v>0</v>
      </c>
      <c r="AX2" s="92">
        <v>0</v>
      </c>
      <c r="AY2" s="92">
        <v>0</v>
      </c>
      <c r="AZ2" s="92">
        <v>0</v>
      </c>
      <c r="BA2" s="92">
        <v>0</v>
      </c>
      <c r="BB2" s="92">
        <v>0</v>
      </c>
      <c r="BC2" s="92">
        <v>0</v>
      </c>
      <c r="BD2" s="92">
        <v>0</v>
      </c>
      <c r="BE2" s="92">
        <v>0</v>
      </c>
      <c r="BF2" s="92">
        <v>0</v>
      </c>
      <c r="BG2" s="92">
        <v>0</v>
      </c>
      <c r="BH2" s="92">
        <v>0</v>
      </c>
      <c r="BI2" s="92">
        <v>0</v>
      </c>
      <c r="BJ2" s="92">
        <v>0</v>
      </c>
      <c r="BK2" s="92">
        <v>0</v>
      </c>
      <c r="BL2" s="92">
        <v>0</v>
      </c>
      <c r="BM2" s="92">
        <v>0</v>
      </c>
      <c r="BN2" s="92">
        <v>0</v>
      </c>
      <c r="BO2" s="92">
        <v>0</v>
      </c>
      <c r="BP2" s="92">
        <v>0</v>
      </c>
      <c r="BQ2" s="92">
        <v>0</v>
      </c>
      <c r="BR2" s="92">
        <v>0</v>
      </c>
      <c r="BS2" s="92">
        <v>0</v>
      </c>
      <c r="BT2" s="92">
        <v>0</v>
      </c>
      <c r="BU2" s="92">
        <v>0</v>
      </c>
      <c r="BV2" s="92">
        <v>0</v>
      </c>
      <c r="BW2" s="92">
        <v>0</v>
      </c>
      <c r="BX2" s="92">
        <v>0</v>
      </c>
      <c r="BY2" s="92">
        <v>0</v>
      </c>
      <c r="BZ2" s="92">
        <v>0</v>
      </c>
      <c r="CA2" s="92">
        <v>0</v>
      </c>
      <c r="CB2" s="92">
        <v>0</v>
      </c>
      <c r="CC2" s="92">
        <v>0</v>
      </c>
      <c r="CD2" s="92">
        <v>0</v>
      </c>
      <c r="CE2" s="92">
        <v>0</v>
      </c>
      <c r="CF2" s="92">
        <v>0</v>
      </c>
      <c r="CG2" s="92">
        <v>0</v>
      </c>
      <c r="CH2" s="92">
        <v>0</v>
      </c>
      <c r="CI2" s="92">
        <v>0</v>
      </c>
      <c r="CJ2" s="92">
        <v>0</v>
      </c>
      <c r="CK2" s="92">
        <v>0</v>
      </c>
      <c r="CL2" s="92">
        <v>0</v>
      </c>
      <c r="CM2" s="92">
        <v>0</v>
      </c>
      <c r="CN2" s="92">
        <v>0</v>
      </c>
      <c r="CO2" s="92">
        <v>0</v>
      </c>
      <c r="CP2" s="92">
        <v>0</v>
      </c>
      <c r="CQ2" s="92">
        <v>0</v>
      </c>
      <c r="CR2" s="92">
        <v>0</v>
      </c>
      <c r="CS2" s="92">
        <v>0</v>
      </c>
      <c r="CT2" s="92">
        <v>0</v>
      </c>
      <c r="CU2" s="92">
        <v>0</v>
      </c>
      <c r="CV2" s="92">
        <v>0</v>
      </c>
      <c r="CW2" s="92">
        <v>0</v>
      </c>
      <c r="CX2" s="92">
        <v>0</v>
      </c>
      <c r="CY2" s="92">
        <v>0</v>
      </c>
      <c r="CZ2" s="92">
        <v>0</v>
      </c>
      <c r="DA2" s="92">
        <v>0</v>
      </c>
      <c r="DB2" s="92">
        <v>0</v>
      </c>
      <c r="DC2" s="92">
        <v>0</v>
      </c>
      <c r="DD2" s="92">
        <v>0</v>
      </c>
      <c r="DE2" s="92">
        <v>0</v>
      </c>
      <c r="DF2" s="92">
        <v>0</v>
      </c>
      <c r="DG2" s="92">
        <v>0</v>
      </c>
      <c r="DH2" s="92">
        <v>0</v>
      </c>
      <c r="DI2" s="92">
        <v>0</v>
      </c>
      <c r="DJ2" s="92">
        <v>0</v>
      </c>
      <c r="DK2" s="92">
        <v>0</v>
      </c>
      <c r="DL2" s="92">
        <v>0</v>
      </c>
      <c r="DM2" s="92">
        <v>0</v>
      </c>
      <c r="DN2" s="92">
        <v>0</v>
      </c>
      <c r="DO2" s="92">
        <v>0</v>
      </c>
      <c r="DP2" s="92">
        <v>0</v>
      </c>
      <c r="DQ2" s="92">
        <v>0</v>
      </c>
      <c r="DR2" s="92">
        <v>0</v>
      </c>
      <c r="DS2" s="92">
        <v>0</v>
      </c>
      <c r="DT2" s="92">
        <v>0</v>
      </c>
      <c r="DU2" s="92">
        <v>0</v>
      </c>
      <c r="DV2" s="92">
        <v>0</v>
      </c>
      <c r="DW2" s="92">
        <v>0</v>
      </c>
      <c r="DX2" s="92">
        <v>0</v>
      </c>
      <c r="DY2" s="92">
        <v>0</v>
      </c>
      <c r="DZ2" s="92">
        <v>0</v>
      </c>
      <c r="EA2" s="92">
        <v>0</v>
      </c>
      <c r="EB2" s="92">
        <v>0</v>
      </c>
      <c r="EC2" s="92">
        <v>0</v>
      </c>
      <c r="ED2" s="92">
        <v>0</v>
      </c>
      <c r="EE2" s="92">
        <v>0</v>
      </c>
      <c r="EF2" s="92">
        <v>0</v>
      </c>
      <c r="EG2" s="92">
        <v>0</v>
      </c>
      <c r="EH2" s="92">
        <v>0</v>
      </c>
      <c r="EI2" s="92">
        <v>0</v>
      </c>
      <c r="EJ2" s="92">
        <v>0</v>
      </c>
      <c r="EK2" s="92">
        <v>0</v>
      </c>
      <c r="EL2" s="92">
        <v>0</v>
      </c>
      <c r="EM2" s="92">
        <v>0</v>
      </c>
      <c r="EN2" s="92">
        <v>0</v>
      </c>
      <c r="EO2" s="92">
        <v>0</v>
      </c>
      <c r="EP2" s="92">
        <v>0</v>
      </c>
      <c r="EQ2" s="92">
        <v>0</v>
      </c>
      <c r="ER2" s="92">
        <v>0</v>
      </c>
      <c r="ES2" s="92">
        <v>0</v>
      </c>
      <c r="ET2" s="92">
        <v>0</v>
      </c>
      <c r="EU2" s="92">
        <v>0</v>
      </c>
      <c r="EV2" s="92">
        <v>0</v>
      </c>
      <c r="EW2" s="92">
        <v>0</v>
      </c>
      <c r="EX2" s="92">
        <v>0</v>
      </c>
      <c r="EY2" s="92">
        <v>0</v>
      </c>
      <c r="EZ2" s="92">
        <v>0</v>
      </c>
      <c r="FA2" s="92">
        <v>0</v>
      </c>
      <c r="FB2" s="92">
        <v>0</v>
      </c>
      <c r="FC2" s="92">
        <v>0</v>
      </c>
      <c r="FD2" s="92">
        <v>0</v>
      </c>
      <c r="FE2" s="92">
        <v>0</v>
      </c>
      <c r="FF2" s="92">
        <v>0</v>
      </c>
      <c r="FG2" s="92">
        <v>0</v>
      </c>
      <c r="FH2" s="92">
        <v>0</v>
      </c>
      <c r="FI2" s="92">
        <v>0</v>
      </c>
      <c r="FJ2" s="92">
        <v>0</v>
      </c>
      <c r="FK2" s="92">
        <v>0</v>
      </c>
      <c r="FL2" s="92">
        <v>0</v>
      </c>
      <c r="FM2" s="92">
        <v>0</v>
      </c>
      <c r="FN2" s="92">
        <v>0</v>
      </c>
      <c r="FO2" s="92">
        <v>0</v>
      </c>
      <c r="FP2" s="92">
        <v>0</v>
      </c>
      <c r="FQ2" s="92">
        <v>0</v>
      </c>
      <c r="FR2" s="92">
        <v>0</v>
      </c>
      <c r="FS2" s="92">
        <v>0</v>
      </c>
      <c r="FT2" s="92">
        <v>0</v>
      </c>
      <c r="FU2" s="92">
        <v>0</v>
      </c>
      <c r="FV2" s="92">
        <v>0</v>
      </c>
      <c r="FW2" s="92">
        <v>0</v>
      </c>
      <c r="FX2" s="92">
        <v>0</v>
      </c>
      <c r="FY2" s="92">
        <v>0</v>
      </c>
      <c r="FZ2" s="92">
        <v>0</v>
      </c>
      <c r="GA2" s="92">
        <v>0</v>
      </c>
      <c r="GB2" s="92">
        <v>0</v>
      </c>
      <c r="GC2" s="92">
        <v>0</v>
      </c>
      <c r="GD2" s="92">
        <v>0</v>
      </c>
      <c r="GE2" s="92">
        <v>0</v>
      </c>
      <c r="GF2" s="92">
        <v>589004093</v>
      </c>
      <c r="GG2" s="47" t="s">
        <v>623</v>
      </c>
      <c r="GH2" s="47" t="s">
        <v>624</v>
      </c>
      <c r="GI2" s="93">
        <v>5124994458</v>
      </c>
      <c r="GJ2" s="47" t="s">
        <v>625</v>
      </c>
      <c r="GK2" s="47" t="s">
        <v>626</v>
      </c>
      <c r="GL2" s="47" t="s">
        <v>627</v>
      </c>
      <c r="GM2" s="93">
        <v>5124994213</v>
      </c>
      <c r="GN2" s="47" t="s">
        <v>628</v>
      </c>
      <c r="GO2" s="92" t="str" cm="1">
        <f t="array" ref="GO2">IFERROR(_xlfn.IFS(ResearchInput[[#This Row],[Type]]="HRI",SUMIFS('FTSE | FTFE'!$P$8:$P$77,'FTSE | FTFE'!$H$8:$H$77,A2),ResearchInput[[#This Row],[Type]]="UNIV",SUMIFS('FTSE | FTFE'!$P$104:$P$139,'FTSE | FTFE'!$H$104:$H$139,A2),OR(ResearchInput[[#This Row],[Type]]="TSTC",ResearchInput[[#This Row],[Type]]="LSC"),SUMIFS('FTSE | FTFE'!$O$88:$O$96,'FTSE | FTFE'!$H$88:$H$96,A2),ResearchInput[[#This Row],[Type]]="AHM",SUMIFS(Hidden!$H$43:$H$46,Hidden!$G$42:$G$45,A2)),"N/A")</f>
        <v>N/A</v>
      </c>
      <c r="GP2" s="92" t="str" cm="1">
        <f t="array" ref="GP2">IFERROR(_xlfn.IFS(ResearchInput[[#This Row],[Type]]="HRI",SUMIFS('FTSE | FTFE'!$Q$8:$Q$77,'FTSE | FTFE'!$H$8:$H$77,A2),ResearchInput[[#This Row],[Type]]="UNIV",SUMIFS('FTSE | FTFE'!$Q$104:$Q$139,'FTSE | FTFE'!$H$104:$H$139,A2),OR(ResearchInput[[#This Row],[Type]]="TSTC",ResearchInput[[#This Row],[Type]]="LSC"),SUMIFS('FTSE | FTFE'!$P$88:$P$96,'FTSE | FTFE'!$H$88:$H$96,A2)),"N/A")</f>
        <v>N/A</v>
      </c>
      <c r="GQ2" s="92">
        <v>0</v>
      </c>
      <c r="GR2" s="92">
        <f>SUM(ResearchInput[[#This Row],[Fed.Comp]],ResearchInput[[#This Row],[Fed.Eng]],ResearchInput[[#This Row],[Fed.Geo]],ResearchInput[[#This Row],[Fed.Life]],ResearchInput[[#This Row],[Fed.Math]],ResearchInput[[#This Row],[Fed.Phys]],ResearchInput[[#This Row],[Fed.Psyc]],ResearchInput[[#This Row],[Fed.Soc]],ResearchInput[[#This Row],[Fed.Othr]],ResearchInput[[#This Row],[Fed.Non]])</f>
        <v>0</v>
      </c>
      <c r="GS2" s="92">
        <f>SUM(ResearchInput[[#This Row],[St.Comp]],ResearchInput[[#This Row],[St.Eng]],ResearchInput[[#This Row],[St.Geo]],ResearchInput[[#This Row],[St.Life]],ResearchInput[[#This Row],[St.Math]],ResearchInput[[#This Row],[St.Phys]],ResearchInput[[#This Row],[St.Psyc]],ResearchInput[[#This Row],[St.Soc]],ResearchInput[[#This Row],[St.Othr]],ResearchInput[[#This Row],[St.Non]])</f>
        <v>0</v>
      </c>
      <c r="GT2" s="92">
        <f>SUM(ResearchInput[[#This Row],[St.C&amp;G.Comp]],ResearchInput[[#This Row],[St.C&amp;G.Eng]],ResearchInput[[#This Row],[St.C&amp;G.Geo]],ResearchInput[[#This Row],[St.C&amp;G.Life]],ResearchInput[[#This Row],[St.C&amp;G.Math]],ResearchInput[[#This Row],[St.C&amp;G.Phys]],ResearchInput[[#This Row],[St.C&amp;G.Psyc]],ResearchInput[[#This Row],[St.C&amp;G.Soc]],ResearchInput[[#This Row],[St.C&amp;G.Othr]],ResearchInput[[#This Row],[St.C&amp;G.Non]])</f>
        <v>0</v>
      </c>
      <c r="GU2" s="92">
        <f>SUM(ResearchInput[[#This Row],[St.All.Comp]],ResearchInput[[#This Row],[St.All.Eng]],ResearchInput[[#This Row],[St.All.Geo]],ResearchInput[[#This Row],[St.All.Life]],ResearchInput[[#This Row],[St.All.Math]],ResearchInput[[#This Row],[St.All.Phys]],ResearchInput[[#This Row],[St.All.Psyc]],ResearchInput[[#This Row],[St.All.Soc]],ResearchInput[[#This Row],[St.All.Othr]],ResearchInput[[#This Row],[St.All.Non]])</f>
        <v>0</v>
      </c>
      <c r="GV2" s="92">
        <f>SUM(ResearchInput[[#This Row],[Inst.Comp]],ResearchInput[[#This Row],[Inst.Eng]],ResearchInput[[#This Row],[Inst.Geo]],ResearchInput[[#This Row],[Inst.Life]],ResearchInput[[#This Row],[Inst.Math]],ResearchInput[[#This Row],[Inst.Phys]],ResearchInput[[#This Row],[Inst.Psyc]],ResearchInput[[#This Row],[Inst.Soc]],ResearchInput[[#This Row],[Inst.Othr]],ResearchInput[[#This Row],[Inst.Non]])</f>
        <v>0</v>
      </c>
      <c r="GW2" s="92">
        <f>SUM(ResearchInput[[#This Row],[P4P.Comp]],ResearchInput[[#This Row],[P4P.Eng]],ResearchInput[[#This Row],[P4P.Geo]],ResearchInput[[#This Row],[P4P.Life]],ResearchInput[[#This Row],[P4P.Math]],ResearchInput[[#This Row],[P4P.Phys]],ResearchInput[[#This Row],[P4P.Psyc]],ResearchInput[[#This Row],[P4P.Soc]],ResearchInput[[#This Row],[P4P.Othr]],ResearchInput[[#This Row],[P4P.Non]])</f>
        <v>0</v>
      </c>
      <c r="GX2" s="92">
        <f>SUM(ResearchInput[[#This Row],[PNP.Comp]],ResearchInput[[#This Row],[PNP.Eng]],ResearchInput[[#This Row],[PNP.Geo]],ResearchInput[[#This Row],[PNP.Life]],ResearchInput[[#This Row],[PNP.Math]],ResearchInput[[#This Row],[PNP.Phys]],ResearchInput[[#This Row],[PNP.Psyc]],ResearchInput[[#This Row],[PNP.Soc]],ResearchInput[[#This Row],[PNP.Othr]],ResearchInput[[#This Row],[PNP.Non]])</f>
        <v>0</v>
      </c>
      <c r="GY2" s="92">
        <f>SUM(ResearchInput[[#This Row],[P.All.Comp]],ResearchInput[[#This Row],[P.All.Eng]],ResearchInput[[#This Row],[P.All.Geo]],ResearchInput[[#This Row],[P.All.Life]],ResearchInput[[#This Row],[P.All.Math]],ResearchInput[[#This Row],[P.All.Phys]],ResearchInput[[#This Row],[P.All.Psyc]],ResearchInput[[#This Row],[P.All.Soc]],ResearchInput[[#This Row],[P.All.Othr]],ResearchInput[[#This Row],[P.All.Non]])</f>
        <v>0</v>
      </c>
    </row>
    <row r="3" spans="1:207" s="47" customFormat="1" ht="27" customHeight="1" x14ac:dyDescent="0.25">
      <c r="A3" s="34" t="s">
        <v>197</v>
      </c>
      <c r="B3" s="34" t="s">
        <v>671</v>
      </c>
      <c r="C3" s="35" t="s">
        <v>682</v>
      </c>
      <c r="D3" s="35" t="s">
        <v>673</v>
      </c>
      <c r="E3" s="90">
        <v>101</v>
      </c>
      <c r="F3" s="91" t="s">
        <v>716</v>
      </c>
      <c r="G3" s="35" t="s">
        <v>694</v>
      </c>
      <c r="H3" s="96">
        <v>3656</v>
      </c>
      <c r="I3" s="92">
        <v>43606751</v>
      </c>
      <c r="J3" s="92">
        <v>55171809</v>
      </c>
      <c r="K3" s="92">
        <v>6598350</v>
      </c>
      <c r="L3" s="92">
        <v>126589</v>
      </c>
      <c r="M3" s="92">
        <v>35279135</v>
      </c>
      <c r="N3" s="92">
        <v>4011370</v>
      </c>
      <c r="O3" s="92">
        <v>7397414</v>
      </c>
      <c r="P3" s="92">
        <v>376856</v>
      </c>
      <c r="Q3" s="92">
        <v>-609010</v>
      </c>
      <c r="R3" s="92">
        <v>-20801</v>
      </c>
      <c r="S3" s="92">
        <v>0</v>
      </c>
      <c r="T3" s="92">
        <v>0</v>
      </c>
      <c r="U3" s="92">
        <v>-7869</v>
      </c>
      <c r="V3" s="92">
        <v>-33577</v>
      </c>
      <c r="W3" s="92">
        <v>-534596</v>
      </c>
      <c r="X3" s="92">
        <v>0</v>
      </c>
      <c r="Y3" s="92">
        <v>-2594856</v>
      </c>
      <c r="Z3" s="92">
        <v>0</v>
      </c>
      <c r="AA3" s="92">
        <v>0</v>
      </c>
      <c r="AB3" s="92">
        <v>0</v>
      </c>
      <c r="AC3" s="92">
        <v>0</v>
      </c>
      <c r="AD3" s="92">
        <v>0</v>
      </c>
      <c r="AE3" s="92">
        <v>0</v>
      </c>
      <c r="AF3" s="92">
        <v>0</v>
      </c>
      <c r="AG3" s="92">
        <v>14722491</v>
      </c>
      <c r="AH3" s="92">
        <v>0</v>
      </c>
      <c r="AI3" s="92">
        <v>-366559</v>
      </c>
      <c r="AJ3" s="92">
        <v>24944</v>
      </c>
      <c r="AK3" s="92">
        <v>0</v>
      </c>
      <c r="AL3" s="92">
        <v>961138</v>
      </c>
      <c r="AM3" s="92">
        <v>653826</v>
      </c>
      <c r="AN3" s="92">
        <v>193558</v>
      </c>
      <c r="AO3" s="92">
        <v>5191970</v>
      </c>
      <c r="AP3" s="92">
        <v>6538470</v>
      </c>
      <c r="AQ3" s="92">
        <v>222106</v>
      </c>
      <c r="AR3" s="92">
        <v>0</v>
      </c>
      <c r="AS3" s="92">
        <v>5460617</v>
      </c>
      <c r="AT3" s="92">
        <v>799680</v>
      </c>
      <c r="AU3" s="92">
        <v>0</v>
      </c>
      <c r="AV3" s="92">
        <v>0</v>
      </c>
      <c r="AW3" s="92">
        <v>0</v>
      </c>
      <c r="AX3" s="92">
        <v>0</v>
      </c>
      <c r="AY3" s="92">
        <v>0</v>
      </c>
      <c r="AZ3" s="92">
        <v>0</v>
      </c>
      <c r="BA3" s="92">
        <v>0</v>
      </c>
      <c r="BB3" s="92">
        <v>0</v>
      </c>
      <c r="BC3" s="92">
        <v>0</v>
      </c>
      <c r="BD3" s="92">
        <v>0</v>
      </c>
      <c r="BE3" s="92">
        <v>0</v>
      </c>
      <c r="BF3" s="92">
        <v>0</v>
      </c>
      <c r="BG3" s="92">
        <v>0</v>
      </c>
      <c r="BH3" s="92">
        <v>0</v>
      </c>
      <c r="BI3" s="92">
        <v>0</v>
      </c>
      <c r="BJ3" s="92">
        <v>0</v>
      </c>
      <c r="BK3" s="92">
        <v>0</v>
      </c>
      <c r="BL3" s="92">
        <v>0</v>
      </c>
      <c r="BM3" s="92">
        <v>0</v>
      </c>
      <c r="BN3" s="92">
        <v>0</v>
      </c>
      <c r="BO3" s="92">
        <v>0</v>
      </c>
      <c r="BP3" s="92">
        <v>0</v>
      </c>
      <c r="BQ3" s="92">
        <v>0</v>
      </c>
      <c r="BR3" s="92">
        <v>0</v>
      </c>
      <c r="BS3" s="92">
        <v>0</v>
      </c>
      <c r="BT3" s="92">
        <v>0</v>
      </c>
      <c r="BU3" s="92">
        <v>5211639</v>
      </c>
      <c r="BV3" s="92">
        <v>5651401</v>
      </c>
      <c r="BW3" s="92">
        <v>215082</v>
      </c>
      <c r="BX3" s="92">
        <v>0</v>
      </c>
      <c r="BY3" s="92">
        <v>2825080</v>
      </c>
      <c r="BZ3" s="92">
        <v>322464</v>
      </c>
      <c r="CA3" s="92">
        <v>0</v>
      </c>
      <c r="CB3" s="92">
        <v>0</v>
      </c>
      <c r="CC3" s="92">
        <v>30112728</v>
      </c>
      <c r="CD3" s="92">
        <v>22589249</v>
      </c>
      <c r="CE3" s="92">
        <v>5166953</v>
      </c>
      <c r="CF3" s="92">
        <v>106397</v>
      </c>
      <c r="CG3" s="92">
        <v>9212841</v>
      </c>
      <c r="CH3" s="92">
        <v>4308949</v>
      </c>
      <c r="CI3" s="92">
        <v>3856804</v>
      </c>
      <c r="CJ3" s="92">
        <v>118459</v>
      </c>
      <c r="CK3" s="92">
        <v>318931</v>
      </c>
      <c r="CL3" s="92">
        <v>386698</v>
      </c>
      <c r="CM3" s="92">
        <v>0</v>
      </c>
      <c r="CN3" s="92">
        <v>0</v>
      </c>
      <c r="CO3" s="92">
        <v>481274</v>
      </c>
      <c r="CP3" s="92">
        <v>0</v>
      </c>
      <c r="CQ3" s="92">
        <v>163770</v>
      </c>
      <c r="CR3" s="92">
        <v>175405</v>
      </c>
      <c r="CS3" s="92">
        <v>8191940</v>
      </c>
      <c r="CT3" s="92">
        <v>6352742</v>
      </c>
      <c r="CU3" s="92">
        <v>122949</v>
      </c>
      <c r="CV3" s="92">
        <v>29890</v>
      </c>
      <c r="CW3" s="92">
        <v>10212875</v>
      </c>
      <c r="CX3" s="92">
        <v>341972</v>
      </c>
      <c r="CY3" s="92">
        <v>1024781</v>
      </c>
      <c r="CZ3" s="92">
        <v>195620</v>
      </c>
      <c r="DA3" s="92">
        <v>1604243</v>
      </c>
      <c r="DB3" s="92">
        <v>1491069</v>
      </c>
      <c r="DC3" s="92">
        <v>0</v>
      </c>
      <c r="DD3" s="92">
        <v>0</v>
      </c>
      <c r="DE3" s="92">
        <v>405790</v>
      </c>
      <c r="DF3" s="92">
        <v>735</v>
      </c>
      <c r="DG3" s="92">
        <v>3038</v>
      </c>
      <c r="DH3" s="92">
        <v>0</v>
      </c>
      <c r="DI3" s="92">
        <v>10914899</v>
      </c>
      <c r="DJ3" s="92">
        <v>1642506</v>
      </c>
      <c r="DK3" s="92">
        <v>833646</v>
      </c>
      <c r="DL3" s="92">
        <v>0</v>
      </c>
      <c r="DM3" s="92">
        <v>5582131</v>
      </c>
      <c r="DN3" s="92">
        <v>125133</v>
      </c>
      <c r="DO3" s="92">
        <v>601578</v>
      </c>
      <c r="DP3" s="92">
        <v>0</v>
      </c>
      <c r="DQ3" s="92">
        <v>649598</v>
      </c>
      <c r="DR3" s="92">
        <v>121809</v>
      </c>
      <c r="DS3" s="92">
        <v>0</v>
      </c>
      <c r="DT3" s="92">
        <v>0</v>
      </c>
      <c r="DU3" s="92">
        <v>1415394</v>
      </c>
      <c r="DV3" s="92">
        <v>76136</v>
      </c>
      <c r="DW3" s="92">
        <v>30475</v>
      </c>
      <c r="DX3" s="92">
        <v>0</v>
      </c>
      <c r="DY3" s="92">
        <v>77893</v>
      </c>
      <c r="DZ3" s="92">
        <v>1351469</v>
      </c>
      <c r="EA3" s="92">
        <v>0</v>
      </c>
      <c r="EB3" s="92">
        <v>0</v>
      </c>
      <c r="EC3" s="92">
        <v>85172</v>
      </c>
      <c r="ED3" s="92">
        <v>1600</v>
      </c>
      <c r="EE3" s="92">
        <v>50844</v>
      </c>
      <c r="EF3" s="92">
        <v>0</v>
      </c>
      <c r="EG3" s="92">
        <v>0</v>
      </c>
      <c r="EH3" s="92">
        <v>0</v>
      </c>
      <c r="EI3" s="92">
        <v>0</v>
      </c>
      <c r="EJ3" s="92">
        <v>0</v>
      </c>
      <c r="EK3" s="92">
        <v>0</v>
      </c>
      <c r="EL3" s="92">
        <v>0</v>
      </c>
      <c r="EM3" s="92">
        <v>0</v>
      </c>
      <c r="EN3" s="92">
        <v>0</v>
      </c>
      <c r="EO3" s="92">
        <v>3235475</v>
      </c>
      <c r="EP3" s="92">
        <v>22102535</v>
      </c>
      <c r="EQ3" s="92">
        <v>115267</v>
      </c>
      <c r="ER3" s="92">
        <v>15246</v>
      </c>
      <c r="ES3" s="92">
        <v>10511326</v>
      </c>
      <c r="ET3" s="92">
        <v>561622</v>
      </c>
      <c r="EU3" s="92">
        <v>1785354</v>
      </c>
      <c r="EV3" s="92">
        <v>80930</v>
      </c>
      <c r="EW3" s="92">
        <v>0</v>
      </c>
      <c r="EX3" s="92">
        <v>0</v>
      </c>
      <c r="EY3" s="92">
        <v>0</v>
      </c>
      <c r="EZ3" s="92">
        <v>0</v>
      </c>
      <c r="FA3" s="92">
        <v>0</v>
      </c>
      <c r="FB3" s="92">
        <v>0</v>
      </c>
      <c r="FC3" s="92">
        <v>0</v>
      </c>
      <c r="FD3" s="92">
        <v>0</v>
      </c>
      <c r="FE3" s="92">
        <v>0</v>
      </c>
      <c r="FF3" s="92">
        <v>0</v>
      </c>
      <c r="FG3" s="92">
        <v>0</v>
      </c>
      <c r="FH3" s="92">
        <v>0</v>
      </c>
      <c r="FI3" s="92">
        <v>0</v>
      </c>
      <c r="FJ3" s="92">
        <v>0</v>
      </c>
      <c r="FK3" s="92">
        <v>0</v>
      </c>
      <c r="FL3" s="92">
        <v>0</v>
      </c>
      <c r="FM3" s="92">
        <v>0</v>
      </c>
      <c r="FN3" s="92">
        <v>0</v>
      </c>
      <c r="FO3" s="92">
        <v>0</v>
      </c>
      <c r="FP3" s="92">
        <v>0</v>
      </c>
      <c r="FQ3" s="92">
        <v>0</v>
      </c>
      <c r="FR3" s="92">
        <v>0</v>
      </c>
      <c r="FS3" s="92">
        <v>0</v>
      </c>
      <c r="FT3" s="92">
        <v>0</v>
      </c>
      <c r="FU3" s="92">
        <v>0</v>
      </c>
      <c r="FV3" s="92">
        <v>0</v>
      </c>
      <c r="FW3" s="92">
        <v>0</v>
      </c>
      <c r="FX3" s="92">
        <v>0</v>
      </c>
      <c r="FY3" s="92">
        <v>0</v>
      </c>
      <c r="FZ3" s="92">
        <v>0</v>
      </c>
      <c r="GA3" s="92">
        <v>0</v>
      </c>
      <c r="GB3" s="92">
        <v>0</v>
      </c>
      <c r="GC3" s="92">
        <v>0</v>
      </c>
      <c r="GD3" s="92">
        <v>152568274</v>
      </c>
      <c r="GE3" s="92">
        <v>170781117</v>
      </c>
      <c r="GF3" s="92">
        <v>698960889</v>
      </c>
      <c r="GG3" s="47" t="s">
        <v>425</v>
      </c>
      <c r="GH3" s="47" t="s">
        <v>417</v>
      </c>
      <c r="GI3" s="93">
        <v>8172723330</v>
      </c>
      <c r="GJ3" s="47" t="s">
        <v>426</v>
      </c>
      <c r="GK3" s="47" t="s">
        <v>427</v>
      </c>
      <c r="GL3" s="47" t="s">
        <v>428</v>
      </c>
      <c r="GM3" s="93">
        <v>8172723449</v>
      </c>
      <c r="GN3" s="47" t="s">
        <v>429</v>
      </c>
      <c r="GO3" s="92" cm="1">
        <f t="array" ref="GO3">IFERROR(_xlfn.IFS(ResearchInput[[#This Row],[Type]]="HRI",SUMIFS('FTSE | FTFE'!$P$8:$P$77,'FTSE | FTFE'!$H$8:$H$77,A3),ResearchInput[[#This Row],[Type]]="UNIV",SUMIFS('FTSE | FTFE'!$P$104:$P$139,'FTSE | FTFE'!$H$104:$H$139,A3),OR(ResearchInput[[#This Row],[Type]]="TSTC",ResearchInput[[#This Row],[Type]]="LSC"),SUMIFS('FTSE | FTFE'!$O$88:$O$96,'FTSE | FTFE'!$H$88:$H$96,A3),ResearchInput[[#This Row],[Type]]="AHM",SUMIFS(Hidden!$H$43:$H$46,Hidden!$G$42:$G$45,A3)),"N/A")</f>
        <v>33319</v>
      </c>
      <c r="GP3" s="92" cm="1">
        <f t="array" ref="GP3">IFERROR(_xlfn.IFS(ResearchInput[[#This Row],[Type]]="HRI",SUMIFS('FTSE | FTFE'!$Q$8:$Q$77,'FTSE | FTFE'!$H$8:$H$77,A3),ResearchInput[[#This Row],[Type]]="UNIV",SUMIFS('FTSE | FTFE'!$Q$104:$Q$139,'FTSE | FTFE'!$H$104:$H$139,A3),OR(ResearchInput[[#This Row],[Type]]="TSTC",ResearchInput[[#This Row],[Type]]="LSC"),SUMIFS('FTSE | FTFE'!$P$88:$P$96,'FTSE | FTFE'!$H$88:$H$96,A3)),"N/A")</f>
        <v>344</v>
      </c>
      <c r="GQ3" s="92">
        <v>0</v>
      </c>
      <c r="GR3" s="92">
        <f>SUM(ResearchInput[[#This Row],[Fed.Comp]],ResearchInput[[#This Row],[Fed.Eng]],ResearchInput[[#This Row],[Fed.Geo]],ResearchInput[[#This Row],[Fed.Life]],ResearchInput[[#This Row],[Fed.Math]],ResearchInput[[#This Row],[Fed.Phys]],ResearchInput[[#This Row],[Fed.Psyc]],ResearchInput[[#This Row],[Fed.Soc]],ResearchInput[[#This Row],[Fed.Othr]],ResearchInput[[#This Row],[Fed.Non]])</f>
        <v>60317346</v>
      </c>
      <c r="GS3" s="92">
        <f>SUM(ResearchInput[[#This Row],[St.Comp]],ResearchInput[[#This Row],[St.Eng]],ResearchInput[[#This Row],[St.Geo]],ResearchInput[[#This Row],[St.Life]],ResearchInput[[#This Row],[St.Math]],ResearchInput[[#This Row],[St.Phys]],ResearchInput[[#This Row],[St.Psyc]],ResearchInput[[#This Row],[St.Soc]],ResearchInput[[#This Row],[St.Othr]],ResearchInput[[#This Row],[St.Non]])</f>
        <v>61689478</v>
      </c>
      <c r="GT3" s="92">
        <f>SUM(ResearchInput[[#This Row],[St.C&amp;G.Comp]],ResearchInput[[#This Row],[St.C&amp;G.Eng]],ResearchInput[[#This Row],[St.C&amp;G.Geo]],ResearchInput[[#This Row],[St.C&amp;G.Life]],ResearchInput[[#This Row],[St.C&amp;G.Math]],ResearchInput[[#This Row],[St.C&amp;G.Phys]],ResearchInput[[#This Row],[St.C&amp;G.Psyc]],ResearchInput[[#This Row],[St.C&amp;G.Soc]],ResearchInput[[#This Row],[St.C&amp;G.Othr]],ResearchInput[[#This Row],[St.C&amp;G.Non]])</f>
        <v>6453897</v>
      </c>
      <c r="GU3" s="92">
        <f>SUM(ResearchInput[[#This Row],[St.All.Comp]],ResearchInput[[#This Row],[St.All.Eng]],ResearchInput[[#This Row],[St.All.Geo]],ResearchInput[[#This Row],[St.All.Life]],ResearchInput[[#This Row],[St.All.Math]],ResearchInput[[#This Row],[St.All.Phys]],ResearchInput[[#This Row],[St.All.Psyc]],ResearchInput[[#This Row],[St.All.Soc]],ResearchInput[[#This Row],[St.All.Othr]],ResearchInput[[#This Row],[St.All.Non]])</f>
        <v>151533</v>
      </c>
      <c r="GV3" s="92">
        <f>SUM(ResearchInput[[#This Row],[Inst.Comp]],ResearchInput[[#This Row],[Inst.Eng]],ResearchInput[[#This Row],[Inst.Geo]],ResearchInput[[#This Row],[Inst.Life]],ResearchInput[[#This Row],[Inst.Math]],ResearchInput[[#This Row],[Inst.Phys]],ResearchInput[[#This Row],[Inst.Psyc]],ResearchInput[[#This Row],[Inst.Soc]],ResearchInput[[#This Row],[Inst.Othr]],ResearchInput[[#This Row],[Inst.Non]])</f>
        <v>40731883</v>
      </c>
      <c r="GW3" s="92">
        <f>SUM(ResearchInput[[#This Row],[P4P.Comp]],ResearchInput[[#This Row],[P4P.Eng]],ResearchInput[[#This Row],[P4P.Geo]],ResearchInput[[#This Row],[P4P.Life]],ResearchInput[[#This Row],[P4P.Math]],ResearchInput[[#This Row],[P4P.Phys]],ResearchInput[[#This Row],[P4P.Psyc]],ResearchInput[[#This Row],[P4P.Soc]],ResearchInput[[#This Row],[P4P.Othr]],ResearchInput[[#This Row],[P4P.Non]])</f>
        <v>5738611</v>
      </c>
      <c r="GX3" s="92">
        <f>SUM(ResearchInput[[#This Row],[PNP.Comp]],ResearchInput[[#This Row],[PNP.Eng]],ResearchInput[[#This Row],[PNP.Geo]],ResearchInput[[#This Row],[PNP.Life]],ResearchInput[[#This Row],[PNP.Math]],ResearchInput[[#This Row],[PNP.Phys]],ResearchInput[[#This Row],[PNP.Psyc]],ResearchInput[[#This Row],[PNP.Soc]],ResearchInput[[#This Row],[PNP.Othr]],ResearchInput[[#This Row],[PNP.Non]])</f>
        <v>7516644</v>
      </c>
      <c r="GY3" s="92">
        <f>SUM(ResearchInput[[#This Row],[P.All.Comp]],ResearchInput[[#This Row],[P.All.Eng]],ResearchInput[[#This Row],[P.All.Geo]],ResearchInput[[#This Row],[P.All.Life]],ResearchInput[[#This Row],[P.All.Math]],ResearchInput[[#This Row],[P.All.Phys]],ResearchInput[[#This Row],[P.All.Psyc]],ResearchInput[[#This Row],[P.All.Soc]],ResearchInput[[#This Row],[P.All.Othr]],ResearchInput[[#This Row],[P.All.Non]])</f>
        <v>570414</v>
      </c>
    </row>
    <row r="4" spans="1:207" s="47" customFormat="1" ht="27" customHeight="1" x14ac:dyDescent="0.25">
      <c r="A4" s="34" t="s">
        <v>478</v>
      </c>
      <c r="B4" s="34" t="s">
        <v>678</v>
      </c>
      <c r="C4" s="35" t="s">
        <v>682</v>
      </c>
      <c r="D4" s="35" t="s">
        <v>679</v>
      </c>
      <c r="E4" s="90">
        <v>102</v>
      </c>
      <c r="F4" s="35" t="s">
        <v>714</v>
      </c>
      <c r="G4" s="35" t="s">
        <v>553</v>
      </c>
      <c r="H4" s="96">
        <v>3658</v>
      </c>
      <c r="I4" s="92">
        <v>597100445</v>
      </c>
      <c r="J4" s="92">
        <v>45325067</v>
      </c>
      <c r="K4" s="92">
        <v>35599842</v>
      </c>
      <c r="L4" s="92">
        <v>0</v>
      </c>
      <c r="M4" s="92">
        <v>102510439</v>
      </c>
      <c r="N4" s="92">
        <v>39672385</v>
      </c>
      <c r="O4" s="92">
        <v>56925420</v>
      </c>
      <c r="P4" s="92">
        <v>45916554</v>
      </c>
      <c r="Q4" s="92">
        <v>0</v>
      </c>
      <c r="R4" s="92">
        <v>0</v>
      </c>
      <c r="S4" s="92">
        <v>0</v>
      </c>
      <c r="T4" s="92">
        <v>0</v>
      </c>
      <c r="U4" s="92">
        <v>0</v>
      </c>
      <c r="V4" s="92">
        <v>0</v>
      </c>
      <c r="W4" s="92">
        <v>0</v>
      </c>
      <c r="X4" s="92">
        <v>0</v>
      </c>
      <c r="Y4" s="92">
        <v>-4696378</v>
      </c>
      <c r="Z4" s="92">
        <v>0</v>
      </c>
      <c r="AA4" s="92">
        <v>-888242</v>
      </c>
      <c r="AB4" s="92">
        <v>0</v>
      </c>
      <c r="AC4" s="92">
        <v>0</v>
      </c>
      <c r="AD4" s="92">
        <v>0</v>
      </c>
      <c r="AE4" s="92">
        <v>0</v>
      </c>
      <c r="AF4" s="92">
        <v>0</v>
      </c>
      <c r="AG4" s="92">
        <v>181351240</v>
      </c>
      <c r="AH4" s="92">
        <v>0</v>
      </c>
      <c r="AI4" s="92">
        <v>4443982</v>
      </c>
      <c r="AJ4" s="92">
        <v>0</v>
      </c>
      <c r="AK4" s="92">
        <v>0</v>
      </c>
      <c r="AL4" s="92">
        <v>7188428</v>
      </c>
      <c r="AM4" s="92">
        <v>4699325</v>
      </c>
      <c r="AN4" s="92">
        <v>0</v>
      </c>
      <c r="AO4" s="92">
        <v>102133062</v>
      </c>
      <c r="AP4" s="92">
        <v>48071012</v>
      </c>
      <c r="AQ4" s="92">
        <v>1174085</v>
      </c>
      <c r="AR4" s="92">
        <v>0</v>
      </c>
      <c r="AS4" s="92">
        <v>14459852</v>
      </c>
      <c r="AT4" s="92">
        <v>415931</v>
      </c>
      <c r="AU4" s="92">
        <v>963345</v>
      </c>
      <c r="AV4" s="92">
        <v>2713374</v>
      </c>
      <c r="AW4" s="92">
        <v>0</v>
      </c>
      <c r="AX4" s="92">
        <v>0</v>
      </c>
      <c r="AY4" s="92">
        <v>0</v>
      </c>
      <c r="AZ4" s="92">
        <v>0</v>
      </c>
      <c r="BA4" s="92">
        <v>0</v>
      </c>
      <c r="BB4" s="92">
        <v>0</v>
      </c>
      <c r="BC4" s="92">
        <v>0</v>
      </c>
      <c r="BD4" s="92">
        <v>0</v>
      </c>
      <c r="BE4" s="92">
        <v>0</v>
      </c>
      <c r="BF4" s="92">
        <v>0</v>
      </c>
      <c r="BG4" s="92">
        <v>0</v>
      </c>
      <c r="BH4" s="92">
        <v>0</v>
      </c>
      <c r="BI4" s="92">
        <v>0</v>
      </c>
      <c r="BJ4" s="92">
        <v>0</v>
      </c>
      <c r="BK4" s="92">
        <v>0</v>
      </c>
      <c r="BL4" s="92">
        <v>0</v>
      </c>
      <c r="BM4" s="92">
        <v>0</v>
      </c>
      <c r="BN4" s="92">
        <v>0</v>
      </c>
      <c r="BO4" s="92">
        <v>0</v>
      </c>
      <c r="BP4" s="92">
        <v>0</v>
      </c>
      <c r="BQ4" s="92">
        <v>0</v>
      </c>
      <c r="BR4" s="92">
        <v>0</v>
      </c>
      <c r="BS4" s="92">
        <v>0</v>
      </c>
      <c r="BT4" s="92">
        <v>0</v>
      </c>
      <c r="BU4" s="92">
        <v>105262803</v>
      </c>
      <c r="BV4" s="92">
        <v>0</v>
      </c>
      <c r="BW4" s="92">
        <v>585129</v>
      </c>
      <c r="BX4" s="92">
        <v>0</v>
      </c>
      <c r="BY4" s="92">
        <v>18699206</v>
      </c>
      <c r="BZ4" s="92">
        <v>1482427</v>
      </c>
      <c r="CA4" s="92">
        <v>2309524</v>
      </c>
      <c r="CB4" s="92">
        <v>1423312</v>
      </c>
      <c r="CC4" s="92">
        <v>496004996</v>
      </c>
      <c r="CD4" s="92">
        <v>71766379</v>
      </c>
      <c r="CE4" s="92">
        <v>23080033</v>
      </c>
      <c r="CF4" s="92">
        <v>0</v>
      </c>
      <c r="CG4" s="92">
        <v>25248088</v>
      </c>
      <c r="CH4" s="92">
        <v>33121039</v>
      </c>
      <c r="CI4" s="92">
        <v>13149386</v>
      </c>
      <c r="CJ4" s="92">
        <v>11231265</v>
      </c>
      <c r="CK4" s="92">
        <v>21635667</v>
      </c>
      <c r="CL4" s="92">
        <v>6383581</v>
      </c>
      <c r="CM4" s="92">
        <v>2302625</v>
      </c>
      <c r="CN4" s="92">
        <v>0</v>
      </c>
      <c r="CO4" s="92">
        <v>5868752</v>
      </c>
      <c r="CP4" s="92">
        <v>2834839</v>
      </c>
      <c r="CQ4" s="92">
        <v>2546047</v>
      </c>
      <c r="CR4" s="92">
        <v>4485437</v>
      </c>
      <c r="CS4" s="92">
        <v>102683425</v>
      </c>
      <c r="CT4" s="92">
        <v>5695451</v>
      </c>
      <c r="CU4" s="92">
        <v>7236223</v>
      </c>
      <c r="CV4" s="92">
        <v>0</v>
      </c>
      <c r="CW4" s="92">
        <v>28572661</v>
      </c>
      <c r="CX4" s="92">
        <v>2750306</v>
      </c>
      <c r="CY4" s="92">
        <v>13766989</v>
      </c>
      <c r="CZ4" s="92">
        <v>7767087</v>
      </c>
      <c r="DA4" s="92">
        <v>31558157</v>
      </c>
      <c r="DB4" s="92">
        <v>22231</v>
      </c>
      <c r="DC4" s="92">
        <v>691313</v>
      </c>
      <c r="DD4" s="92">
        <v>0</v>
      </c>
      <c r="DE4" s="92">
        <v>2240225</v>
      </c>
      <c r="DF4" s="92">
        <v>552288</v>
      </c>
      <c r="DG4" s="92">
        <v>3524565</v>
      </c>
      <c r="DH4" s="92">
        <v>1352659</v>
      </c>
      <c r="DI4" s="92">
        <v>33869674</v>
      </c>
      <c r="DJ4" s="92">
        <v>6086408</v>
      </c>
      <c r="DK4" s="92">
        <v>2255272</v>
      </c>
      <c r="DL4" s="92">
        <v>0</v>
      </c>
      <c r="DM4" s="92">
        <v>14468303</v>
      </c>
      <c r="DN4" s="92">
        <v>1251012</v>
      </c>
      <c r="DO4" s="92">
        <v>7608507</v>
      </c>
      <c r="DP4" s="92">
        <v>3006027</v>
      </c>
      <c r="DQ4" s="92">
        <v>14700511</v>
      </c>
      <c r="DR4" s="92">
        <v>656592</v>
      </c>
      <c r="DS4" s="92">
        <v>599869</v>
      </c>
      <c r="DT4" s="92">
        <v>0</v>
      </c>
      <c r="DU4" s="92">
        <v>784379</v>
      </c>
      <c r="DV4" s="92">
        <v>290697</v>
      </c>
      <c r="DW4" s="92">
        <v>2033903</v>
      </c>
      <c r="DX4" s="92">
        <v>51027</v>
      </c>
      <c r="DY4" s="92">
        <v>32761730</v>
      </c>
      <c r="DZ4" s="92">
        <v>1273058</v>
      </c>
      <c r="EA4" s="92">
        <v>1858376</v>
      </c>
      <c r="EB4" s="92">
        <v>0</v>
      </c>
      <c r="EC4" s="92">
        <v>3376680</v>
      </c>
      <c r="ED4" s="92">
        <v>3616907</v>
      </c>
      <c r="EE4" s="92">
        <v>9154317</v>
      </c>
      <c r="EF4" s="92">
        <v>2785101</v>
      </c>
      <c r="EG4" s="92">
        <v>3289124</v>
      </c>
      <c r="EH4" s="92">
        <v>0</v>
      </c>
      <c r="EI4" s="92">
        <v>322691</v>
      </c>
      <c r="EJ4" s="92">
        <v>0</v>
      </c>
      <c r="EK4" s="92">
        <v>7858353</v>
      </c>
      <c r="EL4" s="92">
        <v>976374</v>
      </c>
      <c r="EM4" s="92">
        <v>368203</v>
      </c>
      <c r="EN4" s="92">
        <v>2785337</v>
      </c>
      <c r="EO4" s="92">
        <v>34122282</v>
      </c>
      <c r="EP4" s="92">
        <v>1512379</v>
      </c>
      <c r="EQ4" s="92">
        <v>1398136</v>
      </c>
      <c r="ER4" s="92">
        <v>0</v>
      </c>
      <c r="ES4" s="92">
        <v>9853644</v>
      </c>
      <c r="ET4" s="92">
        <v>400855</v>
      </c>
      <c r="EU4" s="92">
        <v>8126649</v>
      </c>
      <c r="EV4" s="92">
        <v>13742676</v>
      </c>
      <c r="EW4" s="92">
        <v>45916498</v>
      </c>
      <c r="EX4" s="92">
        <v>5403965</v>
      </c>
      <c r="EY4" s="92">
        <v>5067899</v>
      </c>
      <c r="EZ4" s="92">
        <v>0</v>
      </c>
      <c r="FA4" s="92">
        <v>14953894</v>
      </c>
      <c r="FB4" s="92">
        <v>1877704</v>
      </c>
      <c r="FC4" s="92">
        <v>8611451</v>
      </c>
      <c r="FD4" s="92">
        <v>5785112</v>
      </c>
      <c r="FE4" s="92">
        <v>534895</v>
      </c>
      <c r="FF4" s="92">
        <v>0</v>
      </c>
      <c r="FG4" s="92">
        <v>0</v>
      </c>
      <c r="FH4" s="92">
        <v>0</v>
      </c>
      <c r="FI4" s="92">
        <v>0</v>
      </c>
      <c r="FJ4" s="92">
        <v>0</v>
      </c>
      <c r="FK4" s="92">
        <v>200294</v>
      </c>
      <c r="FL4" s="92">
        <v>0</v>
      </c>
      <c r="FM4" s="92">
        <v>0</v>
      </c>
      <c r="FN4" s="92">
        <v>0</v>
      </c>
      <c r="FO4" s="92">
        <v>0</v>
      </c>
      <c r="FP4" s="92">
        <v>0</v>
      </c>
      <c r="FQ4" s="92">
        <v>0</v>
      </c>
      <c r="FR4" s="92">
        <v>0</v>
      </c>
      <c r="FS4" s="92">
        <v>0</v>
      </c>
      <c r="FT4" s="92">
        <v>0</v>
      </c>
      <c r="FU4" s="92">
        <v>0</v>
      </c>
      <c r="FV4" s="92">
        <v>0</v>
      </c>
      <c r="FW4" s="92">
        <v>0</v>
      </c>
      <c r="FX4" s="92">
        <v>0</v>
      </c>
      <c r="FY4" s="92">
        <v>0</v>
      </c>
      <c r="FZ4" s="92">
        <v>0</v>
      </c>
      <c r="GA4" s="92">
        <v>0</v>
      </c>
      <c r="GB4" s="92">
        <v>0</v>
      </c>
      <c r="GC4" s="92">
        <v>0</v>
      </c>
      <c r="GD4" s="92">
        <v>923050152</v>
      </c>
      <c r="GE4" s="92">
        <v>1087396193</v>
      </c>
      <c r="GF4" s="92">
        <v>3740427214</v>
      </c>
      <c r="GG4" s="47" t="s">
        <v>479</v>
      </c>
      <c r="GH4" s="47" t="s">
        <v>480</v>
      </c>
      <c r="GI4" s="93">
        <v>5124716527</v>
      </c>
      <c r="GJ4" s="47" t="s">
        <v>481</v>
      </c>
      <c r="GK4" s="47" t="s">
        <v>482</v>
      </c>
      <c r="GL4" s="47" t="s">
        <v>483</v>
      </c>
      <c r="GM4" s="93">
        <v>5122323566</v>
      </c>
      <c r="GN4" s="47" t="s">
        <v>484</v>
      </c>
      <c r="GO4" s="92" cm="1">
        <f t="array" ref="GO4">IFERROR(_xlfn.IFS(ResearchInput[[#This Row],[Type]]="HRI",SUMIFS('FTSE | FTFE'!$P$8:$P$77,'FTSE | FTFE'!$H$8:$H$77,A4),ResearchInput[[#This Row],[Type]]="UNIV",SUMIFS('FTSE | FTFE'!$P$104:$P$139,'FTSE | FTFE'!$H$104:$H$139,A4),OR(ResearchInput[[#This Row],[Type]]="TSTC",ResearchInput[[#This Row],[Type]]="LSC"),SUMIFS('FTSE | FTFE'!$O$88:$O$96,'FTSE | FTFE'!$H$88:$H$96,A4),ResearchInput[[#This Row],[Type]]="AHM",SUMIFS(Hidden!$H$43:$H$46,Hidden!$G$42:$G$45,A4)),"N/A")</f>
        <v>0</v>
      </c>
      <c r="GP4" s="92" t="str" cm="1">
        <f t="array" ref="GP4">IFERROR(_xlfn.IFS(ResearchInput[[#This Row],[Type]]="HRI",SUMIFS('FTSE | FTFE'!$Q$8:$Q$77,'FTSE | FTFE'!$H$8:$H$77,A4),ResearchInput[[#This Row],[Type]]="UNIV",SUMIFS('FTSE | FTFE'!$Q$104:$Q$139,'FTSE | FTFE'!$H$104:$H$139,A4),OR(ResearchInput[[#This Row],[Type]]="TSTC",ResearchInput[[#This Row],[Type]]="LSC"),SUMIFS('FTSE | FTFE'!$P$88:$P$96,'FTSE | FTFE'!$H$88:$H$96,A4)),"N/A")</f>
        <v>N/A</v>
      </c>
      <c r="GQ4" s="92">
        <v>0</v>
      </c>
      <c r="GR4" s="92">
        <f>SUM(ResearchInput[[#This Row],[Fed.Comp]],ResearchInput[[#This Row],[Fed.Eng]],ResearchInput[[#This Row],[Fed.Geo]],ResearchInput[[#This Row],[Fed.Life]],ResearchInput[[#This Row],[Fed.Math]],ResearchInput[[#This Row],[Fed.Phys]],ResearchInput[[#This Row],[Fed.Psyc]],ResearchInput[[#This Row],[Fed.Soc]],ResearchInput[[#This Row],[Fed.Othr]],ResearchInput[[#This Row],[Fed.Non]])</f>
        <v>875888369</v>
      </c>
      <c r="GS4" s="92">
        <f>SUM(ResearchInput[[#This Row],[St.Comp]],ResearchInput[[#This Row],[St.Eng]],ResearchInput[[#This Row],[St.Geo]],ResearchInput[[#This Row],[St.Life]],ResearchInput[[#This Row],[St.Math]],ResearchInput[[#This Row],[St.Phys]],ResearchInput[[#This Row],[St.Psyc]],ResearchInput[[#This Row],[St.Soc]],ResearchInput[[#This Row],[St.Othr]],ResearchInput[[#This Row],[St.Non]])</f>
        <v>93396079</v>
      </c>
      <c r="GT4" s="92">
        <f>SUM(ResearchInput[[#This Row],[St.C&amp;G.Comp]],ResearchInput[[#This Row],[St.C&amp;G.Eng]],ResearchInput[[#This Row],[St.C&amp;G.Geo]],ResearchInput[[#This Row],[St.C&amp;G.Life]],ResearchInput[[#This Row],[St.C&amp;G.Math]],ResearchInput[[#This Row],[St.C&amp;G.Phys]],ResearchInput[[#This Row],[St.C&amp;G.Psyc]],ResearchInput[[#This Row],[St.C&amp;G.Soc]],ResearchInput[[#This Row],[St.C&amp;G.Othr]],ResearchInput[[#This Row],[St.C&amp;G.Non]])</f>
        <v>40329667</v>
      </c>
      <c r="GU4" s="92">
        <f>SUM(ResearchInput[[#This Row],[St.All.Comp]],ResearchInput[[#This Row],[St.All.Eng]],ResearchInput[[#This Row],[St.All.Geo]],ResearchInput[[#This Row],[St.All.Life]],ResearchInput[[#This Row],[St.All.Math]],ResearchInput[[#This Row],[St.All.Phys]],ResearchInput[[#This Row],[St.All.Psyc]],ResearchInput[[#This Row],[St.All.Soc]],ResearchInput[[#This Row],[St.All.Othr]],ResearchInput[[#This Row],[St.All.Non]])</f>
        <v>0</v>
      </c>
      <c r="GV4" s="92">
        <f>SUM(ResearchInput[[#This Row],[Inst.Comp]],ResearchInput[[#This Row],[Inst.Eng]],ResearchInput[[#This Row],[Inst.Geo]],ResearchInput[[#This Row],[Inst.Life]],ResearchInput[[#This Row],[Inst.Math]],ResearchInput[[#This Row],[Inst.Phys]],ResearchInput[[#This Row],[Inst.Psyc]],ResearchInput[[#This Row],[Inst.Soc]],ResearchInput[[#This Row],[Inst.Othr]],ResearchInput[[#This Row],[Inst.Non]])</f>
        <v>116970291</v>
      </c>
      <c r="GW4" s="92">
        <f>SUM(ResearchInput[[#This Row],[P4P.Comp]],ResearchInput[[#This Row],[P4P.Eng]],ResearchInput[[#This Row],[P4P.Geo]],ResearchInput[[#This Row],[P4P.Life]],ResearchInput[[#This Row],[P4P.Math]],ResearchInput[[#This Row],[P4P.Phys]],ResearchInput[[#This Row],[P4P.Psyc]],ResearchInput[[#This Row],[P4P.Soc]],ResearchInput[[#This Row],[P4P.Othr]],ResearchInput[[#This Row],[P4P.Non]])</f>
        <v>47276744</v>
      </c>
      <c r="GX4" s="92">
        <f>SUM(ResearchInput[[#This Row],[PNP.Comp]],ResearchInput[[#This Row],[PNP.Eng]],ResearchInput[[#This Row],[PNP.Geo]],ResearchInput[[#This Row],[PNP.Life]],ResearchInput[[#This Row],[PNP.Math]],ResearchInput[[#This Row],[PNP.Phys]],ResearchInput[[#This Row],[PNP.Psyc]],ResearchInput[[#This Row],[PNP.Soc]],ResearchInput[[#This Row],[PNP.Othr]],ResearchInput[[#This Row],[PNP.Non]])</f>
        <v>62588090</v>
      </c>
      <c r="GY4" s="92">
        <f>SUM(ResearchInput[[#This Row],[P.All.Comp]],ResearchInput[[#This Row],[P.All.Eng]],ResearchInput[[#This Row],[P.All.Geo]],ResearchInput[[#This Row],[P.All.Life]],ResearchInput[[#This Row],[P.All.Math]],ResearchInput[[#This Row],[P.All.Phys]],ResearchInput[[#This Row],[P.All.Psyc]],ResearchInput[[#This Row],[P.All.Soc]],ResearchInput[[#This Row],[P.All.Othr]],ResearchInput[[#This Row],[P.All.Non]])</f>
        <v>48629928</v>
      </c>
    </row>
    <row r="5" spans="1:207" s="47" customFormat="1" ht="27" customHeight="1" x14ac:dyDescent="0.25">
      <c r="A5" s="34" t="s">
        <v>208</v>
      </c>
      <c r="B5" s="34" t="s">
        <v>671</v>
      </c>
      <c r="C5" s="35" t="s">
        <v>553</v>
      </c>
      <c r="D5" s="35" t="s">
        <v>673</v>
      </c>
      <c r="E5" s="94">
        <v>103</v>
      </c>
      <c r="F5" s="91" t="s">
        <v>716</v>
      </c>
      <c r="G5" s="35" t="s">
        <v>695</v>
      </c>
      <c r="H5" s="96">
        <v>3658</v>
      </c>
      <c r="I5" s="92">
        <v>578827550</v>
      </c>
      <c r="J5" s="92">
        <v>41809062</v>
      </c>
      <c r="K5" s="92">
        <v>33186717</v>
      </c>
      <c r="L5" s="92">
        <v>0</v>
      </c>
      <c r="M5" s="92">
        <v>88864836</v>
      </c>
      <c r="N5" s="92">
        <v>38641135</v>
      </c>
      <c r="O5" s="92">
        <v>50794600</v>
      </c>
      <c r="P5" s="92">
        <v>41857702</v>
      </c>
      <c r="Q5" s="92">
        <v>0</v>
      </c>
      <c r="R5" s="92">
        <v>0</v>
      </c>
      <c r="S5" s="92">
        <v>0</v>
      </c>
      <c r="T5" s="92">
        <v>0</v>
      </c>
      <c r="U5" s="92">
        <v>0</v>
      </c>
      <c r="V5" s="92">
        <v>0</v>
      </c>
      <c r="W5" s="92">
        <v>0</v>
      </c>
      <c r="X5" s="92">
        <v>0</v>
      </c>
      <c r="Y5" s="92">
        <v>-4696378</v>
      </c>
      <c r="Z5" s="92">
        <v>0</v>
      </c>
      <c r="AA5" s="92">
        <v>-888242</v>
      </c>
      <c r="AB5" s="92">
        <v>0</v>
      </c>
      <c r="AC5" s="92">
        <v>0</v>
      </c>
      <c r="AD5" s="92">
        <v>0</v>
      </c>
      <c r="AE5" s="92">
        <v>0</v>
      </c>
      <c r="AF5" s="92">
        <v>0</v>
      </c>
      <c r="AG5" s="92">
        <v>175559109</v>
      </c>
      <c r="AH5" s="92">
        <v>0</v>
      </c>
      <c r="AI5" s="92">
        <v>4238015</v>
      </c>
      <c r="AJ5" s="92">
        <v>0</v>
      </c>
      <c r="AK5" s="92">
        <v>0</v>
      </c>
      <c r="AL5" s="92">
        <v>6930084</v>
      </c>
      <c r="AM5" s="92">
        <v>4079168</v>
      </c>
      <c r="AN5" s="92">
        <v>0</v>
      </c>
      <c r="AO5" s="92">
        <v>102109565</v>
      </c>
      <c r="AP5" s="92">
        <v>48071012</v>
      </c>
      <c r="AQ5" s="92">
        <v>1174085</v>
      </c>
      <c r="AR5" s="92">
        <v>0</v>
      </c>
      <c r="AS5" s="92">
        <v>14395559</v>
      </c>
      <c r="AT5" s="92">
        <v>415931</v>
      </c>
      <c r="AU5" s="92">
        <v>900061</v>
      </c>
      <c r="AV5" s="92">
        <v>2666730</v>
      </c>
      <c r="AW5" s="92">
        <v>0</v>
      </c>
      <c r="AX5" s="92">
        <v>0</v>
      </c>
      <c r="AY5" s="92">
        <v>0</v>
      </c>
      <c r="AZ5" s="92">
        <v>0</v>
      </c>
      <c r="BA5" s="92">
        <v>0</v>
      </c>
      <c r="BB5" s="92">
        <v>0</v>
      </c>
      <c r="BC5" s="92">
        <v>0</v>
      </c>
      <c r="BD5" s="92">
        <v>0</v>
      </c>
      <c r="BE5" s="92">
        <v>0</v>
      </c>
      <c r="BF5" s="92">
        <v>0</v>
      </c>
      <c r="BG5" s="92">
        <v>0</v>
      </c>
      <c r="BH5" s="92">
        <v>0</v>
      </c>
      <c r="BI5" s="92">
        <v>0</v>
      </c>
      <c r="BJ5" s="92">
        <v>0</v>
      </c>
      <c r="BK5" s="92">
        <v>0</v>
      </c>
      <c r="BL5" s="92">
        <v>0</v>
      </c>
      <c r="BM5" s="92">
        <v>0</v>
      </c>
      <c r="BN5" s="92">
        <v>0</v>
      </c>
      <c r="BO5" s="92">
        <v>0</v>
      </c>
      <c r="BP5" s="92">
        <v>0</v>
      </c>
      <c r="BQ5" s="92">
        <v>0</v>
      </c>
      <c r="BR5" s="92">
        <v>0</v>
      </c>
      <c r="BS5" s="92">
        <v>0</v>
      </c>
      <c r="BT5" s="92">
        <v>0</v>
      </c>
      <c r="BU5" s="92">
        <v>105262803</v>
      </c>
      <c r="BV5" s="92">
        <v>0</v>
      </c>
      <c r="BW5" s="92">
        <v>585129</v>
      </c>
      <c r="BX5" s="92">
        <v>0</v>
      </c>
      <c r="BY5" s="92">
        <v>18699206</v>
      </c>
      <c r="BZ5" s="92">
        <v>1482427</v>
      </c>
      <c r="CA5" s="92">
        <v>2309524</v>
      </c>
      <c r="CB5" s="92">
        <v>1423312</v>
      </c>
      <c r="CC5" s="92">
        <v>496004996</v>
      </c>
      <c r="CD5" s="92">
        <v>71766379</v>
      </c>
      <c r="CE5" s="92">
        <v>23080033</v>
      </c>
      <c r="CF5" s="92">
        <v>0</v>
      </c>
      <c r="CG5" s="92">
        <v>25248088</v>
      </c>
      <c r="CH5" s="92">
        <v>33121039</v>
      </c>
      <c r="CI5" s="92">
        <v>13149386</v>
      </c>
      <c r="CJ5" s="92">
        <v>11231265</v>
      </c>
      <c r="CK5" s="92">
        <v>21635667</v>
      </c>
      <c r="CL5" s="92">
        <v>6383581</v>
      </c>
      <c r="CM5" s="92">
        <v>2302625</v>
      </c>
      <c r="CN5" s="92">
        <v>0</v>
      </c>
      <c r="CO5" s="92">
        <v>5868752</v>
      </c>
      <c r="CP5" s="92">
        <v>2834839</v>
      </c>
      <c r="CQ5" s="92">
        <v>2546047</v>
      </c>
      <c r="CR5" s="92">
        <v>4485437</v>
      </c>
      <c r="CS5" s="92">
        <v>78594902</v>
      </c>
      <c r="CT5" s="92">
        <v>2179446</v>
      </c>
      <c r="CU5" s="92">
        <v>4617131</v>
      </c>
      <c r="CV5" s="92">
        <v>0</v>
      </c>
      <c r="CW5" s="92">
        <v>14862765</v>
      </c>
      <c r="CX5" s="92">
        <v>1460712</v>
      </c>
      <c r="CY5" s="92">
        <v>6952728</v>
      </c>
      <c r="CZ5" s="92">
        <v>3661591</v>
      </c>
      <c r="DA5" s="92">
        <v>31558157</v>
      </c>
      <c r="DB5" s="92">
        <v>22231</v>
      </c>
      <c r="DC5" s="92">
        <v>691313</v>
      </c>
      <c r="DD5" s="92">
        <v>0</v>
      </c>
      <c r="DE5" s="92">
        <v>2240225</v>
      </c>
      <c r="DF5" s="92">
        <v>552288</v>
      </c>
      <c r="DG5" s="92">
        <v>3524565</v>
      </c>
      <c r="DH5" s="92">
        <v>1352659</v>
      </c>
      <c r="DI5" s="92">
        <v>33869674</v>
      </c>
      <c r="DJ5" s="92">
        <v>6086408</v>
      </c>
      <c r="DK5" s="92">
        <v>2255272</v>
      </c>
      <c r="DL5" s="92">
        <v>0</v>
      </c>
      <c r="DM5" s="92">
        <v>14468303</v>
      </c>
      <c r="DN5" s="92">
        <v>1251012</v>
      </c>
      <c r="DO5" s="92">
        <v>7608507</v>
      </c>
      <c r="DP5" s="92">
        <v>3006027</v>
      </c>
      <c r="DQ5" s="92">
        <v>14700511</v>
      </c>
      <c r="DR5" s="92">
        <v>656592</v>
      </c>
      <c r="DS5" s="92">
        <v>599869</v>
      </c>
      <c r="DT5" s="92">
        <v>0</v>
      </c>
      <c r="DU5" s="92">
        <v>784379</v>
      </c>
      <c r="DV5" s="92">
        <v>290697</v>
      </c>
      <c r="DW5" s="92">
        <v>2033903</v>
      </c>
      <c r="DX5" s="92">
        <v>51027</v>
      </c>
      <c r="DY5" s="92">
        <v>32761730</v>
      </c>
      <c r="DZ5" s="92">
        <v>1273058</v>
      </c>
      <c r="EA5" s="92">
        <v>1858376</v>
      </c>
      <c r="EB5" s="92">
        <v>0</v>
      </c>
      <c r="EC5" s="92">
        <v>3376680</v>
      </c>
      <c r="ED5" s="92">
        <v>3616907</v>
      </c>
      <c r="EE5" s="92">
        <v>9154317</v>
      </c>
      <c r="EF5" s="92">
        <v>2785101</v>
      </c>
      <c r="EG5" s="92">
        <v>3289124</v>
      </c>
      <c r="EH5" s="92">
        <v>0</v>
      </c>
      <c r="EI5" s="92">
        <v>322691</v>
      </c>
      <c r="EJ5" s="92">
        <v>0</v>
      </c>
      <c r="EK5" s="92">
        <v>7858353</v>
      </c>
      <c r="EL5" s="92">
        <v>976374</v>
      </c>
      <c r="EM5" s="92">
        <v>368203</v>
      </c>
      <c r="EN5" s="92">
        <v>2785337</v>
      </c>
      <c r="EO5" s="92">
        <v>34122282</v>
      </c>
      <c r="EP5" s="92">
        <v>1512379</v>
      </c>
      <c r="EQ5" s="92">
        <v>1398136</v>
      </c>
      <c r="ER5" s="92">
        <v>0</v>
      </c>
      <c r="ES5" s="92">
        <v>9853644</v>
      </c>
      <c r="ET5" s="92">
        <v>400855</v>
      </c>
      <c r="EU5" s="92">
        <v>8126649</v>
      </c>
      <c r="EV5" s="92">
        <v>13742676</v>
      </c>
      <c r="EW5" s="92">
        <v>21827975</v>
      </c>
      <c r="EX5" s="92">
        <v>1887960</v>
      </c>
      <c r="EY5" s="92">
        <v>2448807</v>
      </c>
      <c r="EZ5" s="92">
        <v>0</v>
      </c>
      <c r="FA5" s="92">
        <v>1243998</v>
      </c>
      <c r="FB5" s="92">
        <v>588110</v>
      </c>
      <c r="FC5" s="92">
        <v>1797190</v>
      </c>
      <c r="FD5" s="92">
        <v>1679616</v>
      </c>
      <c r="FE5" s="92">
        <v>534895</v>
      </c>
      <c r="FF5" s="92">
        <v>0</v>
      </c>
      <c r="FG5" s="92">
        <v>0</v>
      </c>
      <c r="FH5" s="92">
        <v>0</v>
      </c>
      <c r="FI5" s="92">
        <v>0</v>
      </c>
      <c r="FJ5" s="92">
        <v>0</v>
      </c>
      <c r="FK5" s="92">
        <v>-6741</v>
      </c>
      <c r="FL5" s="92">
        <v>0</v>
      </c>
      <c r="FM5" s="92">
        <v>0</v>
      </c>
      <c r="FN5" s="92">
        <v>0</v>
      </c>
      <c r="FO5" s="92">
        <v>0</v>
      </c>
      <c r="FP5" s="92">
        <v>0</v>
      </c>
      <c r="FQ5" s="92">
        <v>0</v>
      </c>
      <c r="FR5" s="92">
        <v>0</v>
      </c>
      <c r="FS5" s="92">
        <v>0</v>
      </c>
      <c r="FT5" s="92">
        <v>0</v>
      </c>
      <c r="FU5" s="92">
        <v>0</v>
      </c>
      <c r="FV5" s="92">
        <v>0</v>
      </c>
      <c r="FW5" s="92">
        <v>0</v>
      </c>
      <c r="FX5" s="92">
        <v>0</v>
      </c>
      <c r="FY5" s="92">
        <v>0</v>
      </c>
      <c r="FZ5" s="92">
        <v>0</v>
      </c>
      <c r="GA5" s="92">
        <v>0</v>
      </c>
      <c r="GB5" s="92">
        <v>0</v>
      </c>
      <c r="GC5" s="92">
        <v>0</v>
      </c>
      <c r="GD5" s="92">
        <v>873981602</v>
      </c>
      <c r="GE5" s="92">
        <v>1044059492</v>
      </c>
      <c r="GF5" s="92">
        <v>3366081151</v>
      </c>
      <c r="GG5" s="47" t="s">
        <v>479</v>
      </c>
      <c r="GH5" s="47" t="s">
        <v>480</v>
      </c>
      <c r="GI5" s="93">
        <v>5124716527</v>
      </c>
      <c r="GJ5" s="47" t="s">
        <v>481</v>
      </c>
      <c r="GK5" s="47" t="s">
        <v>482</v>
      </c>
      <c r="GL5" s="47" t="s">
        <v>483</v>
      </c>
      <c r="GM5" s="93">
        <v>5122323566</v>
      </c>
      <c r="GN5" s="47" t="s">
        <v>484</v>
      </c>
      <c r="GO5" s="92" cm="1">
        <f t="array" ref="GO5">IFERROR(_xlfn.IFS(ResearchInput[[#This Row],[Type]]="HRI",SUMIFS('FTSE | FTFE'!$P$8:$P$77,'FTSE | FTFE'!$H$8:$H$77,A5),ResearchInput[[#This Row],[Type]]="UNIV",SUMIFS('FTSE | FTFE'!$P$104:$P$139,'FTSE | FTFE'!$H$104:$H$139,A5),OR(ResearchInput[[#This Row],[Type]]="TSTC",ResearchInput[[#This Row],[Type]]="LSC"),SUMIFS('FTSE | FTFE'!$O$88:$O$96,'FTSE | FTFE'!$H$88:$H$96,A5),ResearchInput[[#This Row],[Type]]="AHM",SUMIFS(Hidden!$H$43:$H$46,Hidden!$G$42:$G$45,A5)),"N/A")</f>
        <v>50913</v>
      </c>
      <c r="GP5" s="92" cm="1">
        <f t="array" ref="GP5">IFERROR(_xlfn.IFS(ResearchInput[[#This Row],[Type]]="HRI",SUMIFS('FTSE | FTFE'!$Q$8:$Q$77,'FTSE | FTFE'!$H$8:$H$77,A5),ResearchInput[[#This Row],[Type]]="UNIV",SUMIFS('FTSE | FTFE'!$Q$104:$Q$139,'FTSE | FTFE'!$H$104:$H$139,A5),OR(ResearchInput[[#This Row],[Type]]="TSTC",ResearchInput[[#This Row],[Type]]="LSC"),SUMIFS('FTSE | FTFE'!$P$88:$P$96,'FTSE | FTFE'!$H$88:$H$96,A5)),"N/A")</f>
        <v>1622</v>
      </c>
      <c r="GQ5" s="92">
        <v>0</v>
      </c>
      <c r="GR5" s="92">
        <f>SUM(ResearchInput[[#This Row],[Fed.Comp]],ResearchInput[[#This Row],[Fed.Eng]],ResearchInput[[#This Row],[Fed.Geo]],ResearchInput[[#This Row],[Fed.Life]],ResearchInput[[#This Row],[Fed.Math]],ResearchInput[[#This Row],[Fed.Phys]],ResearchInput[[#This Row],[Fed.Psyc]],ResearchInput[[#This Row],[Fed.Soc]],ResearchInput[[#This Row],[Fed.Othr]],ResearchInput[[#This Row],[Fed.Non]])</f>
        <v>851799846</v>
      </c>
      <c r="GS5" s="92">
        <f>SUM(ResearchInput[[#This Row],[St.Comp]],ResearchInput[[#This Row],[St.Eng]],ResearchInput[[#This Row],[St.Geo]],ResearchInput[[#This Row],[St.Life]],ResearchInput[[#This Row],[St.Math]],ResearchInput[[#This Row],[St.Phys]],ResearchInput[[#This Row],[St.Psyc]],ResearchInput[[#This Row],[St.Soc]],ResearchInput[[#This Row],[St.Othr]],ResearchInput[[#This Row],[St.Non]])</f>
        <v>89880074</v>
      </c>
      <c r="GT5" s="92">
        <f>SUM(ResearchInput[[#This Row],[St.C&amp;G.Comp]],ResearchInput[[#This Row],[St.C&amp;G.Eng]],ResearchInput[[#This Row],[St.C&amp;G.Geo]],ResearchInput[[#This Row],[St.C&amp;G.Life]],ResearchInput[[#This Row],[St.C&amp;G.Math]],ResearchInput[[#This Row],[St.C&amp;G.Phys]],ResearchInput[[#This Row],[St.C&amp;G.Psyc]],ResearchInput[[#This Row],[St.C&amp;G.Soc]],ResearchInput[[#This Row],[St.C&amp;G.Othr]],ResearchInput[[#This Row],[St.C&amp;G.Non]])</f>
        <v>37710575</v>
      </c>
      <c r="GU5" s="92">
        <f>SUM(ResearchInput[[#This Row],[St.All.Comp]],ResearchInput[[#This Row],[St.All.Eng]],ResearchInput[[#This Row],[St.All.Geo]],ResearchInput[[#This Row],[St.All.Life]],ResearchInput[[#This Row],[St.All.Math]],ResearchInput[[#This Row],[St.All.Phys]],ResearchInput[[#This Row],[St.All.Psyc]],ResearchInput[[#This Row],[St.All.Soc]],ResearchInput[[#This Row],[St.All.Othr]],ResearchInput[[#This Row],[St.All.Non]])</f>
        <v>0</v>
      </c>
      <c r="GV5" s="92">
        <f>SUM(ResearchInput[[#This Row],[Inst.Comp]],ResearchInput[[#This Row],[Inst.Eng]],ResearchInput[[#This Row],[Inst.Geo]],ResearchInput[[#This Row],[Inst.Life]],ResearchInput[[#This Row],[Inst.Math]],ResearchInput[[#This Row],[Inst.Phys]],ResearchInput[[#This Row],[Inst.Psyc]],ResearchInput[[#This Row],[Inst.Soc]],ResearchInput[[#This Row],[Inst.Othr]],ResearchInput[[#This Row],[Inst.Non]])</f>
        <v>103260395</v>
      </c>
      <c r="GW5" s="92">
        <f>SUM(ResearchInput[[#This Row],[P4P.Comp]],ResearchInput[[#This Row],[P4P.Eng]],ResearchInput[[#This Row],[P4P.Geo]],ResearchInput[[#This Row],[P4P.Life]],ResearchInput[[#This Row],[P4P.Math]],ResearchInput[[#This Row],[P4P.Phys]],ResearchInput[[#This Row],[P4P.Psyc]],ResearchInput[[#This Row],[P4P.Soc]],ResearchInput[[#This Row],[P4P.Othr]],ResearchInput[[#This Row],[P4P.Non]])</f>
        <v>45987150</v>
      </c>
      <c r="GX5" s="92">
        <f>SUM(ResearchInput[[#This Row],[PNP.Comp]],ResearchInput[[#This Row],[PNP.Eng]],ResearchInput[[#This Row],[PNP.Geo]],ResearchInput[[#This Row],[PNP.Life]],ResearchInput[[#This Row],[PNP.Math]],ResearchInput[[#This Row],[PNP.Phys]],ResearchInput[[#This Row],[PNP.Psyc]],ResearchInput[[#This Row],[PNP.Soc]],ResearchInput[[#This Row],[PNP.Othr]],ResearchInput[[#This Row],[PNP.Non]])</f>
        <v>55773829</v>
      </c>
      <c r="GY5" s="92">
        <f>SUM(ResearchInput[[#This Row],[P.All.Comp]],ResearchInput[[#This Row],[P.All.Eng]],ResearchInput[[#This Row],[P.All.Geo]],ResearchInput[[#This Row],[P.All.Life]],ResearchInput[[#This Row],[P.All.Math]],ResearchInput[[#This Row],[P.All.Phys]],ResearchInput[[#This Row],[P.All.Psyc]],ResearchInput[[#This Row],[P.All.Soc]],ResearchInput[[#This Row],[P.All.Othr]],ResearchInput[[#This Row],[P.All.Non]])</f>
        <v>44524432</v>
      </c>
    </row>
    <row r="6" spans="1:207" s="47" customFormat="1" ht="27" customHeight="1" x14ac:dyDescent="0.25">
      <c r="A6" s="34" t="s">
        <v>220</v>
      </c>
      <c r="B6" s="34" t="s">
        <v>671</v>
      </c>
      <c r="C6" s="35" t="s">
        <v>682</v>
      </c>
      <c r="D6" s="35" t="s">
        <v>673</v>
      </c>
      <c r="E6" s="94">
        <v>104</v>
      </c>
      <c r="F6" s="35" t="s">
        <v>714</v>
      </c>
      <c r="G6" s="35" t="s">
        <v>694</v>
      </c>
      <c r="H6" s="96">
        <v>9741</v>
      </c>
      <c r="I6" s="92">
        <v>61135554</v>
      </c>
      <c r="J6" s="92">
        <v>27058995</v>
      </c>
      <c r="K6" s="92">
        <v>3091795</v>
      </c>
      <c r="L6" s="92">
        <v>0</v>
      </c>
      <c r="M6" s="92">
        <v>28002911</v>
      </c>
      <c r="N6" s="92">
        <v>12766155</v>
      </c>
      <c r="O6" s="92">
        <v>19420273</v>
      </c>
      <c r="P6" s="92">
        <v>0</v>
      </c>
      <c r="Q6" s="92">
        <v>0</v>
      </c>
      <c r="R6" s="92">
        <v>0</v>
      </c>
      <c r="S6" s="92">
        <v>0</v>
      </c>
      <c r="T6" s="92">
        <v>0</v>
      </c>
      <c r="U6" s="92">
        <v>0</v>
      </c>
      <c r="V6" s="92">
        <v>0</v>
      </c>
      <c r="W6" s="92">
        <v>0</v>
      </c>
      <c r="X6" s="92">
        <v>0</v>
      </c>
      <c r="Y6" s="92">
        <v>-1848419</v>
      </c>
      <c r="Z6" s="92">
        <v>0</v>
      </c>
      <c r="AA6" s="92">
        <v>-447714</v>
      </c>
      <c r="AB6" s="92">
        <v>0</v>
      </c>
      <c r="AC6" s="92">
        <v>0</v>
      </c>
      <c r="AD6" s="92">
        <v>0</v>
      </c>
      <c r="AE6" s="92">
        <v>0</v>
      </c>
      <c r="AF6" s="92">
        <v>0</v>
      </c>
      <c r="AG6" s="92">
        <v>24448367</v>
      </c>
      <c r="AH6" s="92">
        <v>0</v>
      </c>
      <c r="AI6" s="92">
        <v>175693</v>
      </c>
      <c r="AJ6" s="92">
        <v>0</v>
      </c>
      <c r="AK6" s="92">
        <v>0</v>
      </c>
      <c r="AL6" s="92">
        <v>1774016</v>
      </c>
      <c r="AM6" s="92">
        <v>335660</v>
      </c>
      <c r="AN6" s="92">
        <v>0</v>
      </c>
      <c r="AO6" s="92">
        <v>5607717</v>
      </c>
      <c r="AP6" s="92">
        <v>301913</v>
      </c>
      <c r="AQ6" s="92">
        <v>136849</v>
      </c>
      <c r="AR6" s="92">
        <v>0</v>
      </c>
      <c r="AS6" s="92">
        <v>5261254</v>
      </c>
      <c r="AT6" s="92">
        <v>214159</v>
      </c>
      <c r="AU6" s="92">
        <v>206649</v>
      </c>
      <c r="AV6" s="92">
        <v>0</v>
      </c>
      <c r="AW6" s="92">
        <v>0</v>
      </c>
      <c r="AX6" s="92">
        <v>0</v>
      </c>
      <c r="AY6" s="92">
        <v>0</v>
      </c>
      <c r="AZ6" s="92">
        <v>0</v>
      </c>
      <c r="BA6" s="92">
        <v>0</v>
      </c>
      <c r="BB6" s="92">
        <v>0</v>
      </c>
      <c r="BC6" s="92">
        <v>0</v>
      </c>
      <c r="BD6" s="92">
        <v>0</v>
      </c>
      <c r="BE6" s="92">
        <v>0</v>
      </c>
      <c r="BF6" s="92">
        <v>0</v>
      </c>
      <c r="BG6" s="92">
        <v>0</v>
      </c>
      <c r="BH6" s="92">
        <v>0</v>
      </c>
      <c r="BI6" s="92">
        <v>0</v>
      </c>
      <c r="BJ6" s="92">
        <v>0</v>
      </c>
      <c r="BK6" s="92">
        <v>0</v>
      </c>
      <c r="BL6" s="92">
        <v>0</v>
      </c>
      <c r="BM6" s="92">
        <v>0</v>
      </c>
      <c r="BN6" s="92">
        <v>0</v>
      </c>
      <c r="BO6" s="92">
        <v>0</v>
      </c>
      <c r="BP6" s="92">
        <v>0</v>
      </c>
      <c r="BQ6" s="92">
        <v>0</v>
      </c>
      <c r="BR6" s="92">
        <v>0</v>
      </c>
      <c r="BS6" s="92">
        <v>0</v>
      </c>
      <c r="BT6" s="92">
        <v>0</v>
      </c>
      <c r="BU6" s="92">
        <v>6144056</v>
      </c>
      <c r="BV6" s="92">
        <v>1042021</v>
      </c>
      <c r="BW6" s="92">
        <v>22525</v>
      </c>
      <c r="BX6" s="92">
        <v>0</v>
      </c>
      <c r="BY6" s="92">
        <v>1040090</v>
      </c>
      <c r="BZ6" s="92">
        <v>985599</v>
      </c>
      <c r="CA6" s="92">
        <v>571037</v>
      </c>
      <c r="CB6" s="92">
        <v>0</v>
      </c>
      <c r="CC6" s="92">
        <v>38411872</v>
      </c>
      <c r="CD6" s="92">
        <v>9178565</v>
      </c>
      <c r="CE6" s="92">
        <v>971007</v>
      </c>
      <c r="CF6" s="92">
        <v>0</v>
      </c>
      <c r="CG6" s="92">
        <v>9002639</v>
      </c>
      <c r="CH6" s="92">
        <v>10503713</v>
      </c>
      <c r="CI6" s="92">
        <v>3648656</v>
      </c>
      <c r="CJ6" s="92">
        <v>0</v>
      </c>
      <c r="CK6" s="92">
        <v>574962</v>
      </c>
      <c r="CL6" s="92">
        <v>97171</v>
      </c>
      <c r="CM6" s="92">
        <v>0</v>
      </c>
      <c r="CN6" s="92">
        <v>0</v>
      </c>
      <c r="CO6" s="92">
        <v>1047384</v>
      </c>
      <c r="CP6" s="92">
        <v>52381</v>
      </c>
      <c r="CQ6" s="92">
        <v>385794</v>
      </c>
      <c r="CR6" s="92">
        <v>0</v>
      </c>
      <c r="CS6" s="92">
        <v>22560645</v>
      </c>
      <c r="CT6" s="92">
        <v>7696943</v>
      </c>
      <c r="CU6" s="92">
        <v>345030</v>
      </c>
      <c r="CV6" s="92">
        <v>0</v>
      </c>
      <c r="CW6" s="92">
        <v>8762106</v>
      </c>
      <c r="CX6" s="92">
        <v>2632115</v>
      </c>
      <c r="CY6" s="92">
        <v>7890662</v>
      </c>
      <c r="CZ6" s="92">
        <v>0</v>
      </c>
      <c r="DA6" s="92">
        <v>853276</v>
      </c>
      <c r="DB6" s="92">
        <v>82063</v>
      </c>
      <c r="DC6" s="92">
        <v>0</v>
      </c>
      <c r="DD6" s="92">
        <v>0</v>
      </c>
      <c r="DE6" s="92">
        <v>425855</v>
      </c>
      <c r="DF6" s="92">
        <v>5900</v>
      </c>
      <c r="DG6" s="92">
        <v>63929</v>
      </c>
      <c r="DH6" s="92">
        <v>0</v>
      </c>
      <c r="DI6" s="92">
        <v>14891387</v>
      </c>
      <c r="DJ6" s="92">
        <v>3124551</v>
      </c>
      <c r="DK6" s="92">
        <v>1441869</v>
      </c>
      <c r="DL6" s="92">
        <v>0</v>
      </c>
      <c r="DM6" s="92">
        <v>2854709</v>
      </c>
      <c r="DN6" s="92">
        <v>395031</v>
      </c>
      <c r="DO6" s="92">
        <v>1890721</v>
      </c>
      <c r="DP6" s="92">
        <v>0</v>
      </c>
      <c r="DQ6" s="92">
        <v>3880152</v>
      </c>
      <c r="DR6" s="92">
        <v>1200132</v>
      </c>
      <c r="DS6" s="92">
        <v>74501</v>
      </c>
      <c r="DT6" s="92">
        <v>0</v>
      </c>
      <c r="DU6" s="92">
        <v>237604</v>
      </c>
      <c r="DV6" s="92">
        <v>85463</v>
      </c>
      <c r="DW6" s="92">
        <v>229221</v>
      </c>
      <c r="DX6" s="92">
        <v>0</v>
      </c>
      <c r="DY6" s="92">
        <v>524341</v>
      </c>
      <c r="DZ6" s="92">
        <v>323792</v>
      </c>
      <c r="EA6" s="92">
        <v>0</v>
      </c>
      <c r="EB6" s="92">
        <v>0</v>
      </c>
      <c r="EC6" s="92">
        <v>492869</v>
      </c>
      <c r="ED6" s="92">
        <v>0</v>
      </c>
      <c r="EE6" s="92">
        <v>983340</v>
      </c>
      <c r="EF6" s="92">
        <v>0</v>
      </c>
      <c r="EG6" s="92">
        <v>85265</v>
      </c>
      <c r="EH6" s="92">
        <v>231504</v>
      </c>
      <c r="EI6" s="92">
        <v>1446</v>
      </c>
      <c r="EJ6" s="92">
        <v>0</v>
      </c>
      <c r="EK6" s="92">
        <v>75568</v>
      </c>
      <c r="EL6" s="92">
        <v>0</v>
      </c>
      <c r="EM6" s="92">
        <v>22172</v>
      </c>
      <c r="EN6" s="92">
        <v>0</v>
      </c>
      <c r="EO6" s="92">
        <v>1417263</v>
      </c>
      <c r="EP6" s="92">
        <v>4384166</v>
      </c>
      <c r="EQ6" s="92">
        <v>100245</v>
      </c>
      <c r="ER6" s="92">
        <v>0</v>
      </c>
      <c r="ES6" s="92">
        <v>9325341</v>
      </c>
      <c r="ET6" s="92">
        <v>94128</v>
      </c>
      <c r="EU6" s="92">
        <v>4277050</v>
      </c>
      <c r="EV6" s="92">
        <v>0</v>
      </c>
      <c r="EW6" s="92">
        <v>11807894</v>
      </c>
      <c r="EX6" s="92">
        <v>4992859</v>
      </c>
      <c r="EY6" s="92">
        <v>2102829</v>
      </c>
      <c r="EZ6" s="92">
        <v>0</v>
      </c>
      <c r="FA6" s="92">
        <v>5056559</v>
      </c>
      <c r="FB6" s="92">
        <v>2331559</v>
      </c>
      <c r="FC6" s="92">
        <v>6025952</v>
      </c>
      <c r="FD6" s="92">
        <v>0</v>
      </c>
      <c r="FE6" s="92">
        <v>0</v>
      </c>
      <c r="FF6" s="92">
        <v>0</v>
      </c>
      <c r="FG6" s="92">
        <v>0</v>
      </c>
      <c r="FH6" s="92">
        <v>0</v>
      </c>
      <c r="FI6" s="92">
        <v>0</v>
      </c>
      <c r="FJ6" s="92">
        <v>0</v>
      </c>
      <c r="FK6" s="92">
        <v>0</v>
      </c>
      <c r="FL6" s="92">
        <v>0</v>
      </c>
      <c r="FM6" s="92">
        <v>0</v>
      </c>
      <c r="FN6" s="92">
        <v>0</v>
      </c>
      <c r="FO6" s="92">
        <v>0</v>
      </c>
      <c r="FP6" s="92">
        <v>0</v>
      </c>
      <c r="FQ6" s="92">
        <v>0</v>
      </c>
      <c r="FR6" s="92">
        <v>0</v>
      </c>
      <c r="FS6" s="92">
        <v>0</v>
      </c>
      <c r="FT6" s="92">
        <v>0</v>
      </c>
      <c r="FU6" s="92">
        <v>0</v>
      </c>
      <c r="FV6" s="92">
        <v>0</v>
      </c>
      <c r="FW6" s="92">
        <v>0</v>
      </c>
      <c r="FX6" s="92">
        <v>0</v>
      </c>
      <c r="FY6" s="92">
        <v>0</v>
      </c>
      <c r="FZ6" s="92">
        <v>0</v>
      </c>
      <c r="GA6" s="92">
        <v>0</v>
      </c>
      <c r="GB6" s="92">
        <v>0</v>
      </c>
      <c r="GC6" s="92">
        <v>0</v>
      </c>
      <c r="GD6" s="92">
        <v>151475683</v>
      </c>
      <c r="GE6" s="92">
        <v>160908091</v>
      </c>
      <c r="GF6" s="92">
        <v>727964975</v>
      </c>
      <c r="GG6" s="47" t="s">
        <v>509</v>
      </c>
      <c r="GH6" s="47" t="s">
        <v>510</v>
      </c>
      <c r="GI6" s="93">
        <v>9728832632</v>
      </c>
      <c r="GJ6" s="47" t="s">
        <v>511</v>
      </c>
      <c r="GK6" s="47" t="s">
        <v>512</v>
      </c>
      <c r="GL6" s="47" t="s">
        <v>513</v>
      </c>
      <c r="GM6" s="93" t="s">
        <v>1010</v>
      </c>
      <c r="GN6" s="47" t="s">
        <v>514</v>
      </c>
      <c r="GO6" s="92" cm="1">
        <f t="array" ref="GO6">IFERROR(_xlfn.IFS(ResearchInput[[#This Row],[Type]]="HRI",SUMIFS('FTSE | FTFE'!$P$8:$P$77,'FTSE | FTFE'!$H$8:$H$77,A6),ResearchInput[[#This Row],[Type]]="UNIV",SUMIFS('FTSE | FTFE'!$P$104:$P$139,'FTSE | FTFE'!$H$104:$H$139,A6),OR(ResearchInput[[#This Row],[Type]]="TSTC",ResearchInput[[#This Row],[Type]]="LSC"),SUMIFS('FTSE | FTFE'!$O$88:$O$96,'FTSE | FTFE'!$H$88:$H$96,A6),ResearchInput[[#This Row],[Type]]="AHM",SUMIFS(Hidden!$H$43:$H$46,Hidden!$G$42:$G$45,A6)),"N/A")</f>
        <v>25477</v>
      </c>
      <c r="GP6" s="92" cm="1">
        <f t="array" ref="GP6">IFERROR(_xlfn.IFS(ResearchInput[[#This Row],[Type]]="HRI",SUMIFS('FTSE | FTFE'!$Q$8:$Q$77,'FTSE | FTFE'!$H$8:$H$77,A6),ResearchInput[[#This Row],[Type]]="UNIV",SUMIFS('FTSE | FTFE'!$Q$104:$Q$139,'FTSE | FTFE'!$H$104:$H$139,A6),OR(ResearchInput[[#This Row],[Type]]="TSTC",ResearchInput[[#This Row],[Type]]="LSC"),SUMIFS('FTSE | FTFE'!$P$88:$P$96,'FTSE | FTFE'!$H$88:$H$96,A6)),"N/A")</f>
        <v>557</v>
      </c>
      <c r="GQ6" s="92">
        <v>0</v>
      </c>
      <c r="GR6" s="92">
        <f>SUM(ResearchInput[[#This Row],[Fed.Comp]],ResearchInput[[#This Row],[Fed.Eng]],ResearchInput[[#This Row],[Fed.Geo]],ResearchInput[[#This Row],[Fed.Life]],ResearchInput[[#This Row],[Fed.Math]],ResearchInput[[#This Row],[Fed.Phys]],ResearchInput[[#This Row],[Fed.Psyc]],ResearchInput[[#This Row],[Fed.Soc]],ResearchInput[[#This Row],[Fed.Othr]],ResearchInput[[#This Row],[Fed.Non]])</f>
        <v>89343219</v>
      </c>
      <c r="GS6" s="92">
        <f>SUM(ResearchInput[[#This Row],[St.Comp]],ResearchInput[[#This Row],[St.Eng]],ResearchInput[[#This Row],[St.Geo]],ResearchInput[[#This Row],[St.Life]],ResearchInput[[#This Row],[St.Math]],ResearchInput[[#This Row],[St.Phys]],ResearchInput[[#This Row],[St.Psyc]],ResearchInput[[#This Row],[St.Soc]],ResearchInput[[#This Row],[St.Othr]],ResearchInput[[#This Row],[St.Non]])</f>
        <v>27360908</v>
      </c>
      <c r="GT6" s="92">
        <f>SUM(ResearchInput[[#This Row],[St.C&amp;G.Comp]],ResearchInput[[#This Row],[St.C&amp;G.Eng]],ResearchInput[[#This Row],[St.C&amp;G.Geo]],ResearchInput[[#This Row],[St.C&amp;G.Life]],ResearchInput[[#This Row],[St.C&amp;G.Math]],ResearchInput[[#This Row],[St.C&amp;G.Phys]],ResearchInput[[#This Row],[St.C&amp;G.Psyc]],ResearchInput[[#This Row],[St.C&amp;G.Soc]],ResearchInput[[#This Row],[St.C&amp;G.Othr]],ResearchInput[[#This Row],[St.C&amp;G.Non]])</f>
        <v>2956623</v>
      </c>
      <c r="GU6" s="92">
        <f>SUM(ResearchInput[[#This Row],[St.All.Comp]],ResearchInput[[#This Row],[St.All.Eng]],ResearchInput[[#This Row],[St.All.Geo]],ResearchInput[[#This Row],[St.All.Life]],ResearchInput[[#This Row],[St.All.Math]],ResearchInput[[#This Row],[St.All.Phys]],ResearchInput[[#This Row],[St.All.Psyc]],ResearchInput[[#This Row],[St.All.Soc]],ResearchInput[[#This Row],[St.All.Othr]],ResearchInput[[#This Row],[St.All.Non]])</f>
        <v>0</v>
      </c>
      <c r="GV6" s="92">
        <f>SUM(ResearchInput[[#This Row],[Inst.Comp]],ResearchInput[[#This Row],[Inst.Eng]],ResearchInput[[#This Row],[Inst.Geo]],ResearchInput[[#This Row],[Inst.Life]],ResearchInput[[#This Row],[Inst.Math]],ResearchInput[[#This Row],[Inst.Phys]],ResearchInput[[#This Row],[Inst.Psyc]],ResearchInput[[#This Row],[Inst.Soc]],ResearchInput[[#This Row],[Inst.Othr]],ResearchInput[[#This Row],[Inst.Non]])</f>
        <v>33264165</v>
      </c>
      <c r="GW6" s="92">
        <f>SUM(ResearchInput[[#This Row],[P4P.Comp]],ResearchInput[[#This Row],[P4P.Eng]],ResearchInput[[#This Row],[P4P.Geo]],ResearchInput[[#This Row],[P4P.Life]],ResearchInput[[#This Row],[P4P.Math]],ResearchInput[[#This Row],[P4P.Phys]],ResearchInput[[#This Row],[P4P.Psyc]],ResearchInput[[#This Row],[P4P.Soc]],ResearchInput[[#This Row],[P4P.Othr]],ResearchInput[[#This Row],[P4P.Non]])</f>
        <v>14754330</v>
      </c>
      <c r="GX6" s="92">
        <f>SUM(ResearchInput[[#This Row],[PNP.Comp]],ResearchInput[[#This Row],[PNP.Eng]],ResearchInput[[#This Row],[PNP.Geo]],ResearchInput[[#This Row],[PNP.Life]],ResearchInput[[#This Row],[PNP.Math]],ResearchInput[[#This Row],[PNP.Phys]],ResearchInput[[#This Row],[PNP.Psyc]],ResearchInput[[#This Row],[PNP.Soc]],ResearchInput[[#This Row],[PNP.Othr]],ResearchInput[[#This Row],[PNP.Non]])</f>
        <v>19962582</v>
      </c>
      <c r="GY6" s="92">
        <f>SUM(ResearchInput[[#This Row],[P.All.Comp]],ResearchInput[[#This Row],[P.All.Eng]],ResearchInput[[#This Row],[P.All.Geo]],ResearchInput[[#This Row],[P.All.Life]],ResearchInput[[#This Row],[P.All.Math]],ResearchInput[[#This Row],[P.All.Phys]],ResearchInput[[#This Row],[P.All.Psyc]],ResearchInput[[#This Row],[P.All.Soc]],ResearchInput[[#This Row],[P.All.Othr]],ResearchInput[[#This Row],[P.All.Non]])</f>
        <v>0</v>
      </c>
    </row>
    <row r="7" spans="1:207" s="47" customFormat="1" ht="27" customHeight="1" x14ac:dyDescent="0.25">
      <c r="A7" s="34" t="s">
        <v>223</v>
      </c>
      <c r="B7" s="34" t="s">
        <v>671</v>
      </c>
      <c r="C7" s="35" t="s">
        <v>682</v>
      </c>
      <c r="D7" s="35" t="s">
        <v>673</v>
      </c>
      <c r="E7" s="94">
        <v>105</v>
      </c>
      <c r="F7" s="35" t="s">
        <v>714</v>
      </c>
      <c r="G7" s="35" t="s">
        <v>694</v>
      </c>
      <c r="H7" s="96">
        <v>3661</v>
      </c>
      <c r="I7" s="92">
        <v>53405260</v>
      </c>
      <c r="J7" s="92">
        <v>36050416</v>
      </c>
      <c r="K7" s="92">
        <v>5106027</v>
      </c>
      <c r="L7" s="92">
        <v>0</v>
      </c>
      <c r="M7" s="92">
        <v>21400082</v>
      </c>
      <c r="N7" s="92">
        <v>652720</v>
      </c>
      <c r="O7" s="92">
        <v>12650323</v>
      </c>
      <c r="P7" s="92">
        <v>201749</v>
      </c>
      <c r="Q7" s="92">
        <v>0</v>
      </c>
      <c r="R7" s="92">
        <v>0</v>
      </c>
      <c r="S7" s="92">
        <v>0</v>
      </c>
      <c r="T7" s="92">
        <v>0</v>
      </c>
      <c r="U7" s="92">
        <v>0</v>
      </c>
      <c r="V7" s="92">
        <v>0</v>
      </c>
      <c r="W7" s="92">
        <v>0</v>
      </c>
      <c r="X7" s="92">
        <v>0</v>
      </c>
      <c r="Y7" s="92">
        <v>-1366388</v>
      </c>
      <c r="Z7" s="92">
        <v>0</v>
      </c>
      <c r="AA7" s="92">
        <v>-355197</v>
      </c>
      <c r="AB7" s="92">
        <v>0</v>
      </c>
      <c r="AC7" s="92">
        <v>0</v>
      </c>
      <c r="AD7" s="92">
        <v>0</v>
      </c>
      <c r="AE7" s="92">
        <v>-2713</v>
      </c>
      <c r="AF7" s="92">
        <v>0</v>
      </c>
      <c r="AG7" s="92">
        <v>17532824</v>
      </c>
      <c r="AH7" s="92">
        <v>0</v>
      </c>
      <c r="AI7" s="92">
        <v>622937</v>
      </c>
      <c r="AJ7" s="92">
        <v>0</v>
      </c>
      <c r="AK7" s="92">
        <v>0</v>
      </c>
      <c r="AL7" s="92">
        <v>119378</v>
      </c>
      <c r="AM7" s="92">
        <v>72911</v>
      </c>
      <c r="AN7" s="92">
        <v>43000</v>
      </c>
      <c r="AO7" s="92">
        <v>2507917</v>
      </c>
      <c r="AP7" s="92">
        <v>143970</v>
      </c>
      <c r="AQ7" s="92">
        <v>164959</v>
      </c>
      <c r="AR7" s="92">
        <v>0</v>
      </c>
      <c r="AS7" s="92">
        <v>3517432</v>
      </c>
      <c r="AT7" s="92">
        <v>0</v>
      </c>
      <c r="AU7" s="92">
        <v>184440</v>
      </c>
      <c r="AV7" s="92">
        <v>0</v>
      </c>
      <c r="AW7" s="92">
        <v>0</v>
      </c>
      <c r="AX7" s="92">
        <v>0</v>
      </c>
      <c r="AY7" s="92">
        <v>0</v>
      </c>
      <c r="AZ7" s="92">
        <v>0</v>
      </c>
      <c r="BA7" s="92">
        <v>0</v>
      </c>
      <c r="BB7" s="92">
        <v>0</v>
      </c>
      <c r="BC7" s="92">
        <v>0</v>
      </c>
      <c r="BD7" s="92">
        <v>0</v>
      </c>
      <c r="BE7" s="92">
        <v>0</v>
      </c>
      <c r="BF7" s="92">
        <v>0</v>
      </c>
      <c r="BG7" s="92">
        <v>0</v>
      </c>
      <c r="BH7" s="92">
        <v>0</v>
      </c>
      <c r="BI7" s="92">
        <v>0</v>
      </c>
      <c r="BJ7" s="92">
        <v>0</v>
      </c>
      <c r="BK7" s="92">
        <v>0</v>
      </c>
      <c r="BL7" s="92">
        <v>0</v>
      </c>
      <c r="BM7" s="92">
        <v>0</v>
      </c>
      <c r="BN7" s="92">
        <v>0</v>
      </c>
      <c r="BO7" s="92">
        <v>0</v>
      </c>
      <c r="BP7" s="92">
        <v>0</v>
      </c>
      <c r="BQ7" s="92">
        <v>0</v>
      </c>
      <c r="BR7" s="92">
        <v>0</v>
      </c>
      <c r="BS7" s="92">
        <v>0</v>
      </c>
      <c r="BT7" s="92">
        <v>0</v>
      </c>
      <c r="BU7" s="92">
        <v>7375637</v>
      </c>
      <c r="BV7" s="92">
        <v>949831</v>
      </c>
      <c r="BW7" s="92">
        <v>133761</v>
      </c>
      <c r="BX7" s="92">
        <v>0</v>
      </c>
      <c r="BY7" s="92">
        <v>144519</v>
      </c>
      <c r="BZ7" s="92">
        <v>133922</v>
      </c>
      <c r="CA7" s="92">
        <v>1661271</v>
      </c>
      <c r="CB7" s="92">
        <v>0</v>
      </c>
      <c r="CC7" s="92">
        <v>27127717</v>
      </c>
      <c r="CD7" s="92">
        <v>5556220</v>
      </c>
      <c r="CE7" s="92">
        <v>1349524</v>
      </c>
      <c r="CF7" s="92">
        <v>0</v>
      </c>
      <c r="CG7" s="92">
        <v>9160286</v>
      </c>
      <c r="CH7" s="92">
        <v>304550</v>
      </c>
      <c r="CI7" s="92">
        <v>1729172</v>
      </c>
      <c r="CJ7" s="92">
        <v>47929</v>
      </c>
      <c r="CK7" s="92">
        <v>4111914</v>
      </c>
      <c r="CL7" s="92">
        <v>1271094</v>
      </c>
      <c r="CM7" s="92">
        <v>34731</v>
      </c>
      <c r="CN7" s="92">
        <v>0</v>
      </c>
      <c r="CO7" s="92">
        <v>131424</v>
      </c>
      <c r="CP7" s="92">
        <v>205902</v>
      </c>
      <c r="CQ7" s="92">
        <v>337360</v>
      </c>
      <c r="CR7" s="92">
        <v>106356</v>
      </c>
      <c r="CS7" s="92">
        <v>13080803</v>
      </c>
      <c r="CT7" s="92">
        <v>7280921</v>
      </c>
      <c r="CU7" s="92">
        <v>3130471</v>
      </c>
      <c r="CV7" s="92">
        <v>0</v>
      </c>
      <c r="CW7" s="92">
        <v>6564058</v>
      </c>
      <c r="CX7" s="92">
        <v>0</v>
      </c>
      <c r="CY7" s="92">
        <v>3355074</v>
      </c>
      <c r="CZ7" s="92">
        <v>50439</v>
      </c>
      <c r="DA7" s="92">
        <v>1333241</v>
      </c>
      <c r="DB7" s="92">
        <v>1606842</v>
      </c>
      <c r="DC7" s="92">
        <v>30188</v>
      </c>
      <c r="DD7" s="92">
        <v>0</v>
      </c>
      <c r="DE7" s="92">
        <v>36961</v>
      </c>
      <c r="DF7" s="92">
        <v>0</v>
      </c>
      <c r="DG7" s="92">
        <v>31933</v>
      </c>
      <c r="DH7" s="92">
        <v>0</v>
      </c>
      <c r="DI7" s="92">
        <v>6476004</v>
      </c>
      <c r="DJ7" s="92">
        <v>2575738</v>
      </c>
      <c r="DK7" s="92">
        <v>140932</v>
      </c>
      <c r="DL7" s="92">
        <v>0</v>
      </c>
      <c r="DM7" s="92">
        <v>363533</v>
      </c>
      <c r="DN7" s="92">
        <v>43978</v>
      </c>
      <c r="DO7" s="92">
        <v>596865</v>
      </c>
      <c r="DP7" s="92">
        <v>0</v>
      </c>
      <c r="DQ7" s="92">
        <v>4916733</v>
      </c>
      <c r="DR7" s="92">
        <v>1116425</v>
      </c>
      <c r="DS7" s="92">
        <v>64468</v>
      </c>
      <c r="DT7" s="92">
        <v>0</v>
      </c>
      <c r="DU7" s="92">
        <v>1805485</v>
      </c>
      <c r="DV7" s="92">
        <v>0</v>
      </c>
      <c r="DW7" s="92">
        <v>349920</v>
      </c>
      <c r="DX7" s="92">
        <v>6807</v>
      </c>
      <c r="DY7" s="92">
        <v>2549212</v>
      </c>
      <c r="DZ7" s="92">
        <v>2122755</v>
      </c>
      <c r="EA7" s="92">
        <v>45699</v>
      </c>
      <c r="EB7" s="92">
        <v>0</v>
      </c>
      <c r="EC7" s="92">
        <v>402788</v>
      </c>
      <c r="ED7" s="92">
        <v>0</v>
      </c>
      <c r="EE7" s="92">
        <v>890855</v>
      </c>
      <c r="EF7" s="92">
        <v>22680</v>
      </c>
      <c r="EG7" s="92">
        <v>2846</v>
      </c>
      <c r="EH7" s="92">
        <v>945218</v>
      </c>
      <c r="EI7" s="92">
        <v>0</v>
      </c>
      <c r="EJ7" s="92">
        <v>0</v>
      </c>
      <c r="EK7" s="92">
        <v>1093394</v>
      </c>
      <c r="EL7" s="92">
        <v>0</v>
      </c>
      <c r="EM7" s="92">
        <v>0</v>
      </c>
      <c r="EN7" s="92">
        <v>10538</v>
      </c>
      <c r="EO7" s="92">
        <v>5105506</v>
      </c>
      <c r="EP7" s="92">
        <v>12769342</v>
      </c>
      <c r="EQ7" s="92">
        <v>608952</v>
      </c>
      <c r="ER7" s="92">
        <v>0</v>
      </c>
      <c r="ES7" s="92">
        <v>5215066</v>
      </c>
      <c r="ET7" s="92">
        <v>83746</v>
      </c>
      <c r="EU7" s="92">
        <v>3952511</v>
      </c>
      <c r="EV7" s="92">
        <v>0</v>
      </c>
      <c r="EW7" s="92">
        <v>4137341</v>
      </c>
      <c r="EX7" s="92">
        <v>0</v>
      </c>
      <c r="EY7" s="92">
        <v>389453</v>
      </c>
      <c r="EZ7" s="92">
        <v>0</v>
      </c>
      <c r="FA7" s="92">
        <v>799349</v>
      </c>
      <c r="FB7" s="92">
        <v>0</v>
      </c>
      <c r="FC7" s="92">
        <v>559039</v>
      </c>
      <c r="FD7" s="92">
        <v>3365</v>
      </c>
      <c r="FE7" s="92">
        <v>0</v>
      </c>
      <c r="FF7" s="92">
        <v>0</v>
      </c>
      <c r="FG7" s="92">
        <v>0</v>
      </c>
      <c r="FH7" s="92">
        <v>0</v>
      </c>
      <c r="FI7" s="92">
        <v>0</v>
      </c>
      <c r="FJ7" s="92">
        <v>0</v>
      </c>
      <c r="FK7" s="92">
        <v>0</v>
      </c>
      <c r="FL7" s="92">
        <v>0</v>
      </c>
      <c r="FM7" s="92">
        <v>0</v>
      </c>
      <c r="FN7" s="92">
        <v>0</v>
      </c>
      <c r="FO7" s="92">
        <v>0</v>
      </c>
      <c r="FP7" s="92">
        <v>0</v>
      </c>
      <c r="FQ7" s="92">
        <v>0</v>
      </c>
      <c r="FR7" s="92">
        <v>0</v>
      </c>
      <c r="FS7" s="92">
        <v>0</v>
      </c>
      <c r="FT7" s="92">
        <v>0</v>
      </c>
      <c r="FU7" s="92">
        <v>0</v>
      </c>
      <c r="FV7" s="92">
        <v>0</v>
      </c>
      <c r="FW7" s="92">
        <v>0</v>
      </c>
      <c r="FX7" s="92">
        <v>0</v>
      </c>
      <c r="FY7" s="92">
        <v>0</v>
      </c>
      <c r="FZ7" s="92">
        <v>0</v>
      </c>
      <c r="GA7" s="92">
        <v>0</v>
      </c>
      <c r="GB7" s="92">
        <v>0</v>
      </c>
      <c r="GC7" s="92">
        <v>0</v>
      </c>
      <c r="GD7" s="92">
        <v>129466577</v>
      </c>
      <c r="GE7" s="92">
        <v>134863680</v>
      </c>
      <c r="GF7" s="92">
        <v>447559919</v>
      </c>
      <c r="GG7" s="47" t="s">
        <v>540</v>
      </c>
      <c r="GH7" s="47" t="s">
        <v>547</v>
      </c>
      <c r="GI7" s="93">
        <v>9157475083</v>
      </c>
      <c r="GJ7" s="47" t="s">
        <v>548</v>
      </c>
      <c r="GK7" s="47" t="s">
        <v>549</v>
      </c>
      <c r="GL7" s="47" t="s">
        <v>550</v>
      </c>
      <c r="GM7" s="93">
        <v>9157478034</v>
      </c>
      <c r="GN7" s="47" t="s">
        <v>551</v>
      </c>
      <c r="GO7" s="92" cm="1">
        <f t="array" ref="GO7">IFERROR(_xlfn.IFS(ResearchInput[[#This Row],[Type]]="HRI",SUMIFS('FTSE | FTFE'!$P$8:$P$77,'FTSE | FTFE'!$H$8:$H$77,A7),ResearchInput[[#This Row],[Type]]="UNIV",SUMIFS('FTSE | FTFE'!$P$104:$P$139,'FTSE | FTFE'!$H$104:$H$139,A7),OR(ResearchInput[[#This Row],[Type]]="TSTC",ResearchInput[[#This Row],[Type]]="LSC"),SUMIFS('FTSE | FTFE'!$O$88:$O$96,'FTSE | FTFE'!$H$88:$H$96,A7),ResearchInput[[#This Row],[Type]]="AHM",SUMIFS(Hidden!$H$43:$H$46,Hidden!$G$42:$G$45,A7)),"N/A")</f>
        <v>20515</v>
      </c>
      <c r="GP7" s="92" cm="1">
        <f t="array" ref="GP7">IFERROR(_xlfn.IFS(ResearchInput[[#This Row],[Type]]="HRI",SUMIFS('FTSE | FTFE'!$Q$8:$Q$77,'FTSE | FTFE'!$H$8:$H$77,A7),ResearchInput[[#This Row],[Type]]="UNIV",SUMIFS('FTSE | FTFE'!$Q$104:$Q$139,'FTSE | FTFE'!$H$104:$H$139,A7),OR(ResearchInput[[#This Row],[Type]]="TSTC",ResearchInput[[#This Row],[Type]]="LSC"),SUMIFS('FTSE | FTFE'!$P$88:$P$96,'FTSE | FTFE'!$H$88:$H$96,A7)),"N/A")</f>
        <v>313</v>
      </c>
      <c r="GQ7" s="92">
        <v>0</v>
      </c>
      <c r="GR7" s="92">
        <f>SUM(ResearchInput[[#This Row],[Fed.Comp]],ResearchInput[[#This Row],[Fed.Eng]],ResearchInput[[#This Row],[Fed.Geo]],ResearchInput[[#This Row],[Fed.Life]],ResearchInput[[#This Row],[Fed.Math]],ResearchInput[[#This Row],[Fed.Phys]],ResearchInput[[#This Row],[Fed.Psyc]],ResearchInput[[#This Row],[Fed.Soc]],ResearchInput[[#This Row],[Fed.Othr]],ResearchInput[[#This Row],[Fed.Non]])</f>
        <v>72079613</v>
      </c>
      <c r="GS7" s="92">
        <f>SUM(ResearchInput[[#This Row],[St.Comp]],ResearchInput[[#This Row],[St.Eng]],ResearchInput[[#This Row],[St.Geo]],ResearchInput[[#This Row],[St.Life]],ResearchInput[[#This Row],[St.Math]],ResearchInput[[#This Row],[St.Phys]],ResearchInput[[#This Row],[St.Psyc]],ResearchInput[[#This Row],[St.Soc]],ResearchInput[[#This Row],[St.Othr]],ResearchInput[[#This Row],[St.Non]])</f>
        <v>36194386</v>
      </c>
      <c r="GT7" s="92">
        <f>SUM(ResearchInput[[#This Row],[St.C&amp;G.Comp]],ResearchInput[[#This Row],[St.C&amp;G.Eng]],ResearchInput[[#This Row],[St.C&amp;G.Geo]],ResearchInput[[#This Row],[St.C&amp;G.Life]],ResearchInput[[#This Row],[St.C&amp;G.Math]],ResearchInput[[#This Row],[St.C&amp;G.Phys]],ResearchInput[[#This Row],[St.C&amp;G.Psyc]],ResearchInput[[#This Row],[St.C&amp;G.Soc]],ResearchInput[[#This Row],[St.C&amp;G.Othr]],ResearchInput[[#This Row],[St.C&amp;G.Non]])</f>
        <v>5538726</v>
      </c>
      <c r="GU7" s="92">
        <f>SUM(ResearchInput[[#This Row],[St.All.Comp]],ResearchInput[[#This Row],[St.All.Eng]],ResearchInput[[#This Row],[St.All.Geo]],ResearchInput[[#This Row],[St.All.Life]],ResearchInput[[#This Row],[St.All.Math]],ResearchInput[[#This Row],[St.All.Phys]],ResearchInput[[#This Row],[St.All.Psyc]],ResearchInput[[#This Row],[St.All.Soc]],ResearchInput[[#This Row],[St.All.Othr]],ResearchInput[[#This Row],[St.All.Non]])</f>
        <v>0</v>
      </c>
      <c r="GV7" s="92">
        <f>SUM(ResearchInput[[#This Row],[Inst.Comp]],ResearchInput[[#This Row],[Inst.Eng]],ResearchInput[[#This Row],[Inst.Geo]],ResearchInput[[#This Row],[Inst.Life]],ResearchInput[[#This Row],[Inst.Math]],ResearchInput[[#This Row],[Inst.Phys]],ResearchInput[[#This Row],[Inst.Psyc]],ResearchInput[[#This Row],[Inst.Soc]],ResearchInput[[#This Row],[Inst.Othr]],ResearchInput[[#This Row],[Inst.Non]])</f>
        <v>24917514</v>
      </c>
      <c r="GW7" s="92">
        <f>SUM(ResearchInput[[#This Row],[P4P.Comp]],ResearchInput[[#This Row],[P4P.Eng]],ResearchInput[[#This Row],[P4P.Geo]],ResearchInput[[#This Row],[P4P.Life]],ResearchInput[[#This Row],[P4P.Math]],ResearchInput[[#This Row],[P4P.Phys]],ResearchInput[[#This Row],[P4P.Psyc]],ResearchInput[[#This Row],[P4P.Soc]],ResearchInput[[#This Row],[P4P.Othr]],ResearchInput[[#This Row],[P4P.Non]])</f>
        <v>772098</v>
      </c>
      <c r="GX7" s="92">
        <f>SUM(ResearchInput[[#This Row],[PNP.Comp]],ResearchInput[[#This Row],[PNP.Eng]],ResearchInput[[#This Row],[PNP.Geo]],ResearchInput[[#This Row],[PNP.Life]],ResearchInput[[#This Row],[PNP.Math]],ResearchInput[[#This Row],[PNP.Phys]],ResearchInput[[#This Row],[PNP.Psyc]],ResearchInput[[#This Row],[PNP.Soc]],ResearchInput[[#This Row],[PNP.Othr]],ResearchInput[[#This Row],[PNP.Non]])</f>
        <v>12904961</v>
      </c>
      <c r="GY7" s="92">
        <f>SUM(ResearchInput[[#This Row],[P.All.Comp]],ResearchInput[[#This Row],[P.All.Eng]],ResearchInput[[#This Row],[P.All.Geo]],ResearchInput[[#This Row],[P.All.Life]],ResearchInput[[#This Row],[P.All.Math]],ResearchInput[[#This Row],[P.All.Phys]],ResearchInput[[#This Row],[P.All.Psyc]],ResearchInput[[#This Row],[P.All.Soc]],ResearchInput[[#This Row],[P.All.Othr]],ResearchInput[[#This Row],[P.All.Non]])</f>
        <v>244749</v>
      </c>
    </row>
    <row r="8" spans="1:207" s="47" customFormat="1" ht="27" customHeight="1" x14ac:dyDescent="0.25">
      <c r="A8" s="34" t="s">
        <v>763</v>
      </c>
      <c r="B8" s="34" t="s">
        <v>678</v>
      </c>
      <c r="C8" s="35" t="s">
        <v>682</v>
      </c>
      <c r="D8" s="35" t="s">
        <v>679</v>
      </c>
      <c r="E8" s="94">
        <v>106</v>
      </c>
      <c r="F8" s="35" t="s">
        <v>714</v>
      </c>
      <c r="G8" s="35" t="s">
        <v>553</v>
      </c>
      <c r="H8" s="96">
        <v>3599</v>
      </c>
      <c r="I8" s="92">
        <v>30095639</v>
      </c>
      <c r="J8" s="92">
        <v>6461896</v>
      </c>
      <c r="K8" s="92">
        <v>2791280</v>
      </c>
      <c r="L8" s="92">
        <v>9866</v>
      </c>
      <c r="M8" s="92">
        <v>41931089</v>
      </c>
      <c r="N8" s="92">
        <v>954858</v>
      </c>
      <c r="O8" s="92">
        <v>3732624</v>
      </c>
      <c r="P8" s="92">
        <v>641483</v>
      </c>
      <c r="Q8" s="92">
        <v>0</v>
      </c>
      <c r="R8" s="92">
        <v>0</v>
      </c>
      <c r="S8" s="92">
        <v>0</v>
      </c>
      <c r="T8" s="92">
        <v>0</v>
      </c>
      <c r="U8" s="92">
        <v>0</v>
      </c>
      <c r="V8" s="92">
        <v>0</v>
      </c>
      <c r="W8" s="92">
        <v>0</v>
      </c>
      <c r="X8" s="92">
        <v>0</v>
      </c>
      <c r="Y8" s="92">
        <v>-1584965</v>
      </c>
      <c r="Z8" s="92">
        <v>0</v>
      </c>
      <c r="AA8" s="92">
        <v>0</v>
      </c>
      <c r="AB8" s="92">
        <v>0</v>
      </c>
      <c r="AC8" s="92">
        <v>0</v>
      </c>
      <c r="AD8" s="92">
        <v>0</v>
      </c>
      <c r="AE8" s="92">
        <v>0</v>
      </c>
      <c r="AF8" s="92">
        <v>0</v>
      </c>
      <c r="AG8" s="92">
        <v>8565660</v>
      </c>
      <c r="AH8" s="92">
        <v>0</v>
      </c>
      <c r="AI8" s="92">
        <v>198023</v>
      </c>
      <c r="AJ8" s="92">
        <v>2565</v>
      </c>
      <c r="AK8" s="92">
        <v>0</v>
      </c>
      <c r="AL8" s="92">
        <v>395332</v>
      </c>
      <c r="AM8" s="92">
        <v>339050</v>
      </c>
      <c r="AN8" s="92">
        <v>11590</v>
      </c>
      <c r="AO8" s="92">
        <v>3756298</v>
      </c>
      <c r="AP8" s="92">
        <v>0</v>
      </c>
      <c r="AQ8" s="92">
        <v>38618</v>
      </c>
      <c r="AR8" s="92">
        <v>0</v>
      </c>
      <c r="AS8" s="92">
        <v>2744856</v>
      </c>
      <c r="AT8" s="92">
        <v>0</v>
      </c>
      <c r="AU8" s="92">
        <v>999939</v>
      </c>
      <c r="AV8" s="92">
        <v>0</v>
      </c>
      <c r="AW8" s="92">
        <v>0</v>
      </c>
      <c r="AX8" s="92">
        <v>0</v>
      </c>
      <c r="AY8" s="92">
        <v>0</v>
      </c>
      <c r="AZ8" s="92">
        <v>0</v>
      </c>
      <c r="BA8" s="92">
        <v>0</v>
      </c>
      <c r="BB8" s="92">
        <v>0</v>
      </c>
      <c r="BC8" s="92">
        <v>0</v>
      </c>
      <c r="BD8" s="92">
        <v>0</v>
      </c>
      <c r="BE8" s="92">
        <v>0</v>
      </c>
      <c r="BF8" s="92">
        <v>0</v>
      </c>
      <c r="BG8" s="92">
        <v>0</v>
      </c>
      <c r="BH8" s="92">
        <v>0</v>
      </c>
      <c r="BI8" s="92">
        <v>0</v>
      </c>
      <c r="BJ8" s="92">
        <v>0</v>
      </c>
      <c r="BK8" s="92">
        <v>0</v>
      </c>
      <c r="BL8" s="92">
        <v>0</v>
      </c>
      <c r="BM8" s="92">
        <v>0</v>
      </c>
      <c r="BN8" s="92">
        <v>0</v>
      </c>
      <c r="BO8" s="92">
        <v>0</v>
      </c>
      <c r="BP8" s="92">
        <v>0</v>
      </c>
      <c r="BQ8" s="92">
        <v>0</v>
      </c>
      <c r="BR8" s="92">
        <v>0</v>
      </c>
      <c r="BS8" s="92">
        <v>0</v>
      </c>
      <c r="BT8" s="92">
        <v>0</v>
      </c>
      <c r="BU8" s="92">
        <v>447931</v>
      </c>
      <c r="BV8" s="92">
        <v>0</v>
      </c>
      <c r="BW8" s="92">
        <v>19994</v>
      </c>
      <c r="BX8" s="92">
        <v>0</v>
      </c>
      <c r="BY8" s="92">
        <v>2672827</v>
      </c>
      <c r="BZ8" s="92">
        <v>0</v>
      </c>
      <c r="CA8" s="92">
        <v>8655</v>
      </c>
      <c r="CB8" s="92">
        <v>42139</v>
      </c>
      <c r="CC8" s="92">
        <v>7483253</v>
      </c>
      <c r="CD8" s="92">
        <v>52603</v>
      </c>
      <c r="CE8" s="92">
        <v>255039</v>
      </c>
      <c r="CF8" s="92">
        <v>0</v>
      </c>
      <c r="CG8" s="92">
        <v>4914215</v>
      </c>
      <c r="CH8" s="92">
        <v>796690</v>
      </c>
      <c r="CI8" s="92">
        <v>30436</v>
      </c>
      <c r="CJ8" s="92">
        <v>77062</v>
      </c>
      <c r="CK8" s="92">
        <v>2760782</v>
      </c>
      <c r="CL8" s="92">
        <v>60239</v>
      </c>
      <c r="CM8" s="92">
        <v>381717</v>
      </c>
      <c r="CN8" s="92">
        <v>0</v>
      </c>
      <c r="CO8" s="92">
        <v>1879414</v>
      </c>
      <c r="CP8" s="92">
        <v>278464</v>
      </c>
      <c r="CQ8" s="92">
        <v>87539</v>
      </c>
      <c r="CR8" s="92">
        <v>11415</v>
      </c>
      <c r="CS8" s="92">
        <v>20207893</v>
      </c>
      <c r="CT8" s="92">
        <v>5618725</v>
      </c>
      <c r="CU8" s="92">
        <v>2099412</v>
      </c>
      <c r="CV8" s="92">
        <v>0</v>
      </c>
      <c r="CW8" s="92">
        <v>8508382</v>
      </c>
      <c r="CX8" s="92">
        <v>273824</v>
      </c>
      <c r="CY8" s="92">
        <v>4355640</v>
      </c>
      <c r="CZ8" s="92">
        <v>167634</v>
      </c>
      <c r="DA8" s="92">
        <v>614177</v>
      </c>
      <c r="DB8" s="92">
        <v>0</v>
      </c>
      <c r="DC8" s="92">
        <v>0</v>
      </c>
      <c r="DD8" s="92">
        <v>0</v>
      </c>
      <c r="DE8" s="92">
        <v>2900172</v>
      </c>
      <c r="DF8" s="92">
        <v>0</v>
      </c>
      <c r="DG8" s="92">
        <v>21704</v>
      </c>
      <c r="DH8" s="92">
        <v>0</v>
      </c>
      <c r="DI8" s="92">
        <v>4011705</v>
      </c>
      <c r="DJ8" s="92">
        <v>0</v>
      </c>
      <c r="DK8" s="92">
        <v>0</v>
      </c>
      <c r="DL8" s="92">
        <v>0</v>
      </c>
      <c r="DM8" s="92">
        <v>1847735</v>
      </c>
      <c r="DN8" s="92">
        <v>1212</v>
      </c>
      <c r="DO8" s="92">
        <v>726</v>
      </c>
      <c r="DP8" s="92">
        <v>3672</v>
      </c>
      <c r="DQ8" s="92">
        <v>622510</v>
      </c>
      <c r="DR8" s="92">
        <v>0</v>
      </c>
      <c r="DS8" s="92">
        <v>271759</v>
      </c>
      <c r="DT8" s="92">
        <v>0</v>
      </c>
      <c r="DU8" s="92">
        <v>1656356</v>
      </c>
      <c r="DV8" s="92">
        <v>0</v>
      </c>
      <c r="DW8" s="92">
        <v>3078</v>
      </c>
      <c r="DX8" s="92">
        <v>0</v>
      </c>
      <c r="DY8" s="92">
        <v>1215783</v>
      </c>
      <c r="DZ8" s="92">
        <v>0</v>
      </c>
      <c r="EA8" s="92">
        <v>0</v>
      </c>
      <c r="EB8" s="92">
        <v>12431</v>
      </c>
      <c r="EC8" s="92">
        <v>3639071</v>
      </c>
      <c r="ED8" s="92">
        <v>0</v>
      </c>
      <c r="EE8" s="92">
        <v>197140</v>
      </c>
      <c r="EF8" s="92">
        <v>31757</v>
      </c>
      <c r="EG8" s="92">
        <v>235823</v>
      </c>
      <c r="EH8" s="92">
        <v>66932</v>
      </c>
      <c r="EI8" s="92">
        <v>0</v>
      </c>
      <c r="EJ8" s="92">
        <v>0</v>
      </c>
      <c r="EK8" s="92">
        <v>3265494</v>
      </c>
      <c r="EL8" s="92">
        <v>0</v>
      </c>
      <c r="EM8" s="92">
        <v>0</v>
      </c>
      <c r="EN8" s="92">
        <v>77048</v>
      </c>
      <c r="EO8" s="92">
        <v>3232775</v>
      </c>
      <c r="EP8" s="92">
        <v>663397</v>
      </c>
      <c r="EQ8" s="92">
        <v>0</v>
      </c>
      <c r="ER8" s="92">
        <v>0</v>
      </c>
      <c r="ES8" s="92">
        <v>13392279</v>
      </c>
      <c r="ET8" s="92">
        <v>0</v>
      </c>
      <c r="EU8" s="92">
        <v>366695</v>
      </c>
      <c r="EV8" s="92">
        <v>242346</v>
      </c>
      <c r="EW8" s="92">
        <v>16314221</v>
      </c>
      <c r="EX8" s="92">
        <v>5233126</v>
      </c>
      <c r="EY8" s="92">
        <v>2099412</v>
      </c>
      <c r="EZ8" s="92">
        <v>0</v>
      </c>
      <c r="FA8" s="92">
        <v>5370625</v>
      </c>
      <c r="FB8" s="92">
        <v>273824</v>
      </c>
      <c r="FC8" s="92">
        <v>4245990</v>
      </c>
      <c r="FD8" s="92">
        <v>116800</v>
      </c>
      <c r="FE8" s="92">
        <v>0</v>
      </c>
      <c r="FF8" s="92">
        <v>0</v>
      </c>
      <c r="FG8" s="92">
        <v>0</v>
      </c>
      <c r="FH8" s="92">
        <v>0</v>
      </c>
      <c r="FI8" s="92">
        <v>0</v>
      </c>
      <c r="FJ8" s="92">
        <v>0</v>
      </c>
      <c r="FK8" s="92">
        <v>0</v>
      </c>
      <c r="FL8" s="92">
        <v>0</v>
      </c>
      <c r="FM8" s="92">
        <v>0</v>
      </c>
      <c r="FN8" s="92">
        <v>0</v>
      </c>
      <c r="FO8" s="92">
        <v>0</v>
      </c>
      <c r="FP8" s="92">
        <v>0</v>
      </c>
      <c r="FQ8" s="92">
        <v>0</v>
      </c>
      <c r="FR8" s="92">
        <v>0</v>
      </c>
      <c r="FS8" s="92">
        <v>0</v>
      </c>
      <c r="FT8" s="92">
        <v>0</v>
      </c>
      <c r="FU8" s="92">
        <v>0</v>
      </c>
      <c r="FV8" s="92">
        <v>0</v>
      </c>
      <c r="FW8" s="92">
        <v>0</v>
      </c>
      <c r="FX8" s="92">
        <v>0</v>
      </c>
      <c r="FY8" s="92">
        <v>0</v>
      </c>
      <c r="FZ8" s="92">
        <v>0</v>
      </c>
      <c r="GA8" s="92">
        <v>0</v>
      </c>
      <c r="GB8" s="92">
        <v>0</v>
      </c>
      <c r="GC8" s="92">
        <v>0</v>
      </c>
      <c r="GD8" s="92">
        <v>86618735</v>
      </c>
      <c r="GE8" s="92">
        <v>92573481</v>
      </c>
      <c r="GF8" s="92">
        <v>644397544</v>
      </c>
      <c r="GG8" s="47" t="s">
        <v>491</v>
      </c>
      <c r="GH8" s="47" t="s">
        <v>492</v>
      </c>
      <c r="GI8" s="93">
        <v>9568828262</v>
      </c>
      <c r="GJ8" s="47" t="s">
        <v>493</v>
      </c>
      <c r="GK8" s="47" t="s">
        <v>494</v>
      </c>
      <c r="GL8" s="47" t="s">
        <v>495</v>
      </c>
      <c r="GM8" s="93">
        <v>9566657906</v>
      </c>
      <c r="GN8" s="47" t="s">
        <v>496</v>
      </c>
      <c r="GO8" s="92" cm="1">
        <f t="array" ref="GO8">IFERROR(_xlfn.IFS(ResearchInput[[#This Row],[Type]]="HRI",SUMIFS('FTSE | FTFE'!$P$8:$P$77,'FTSE | FTFE'!$H$8:$H$77,A8),ResearchInput[[#This Row],[Type]]="UNIV",SUMIFS('FTSE | FTFE'!$P$104:$P$139,'FTSE | FTFE'!$H$104:$H$139,A8),OR(ResearchInput[[#This Row],[Type]]="TSTC",ResearchInput[[#This Row],[Type]]="LSC"),SUMIFS('FTSE | FTFE'!$O$88:$O$96,'FTSE | FTFE'!$H$88:$H$96,A8),ResearchInput[[#This Row],[Type]]="AHM",SUMIFS(Hidden!$H$43:$H$46,Hidden!$G$42:$G$45,A8)),"N/A")</f>
        <v>0</v>
      </c>
      <c r="GP8" s="92" t="str" cm="1">
        <f t="array" ref="GP8">IFERROR(_xlfn.IFS(ResearchInput[[#This Row],[Type]]="HRI",SUMIFS('FTSE | FTFE'!$Q$8:$Q$77,'FTSE | FTFE'!$H$8:$H$77,A8),ResearchInput[[#This Row],[Type]]="UNIV",SUMIFS('FTSE | FTFE'!$Q$104:$Q$139,'FTSE | FTFE'!$H$104:$H$139,A8),OR(ResearchInput[[#This Row],[Type]]="TSTC",ResearchInput[[#This Row],[Type]]="LSC"),SUMIFS('FTSE | FTFE'!$P$88:$P$96,'FTSE | FTFE'!$H$88:$H$96,A8)),"N/A")</f>
        <v>N/A</v>
      </c>
      <c r="GQ8" s="92">
        <v>0</v>
      </c>
      <c r="GR8" s="92">
        <f>SUM(ResearchInput[[#This Row],[Fed.Comp]],ResearchInput[[#This Row],[Fed.Eng]],ResearchInput[[#This Row],[Fed.Geo]],ResearchInput[[#This Row],[Fed.Life]],ResearchInput[[#This Row],[Fed.Math]],ResearchInput[[#This Row],[Fed.Phys]],ResearchInput[[#This Row],[Fed.Psyc]],ResearchInput[[#This Row],[Fed.Soc]],ResearchInput[[#This Row],[Fed.Othr]],ResearchInput[[#This Row],[Fed.Non]])</f>
        <v>40832632</v>
      </c>
      <c r="GS8" s="92">
        <f>SUM(ResearchInput[[#This Row],[St.Comp]],ResearchInput[[#This Row],[St.Eng]],ResearchInput[[#This Row],[St.Geo]],ResearchInput[[#This Row],[St.Life]],ResearchInput[[#This Row],[St.Math]],ResearchInput[[#This Row],[St.Phys]],ResearchInput[[#This Row],[St.Psyc]],ResearchInput[[#This Row],[St.Soc]],ResearchInput[[#This Row],[St.Othr]],ResearchInput[[#This Row],[St.Non]])</f>
        <v>6461896</v>
      </c>
      <c r="GT8" s="92">
        <f>SUM(ResearchInput[[#This Row],[St.C&amp;G.Comp]],ResearchInput[[#This Row],[St.C&amp;G.Eng]],ResearchInput[[#This Row],[St.C&amp;G.Geo]],ResearchInput[[#This Row],[St.C&amp;G.Life]],ResearchInput[[#This Row],[St.C&amp;G.Math]],ResearchInput[[#This Row],[St.C&amp;G.Phys]],ResearchInput[[#This Row],[St.C&amp;G.Psyc]],ResearchInput[[#This Row],[St.C&amp;G.Soc]],ResearchInput[[#This Row],[St.C&amp;G.Othr]],ResearchInput[[#This Row],[St.C&amp;G.Non]])</f>
        <v>3027921</v>
      </c>
      <c r="GU8" s="92">
        <f>SUM(ResearchInput[[#This Row],[St.All.Comp]],ResearchInput[[#This Row],[St.All.Eng]],ResearchInput[[#This Row],[St.All.Geo]],ResearchInput[[#This Row],[St.All.Life]],ResearchInput[[#This Row],[St.All.Math]],ResearchInput[[#This Row],[St.All.Phys]],ResearchInput[[#This Row],[St.All.Psyc]],ResearchInput[[#This Row],[St.All.Soc]],ResearchInput[[#This Row],[St.All.Othr]],ResearchInput[[#This Row],[St.All.Non]])</f>
        <v>12431</v>
      </c>
      <c r="GV8" s="92">
        <f>SUM(ResearchInput[[#This Row],[Inst.Comp]],ResearchInput[[#This Row],[Inst.Eng]],ResearchInput[[#This Row],[Inst.Geo]],ResearchInput[[#This Row],[Inst.Life]],ResearchInput[[#This Row],[Inst.Math]],ResearchInput[[#This Row],[Inst.Phys]],ResearchInput[[#This Row],[Inst.Psyc]],ResearchInput[[#This Row],[Inst.Soc]],ResearchInput[[#This Row],[Inst.Othr]],ResearchInput[[#This Row],[Inst.Non]])</f>
        <v>44675945</v>
      </c>
      <c r="GW8" s="92">
        <f>SUM(ResearchInput[[#This Row],[P4P.Comp]],ResearchInput[[#This Row],[P4P.Eng]],ResearchInput[[#This Row],[P4P.Geo]],ResearchInput[[#This Row],[P4P.Life]],ResearchInput[[#This Row],[P4P.Math]],ResearchInput[[#This Row],[P4P.Phys]],ResearchInput[[#This Row],[P4P.Psyc]],ResearchInput[[#This Row],[P4P.Soc]],ResearchInput[[#This Row],[P4P.Othr]],ResearchInput[[#This Row],[P4P.Non]])</f>
        <v>1350190</v>
      </c>
      <c r="GX8" s="92">
        <f>SUM(ResearchInput[[#This Row],[PNP.Comp]],ResearchInput[[#This Row],[PNP.Eng]],ResearchInput[[#This Row],[PNP.Geo]],ResearchInput[[#This Row],[PNP.Life]],ResearchInput[[#This Row],[PNP.Math]],ResearchInput[[#This Row],[PNP.Phys]],ResearchInput[[#This Row],[PNP.Psyc]],ResearchInput[[#This Row],[PNP.Soc]],ResearchInput[[#This Row],[PNP.Othr]],ResearchInput[[#This Row],[PNP.Non]])</f>
        <v>5071613</v>
      </c>
      <c r="GY8" s="92">
        <f>SUM(ResearchInput[[#This Row],[P.All.Comp]],ResearchInput[[#This Row],[P.All.Eng]],ResearchInput[[#This Row],[P.All.Geo]],ResearchInput[[#This Row],[P.All.Life]],ResearchInput[[#This Row],[P.All.Math]],ResearchInput[[#This Row],[P.All.Phys]],ResearchInput[[#This Row],[P.All.Psyc]],ResearchInput[[#This Row],[P.All.Soc]],ResearchInput[[#This Row],[P.All.Othr]],ResearchInput[[#This Row],[P.All.Non]])</f>
        <v>653073</v>
      </c>
    </row>
    <row r="9" spans="1:207" s="47" customFormat="1" ht="27" customHeight="1" x14ac:dyDescent="0.25">
      <c r="A9" s="34" t="s">
        <v>761</v>
      </c>
      <c r="B9" s="34" t="s">
        <v>671</v>
      </c>
      <c r="C9" s="35" t="s">
        <v>553</v>
      </c>
      <c r="D9" s="35" t="s">
        <v>673</v>
      </c>
      <c r="E9" s="94">
        <v>107</v>
      </c>
      <c r="F9" s="35" t="s">
        <v>714</v>
      </c>
      <c r="G9" s="35" t="s">
        <v>691</v>
      </c>
      <c r="H9" s="96">
        <v>3599</v>
      </c>
      <c r="I9" s="92">
        <v>20485284</v>
      </c>
      <c r="J9" s="92">
        <v>1228770</v>
      </c>
      <c r="K9" s="92">
        <v>958924</v>
      </c>
      <c r="L9" s="92">
        <v>9866</v>
      </c>
      <c r="M9" s="92">
        <v>39253095</v>
      </c>
      <c r="N9" s="92">
        <v>752574</v>
      </c>
      <c r="O9" s="92">
        <v>860025</v>
      </c>
      <c r="P9" s="92">
        <v>524683</v>
      </c>
      <c r="Q9" s="92">
        <v>0</v>
      </c>
      <c r="R9" s="92">
        <v>0</v>
      </c>
      <c r="S9" s="92">
        <v>0</v>
      </c>
      <c r="T9" s="92">
        <v>0</v>
      </c>
      <c r="U9" s="92">
        <v>0</v>
      </c>
      <c r="V9" s="92">
        <v>0</v>
      </c>
      <c r="W9" s="92">
        <v>0</v>
      </c>
      <c r="X9" s="92">
        <v>0</v>
      </c>
      <c r="Y9" s="92">
        <v>-1296676</v>
      </c>
      <c r="Z9" s="92">
        <v>0</v>
      </c>
      <c r="AA9" s="92">
        <v>0</v>
      </c>
      <c r="AB9" s="92">
        <v>0</v>
      </c>
      <c r="AC9" s="92">
        <v>0</v>
      </c>
      <c r="AD9" s="92">
        <v>0</v>
      </c>
      <c r="AE9" s="92">
        <v>0</v>
      </c>
      <c r="AF9" s="92">
        <v>0</v>
      </c>
      <c r="AG9" s="92">
        <v>4549294</v>
      </c>
      <c r="AH9" s="92">
        <v>0</v>
      </c>
      <c r="AI9" s="92">
        <v>91821</v>
      </c>
      <c r="AJ9" s="92">
        <v>2565</v>
      </c>
      <c r="AK9" s="92">
        <v>0</v>
      </c>
      <c r="AL9" s="92">
        <v>323792</v>
      </c>
      <c r="AM9" s="92">
        <v>55027</v>
      </c>
      <c r="AN9" s="92">
        <v>11590</v>
      </c>
      <c r="AO9" s="92">
        <v>2263400</v>
      </c>
      <c r="AP9" s="92">
        <v>0</v>
      </c>
      <c r="AQ9" s="92">
        <v>0</v>
      </c>
      <c r="AR9" s="92">
        <v>0</v>
      </c>
      <c r="AS9" s="92">
        <v>2178558</v>
      </c>
      <c r="AT9" s="92">
        <v>0</v>
      </c>
      <c r="AU9" s="92">
        <v>0</v>
      </c>
      <c r="AV9" s="92">
        <v>0</v>
      </c>
      <c r="AW9" s="92">
        <v>0</v>
      </c>
      <c r="AX9" s="92">
        <v>0</v>
      </c>
      <c r="AY9" s="92">
        <v>0</v>
      </c>
      <c r="AZ9" s="92">
        <v>0</v>
      </c>
      <c r="BA9" s="92">
        <v>0</v>
      </c>
      <c r="BB9" s="92">
        <v>0</v>
      </c>
      <c r="BC9" s="92">
        <v>0</v>
      </c>
      <c r="BD9" s="92">
        <v>0</v>
      </c>
      <c r="BE9" s="92">
        <v>0</v>
      </c>
      <c r="BF9" s="92">
        <v>0</v>
      </c>
      <c r="BG9" s="92">
        <v>0</v>
      </c>
      <c r="BH9" s="92">
        <v>0</v>
      </c>
      <c r="BI9" s="92">
        <v>0</v>
      </c>
      <c r="BJ9" s="92">
        <v>0</v>
      </c>
      <c r="BK9" s="92">
        <v>0</v>
      </c>
      <c r="BL9" s="92">
        <v>0</v>
      </c>
      <c r="BM9" s="92">
        <v>0</v>
      </c>
      <c r="BN9" s="92">
        <v>0</v>
      </c>
      <c r="BO9" s="92">
        <v>0</v>
      </c>
      <c r="BP9" s="92">
        <v>0</v>
      </c>
      <c r="BQ9" s="92">
        <v>0</v>
      </c>
      <c r="BR9" s="92">
        <v>0</v>
      </c>
      <c r="BS9" s="92">
        <v>0</v>
      </c>
      <c r="BT9" s="92">
        <v>0</v>
      </c>
      <c r="BU9" s="92">
        <v>447931</v>
      </c>
      <c r="BV9" s="92">
        <v>0</v>
      </c>
      <c r="BW9" s="92">
        <v>19993</v>
      </c>
      <c r="BX9" s="92">
        <v>0</v>
      </c>
      <c r="BY9" s="92">
        <v>2672827</v>
      </c>
      <c r="BZ9" s="92">
        <v>0</v>
      </c>
      <c r="CA9" s="92">
        <v>8655</v>
      </c>
      <c r="CB9" s="92">
        <v>42139</v>
      </c>
      <c r="CC9" s="92">
        <v>7483253</v>
      </c>
      <c r="CD9" s="92">
        <v>52603</v>
      </c>
      <c r="CE9" s="92">
        <v>255039</v>
      </c>
      <c r="CF9" s="92">
        <v>0</v>
      </c>
      <c r="CG9" s="92">
        <v>4914215</v>
      </c>
      <c r="CH9" s="92">
        <v>796690</v>
      </c>
      <c r="CI9" s="92">
        <v>30436</v>
      </c>
      <c r="CJ9" s="92">
        <v>77062</v>
      </c>
      <c r="CK9" s="92">
        <v>2760782</v>
      </c>
      <c r="CL9" s="92">
        <v>60239</v>
      </c>
      <c r="CM9" s="92">
        <v>381717</v>
      </c>
      <c r="CN9" s="92">
        <v>0</v>
      </c>
      <c r="CO9" s="92">
        <v>1879414</v>
      </c>
      <c r="CP9" s="92">
        <v>278464</v>
      </c>
      <c r="CQ9" s="92">
        <v>87538</v>
      </c>
      <c r="CR9" s="92">
        <v>11415</v>
      </c>
      <c r="CS9" s="92">
        <v>5376563</v>
      </c>
      <c r="CT9" s="92">
        <v>385599</v>
      </c>
      <c r="CU9" s="92">
        <v>122237</v>
      </c>
      <c r="CV9" s="92">
        <v>0</v>
      </c>
      <c r="CW9" s="92">
        <v>5684915</v>
      </c>
      <c r="CX9" s="92">
        <v>0</v>
      </c>
      <c r="CY9" s="92">
        <v>199080</v>
      </c>
      <c r="CZ9" s="92">
        <v>44739</v>
      </c>
      <c r="DA9" s="92">
        <v>614177</v>
      </c>
      <c r="DB9" s="92">
        <v>0</v>
      </c>
      <c r="DC9" s="92">
        <v>0</v>
      </c>
      <c r="DD9" s="92">
        <v>0</v>
      </c>
      <c r="DE9" s="92">
        <v>2900172</v>
      </c>
      <c r="DF9" s="92">
        <v>0</v>
      </c>
      <c r="DG9" s="92">
        <v>21704</v>
      </c>
      <c r="DH9" s="92">
        <v>0</v>
      </c>
      <c r="DI9" s="92">
        <v>4011705</v>
      </c>
      <c r="DJ9" s="92">
        <v>0</v>
      </c>
      <c r="DK9" s="92">
        <v>0</v>
      </c>
      <c r="DL9" s="92">
        <v>0</v>
      </c>
      <c r="DM9" s="92">
        <v>1847735</v>
      </c>
      <c r="DN9" s="92">
        <v>1212</v>
      </c>
      <c r="DO9" s="92">
        <v>726</v>
      </c>
      <c r="DP9" s="92">
        <v>3672</v>
      </c>
      <c r="DQ9" s="92">
        <v>622510</v>
      </c>
      <c r="DR9" s="92">
        <v>0</v>
      </c>
      <c r="DS9" s="92">
        <v>271759</v>
      </c>
      <c r="DT9" s="92">
        <v>0</v>
      </c>
      <c r="DU9" s="92">
        <v>1656356</v>
      </c>
      <c r="DV9" s="92">
        <v>0</v>
      </c>
      <c r="DW9" s="92">
        <v>3078</v>
      </c>
      <c r="DX9" s="92">
        <v>0</v>
      </c>
      <c r="DY9" s="92">
        <v>1215783</v>
      </c>
      <c r="DZ9" s="92">
        <v>0</v>
      </c>
      <c r="EA9" s="92">
        <v>0</v>
      </c>
      <c r="EB9" s="92">
        <v>12431</v>
      </c>
      <c r="EC9" s="92">
        <v>3639071</v>
      </c>
      <c r="ED9" s="92">
        <v>0</v>
      </c>
      <c r="EE9" s="92">
        <v>197140</v>
      </c>
      <c r="EF9" s="92">
        <v>31757</v>
      </c>
      <c r="EG9" s="92">
        <v>235823</v>
      </c>
      <c r="EH9" s="92">
        <v>66932</v>
      </c>
      <c r="EI9" s="92">
        <v>0</v>
      </c>
      <c r="EJ9" s="92">
        <v>0</v>
      </c>
      <c r="EK9" s="92">
        <v>3265494</v>
      </c>
      <c r="EL9" s="92">
        <v>0</v>
      </c>
      <c r="EM9" s="92">
        <v>0</v>
      </c>
      <c r="EN9" s="92">
        <v>77048</v>
      </c>
      <c r="EO9" s="92">
        <v>3232775</v>
      </c>
      <c r="EP9" s="92">
        <v>663397</v>
      </c>
      <c r="EQ9" s="92">
        <v>0</v>
      </c>
      <c r="ER9" s="92">
        <v>0</v>
      </c>
      <c r="ES9" s="92">
        <v>12971454</v>
      </c>
      <c r="ET9" s="92">
        <v>0</v>
      </c>
      <c r="EU9" s="92">
        <v>366695</v>
      </c>
      <c r="EV9" s="92">
        <v>248441</v>
      </c>
      <c r="EW9" s="92">
        <v>1482890</v>
      </c>
      <c r="EX9" s="92">
        <v>0</v>
      </c>
      <c r="EY9" s="92">
        <v>122237</v>
      </c>
      <c r="EZ9" s="92">
        <v>0</v>
      </c>
      <c r="FA9" s="92">
        <v>2547157</v>
      </c>
      <c r="FB9" s="92">
        <v>0</v>
      </c>
      <c r="FC9" s="92">
        <v>89430</v>
      </c>
      <c r="FD9" s="92">
        <v>0</v>
      </c>
      <c r="FE9" s="92">
        <v>0</v>
      </c>
      <c r="FF9" s="92">
        <v>0</v>
      </c>
      <c r="FG9" s="92">
        <v>0</v>
      </c>
      <c r="FH9" s="92">
        <v>0</v>
      </c>
      <c r="FI9" s="92">
        <v>0</v>
      </c>
      <c r="FJ9" s="92">
        <v>0</v>
      </c>
      <c r="FK9" s="92">
        <v>0</v>
      </c>
      <c r="FL9" s="92">
        <v>0</v>
      </c>
      <c r="FM9" s="92">
        <v>0</v>
      </c>
      <c r="FN9" s="92">
        <v>0</v>
      </c>
      <c r="FO9" s="92">
        <v>0</v>
      </c>
      <c r="FP9" s="92">
        <v>0</v>
      </c>
      <c r="FQ9" s="92">
        <v>0</v>
      </c>
      <c r="FR9" s="92">
        <v>0</v>
      </c>
      <c r="FS9" s="92">
        <v>0</v>
      </c>
      <c r="FT9" s="92">
        <v>0</v>
      </c>
      <c r="FU9" s="92">
        <v>0</v>
      </c>
      <c r="FV9" s="92">
        <v>0</v>
      </c>
      <c r="FW9" s="92">
        <v>0</v>
      </c>
      <c r="FX9" s="92">
        <v>0</v>
      </c>
      <c r="FY9" s="92">
        <v>0</v>
      </c>
      <c r="FZ9" s="92">
        <v>0</v>
      </c>
      <c r="GA9" s="92">
        <v>0</v>
      </c>
      <c r="GB9" s="92">
        <v>0</v>
      </c>
      <c r="GC9" s="92">
        <v>0</v>
      </c>
      <c r="GD9" s="92">
        <v>64073221</v>
      </c>
      <c r="GE9" s="92">
        <v>67218503</v>
      </c>
      <c r="GF9" s="92">
        <v>497602840</v>
      </c>
      <c r="GG9" s="47" t="s">
        <v>491</v>
      </c>
      <c r="GH9" s="47" t="s">
        <v>492</v>
      </c>
      <c r="GI9" s="93">
        <v>9568828262</v>
      </c>
      <c r="GJ9" s="47" t="s">
        <v>493</v>
      </c>
      <c r="GK9" s="47" t="s">
        <v>494</v>
      </c>
      <c r="GL9" s="47" t="s">
        <v>495</v>
      </c>
      <c r="GM9" s="93">
        <v>9566657906</v>
      </c>
      <c r="GN9" s="47" t="s">
        <v>496</v>
      </c>
      <c r="GO9" s="92" cm="1">
        <f t="array" ref="GO9">IFERROR(_xlfn.IFS(ResearchInput[[#This Row],[Type]]="HRI",SUMIFS('FTSE | FTFE'!$P$8:$P$77,'FTSE | FTFE'!$H$8:$H$77,A9),ResearchInput[[#This Row],[Type]]="UNIV",SUMIFS('FTSE | FTFE'!$P$104:$P$139,'FTSE | FTFE'!$H$104:$H$139,A9),OR(ResearchInput[[#This Row],[Type]]="TSTC",ResearchInput[[#This Row],[Type]]="LSC"),SUMIFS('FTSE | FTFE'!$O$88:$O$96,'FTSE | FTFE'!$H$88:$H$96,A9),ResearchInput[[#This Row],[Type]]="AHM",SUMIFS(Hidden!$H$43:$H$46,Hidden!$G$42:$G$45,A9)),"N/A")</f>
        <v>29153</v>
      </c>
      <c r="GP9" s="92" cm="1">
        <f t="array" ref="GP9">IFERROR(_xlfn.IFS(ResearchInput[[#This Row],[Type]]="HRI",SUMIFS('FTSE | FTFE'!$Q$8:$Q$77,'FTSE | FTFE'!$H$8:$H$77,A9),ResearchInput[[#This Row],[Type]]="UNIV",SUMIFS('FTSE | FTFE'!$Q$104:$Q$139,'FTSE | FTFE'!$H$104:$H$139,A9),OR(ResearchInput[[#This Row],[Type]]="TSTC",ResearchInput[[#This Row],[Type]]="LSC"),SUMIFS('FTSE | FTFE'!$P$88:$P$96,'FTSE | FTFE'!$H$88:$H$96,A9)),"N/A")</f>
        <v>336</v>
      </c>
      <c r="GQ9" s="92">
        <v>0</v>
      </c>
      <c r="GR9" s="92">
        <f>SUM(ResearchInput[[#This Row],[Fed.Comp]],ResearchInput[[#This Row],[Fed.Eng]],ResearchInput[[#This Row],[Fed.Geo]],ResearchInput[[#This Row],[Fed.Life]],ResearchInput[[#This Row],[Fed.Math]],ResearchInput[[#This Row],[Fed.Phys]],ResearchInput[[#This Row],[Fed.Psyc]],ResearchInput[[#This Row],[Fed.Soc]],ResearchInput[[#This Row],[Fed.Othr]],ResearchInput[[#This Row],[Fed.Non]])</f>
        <v>26001302</v>
      </c>
      <c r="GS9" s="92">
        <f>SUM(ResearchInput[[#This Row],[St.Comp]],ResearchInput[[#This Row],[St.Eng]],ResearchInput[[#This Row],[St.Geo]],ResearchInput[[#This Row],[St.Life]],ResearchInput[[#This Row],[St.Math]],ResearchInput[[#This Row],[St.Phys]],ResearchInput[[#This Row],[St.Psyc]],ResearchInput[[#This Row],[St.Soc]],ResearchInput[[#This Row],[St.Othr]],ResearchInput[[#This Row],[St.Non]])</f>
        <v>1228770</v>
      </c>
      <c r="GT9" s="92">
        <f>SUM(ResearchInput[[#This Row],[St.C&amp;G.Comp]],ResearchInput[[#This Row],[St.C&amp;G.Eng]],ResearchInput[[#This Row],[St.C&amp;G.Geo]],ResearchInput[[#This Row],[St.C&amp;G.Life]],ResearchInput[[#This Row],[St.C&amp;G.Math]],ResearchInput[[#This Row],[St.C&amp;G.Phys]],ResearchInput[[#This Row],[St.C&amp;G.Psyc]],ResearchInput[[#This Row],[St.C&amp;G.Soc]],ResearchInput[[#This Row],[St.C&amp;G.Othr]],ResearchInput[[#This Row],[St.C&amp;G.Non]])</f>
        <v>1050745</v>
      </c>
      <c r="GU9" s="92">
        <f>SUM(ResearchInput[[#This Row],[St.All.Comp]],ResearchInput[[#This Row],[St.All.Eng]],ResearchInput[[#This Row],[St.All.Geo]],ResearchInput[[#This Row],[St.All.Life]],ResearchInput[[#This Row],[St.All.Math]],ResearchInput[[#This Row],[St.All.Phys]],ResearchInput[[#This Row],[St.All.Psyc]],ResearchInput[[#This Row],[St.All.Soc]],ResearchInput[[#This Row],[St.All.Othr]],ResearchInput[[#This Row],[St.All.Non]])</f>
        <v>12431</v>
      </c>
      <c r="GV9" s="92">
        <f>SUM(ResearchInput[[#This Row],[Inst.Comp]],ResearchInput[[#This Row],[Inst.Eng]],ResearchInput[[#This Row],[Inst.Geo]],ResearchInput[[#This Row],[Inst.Life]],ResearchInput[[#This Row],[Inst.Math]],ResearchInput[[#This Row],[Inst.Phys]],ResearchInput[[#This Row],[Inst.Psyc]],ResearchInput[[#This Row],[Inst.Soc]],ResearchInput[[#This Row],[Inst.Othr]],ResearchInput[[#This Row],[Inst.Non]])</f>
        <v>41431653</v>
      </c>
      <c r="GW9" s="92">
        <f>SUM(ResearchInput[[#This Row],[P4P.Comp]],ResearchInput[[#This Row],[P4P.Eng]],ResearchInput[[#This Row],[P4P.Geo]],ResearchInput[[#This Row],[P4P.Life]],ResearchInput[[#This Row],[P4P.Math]],ResearchInput[[#This Row],[P4P.Phys]],ResearchInput[[#This Row],[P4P.Psyc]],ResearchInput[[#This Row],[P4P.Soc]],ResearchInput[[#This Row],[P4P.Othr]],ResearchInput[[#This Row],[P4P.Non]])</f>
        <v>1076366</v>
      </c>
      <c r="GX9" s="92">
        <f>SUM(ResearchInput[[#This Row],[PNP.Comp]],ResearchInput[[#This Row],[PNP.Eng]],ResearchInput[[#This Row],[PNP.Geo]],ResearchInput[[#This Row],[PNP.Life]],ResearchInput[[#This Row],[PNP.Math]],ResearchInput[[#This Row],[PNP.Phys]],ResearchInput[[#This Row],[PNP.Psyc]],ResearchInput[[#This Row],[PNP.Soc]],ResearchInput[[#This Row],[PNP.Othr]],ResearchInput[[#This Row],[PNP.Non]])</f>
        <v>915052</v>
      </c>
      <c r="GY9" s="92">
        <f>SUM(ResearchInput[[#This Row],[P.All.Comp]],ResearchInput[[#This Row],[P.All.Eng]],ResearchInput[[#This Row],[P.All.Geo]],ResearchInput[[#This Row],[P.All.Life]],ResearchInput[[#This Row],[P.All.Math]],ResearchInput[[#This Row],[P.All.Phys]],ResearchInput[[#This Row],[P.All.Psyc]],ResearchInput[[#This Row],[P.All.Soc]],ResearchInput[[#This Row],[P.All.Othr]],ResearchInput[[#This Row],[P.All.Non]])</f>
        <v>536273</v>
      </c>
    </row>
    <row r="10" spans="1:207" s="47" customFormat="1" ht="27" customHeight="1" x14ac:dyDescent="0.25">
      <c r="A10" s="34" t="s">
        <v>169</v>
      </c>
      <c r="B10" s="34" t="s">
        <v>671</v>
      </c>
      <c r="C10" s="35" t="s">
        <v>682</v>
      </c>
      <c r="D10" s="35" t="s">
        <v>673</v>
      </c>
      <c r="E10" s="94">
        <v>108</v>
      </c>
      <c r="F10" s="35" t="s">
        <v>714</v>
      </c>
      <c r="G10" s="35" t="s">
        <v>690</v>
      </c>
      <c r="H10" s="96">
        <v>9930</v>
      </c>
      <c r="I10" s="92">
        <v>1775786</v>
      </c>
      <c r="J10" s="92">
        <v>742986</v>
      </c>
      <c r="K10" s="92">
        <v>0</v>
      </c>
      <c r="L10" s="92">
        <v>0</v>
      </c>
      <c r="M10" s="92">
        <v>116806</v>
      </c>
      <c r="N10" s="92">
        <v>48704</v>
      </c>
      <c r="O10" s="92">
        <v>212474</v>
      </c>
      <c r="P10" s="92">
        <v>0</v>
      </c>
      <c r="Q10" s="92">
        <v>0</v>
      </c>
      <c r="R10" s="92">
        <v>0</v>
      </c>
      <c r="S10" s="92">
        <v>0</v>
      </c>
      <c r="T10" s="92">
        <v>0</v>
      </c>
      <c r="U10" s="92">
        <v>0</v>
      </c>
      <c r="V10" s="92">
        <v>0</v>
      </c>
      <c r="W10" s="92">
        <v>0</v>
      </c>
      <c r="X10" s="92">
        <v>0</v>
      </c>
      <c r="Y10" s="92">
        <v>0</v>
      </c>
      <c r="Z10" s="92">
        <v>0</v>
      </c>
      <c r="AA10" s="92">
        <v>0</v>
      </c>
      <c r="AB10" s="92">
        <v>0</v>
      </c>
      <c r="AC10" s="92">
        <v>0</v>
      </c>
      <c r="AD10" s="92">
        <v>0</v>
      </c>
      <c r="AE10" s="92">
        <v>0</v>
      </c>
      <c r="AF10" s="92">
        <v>0</v>
      </c>
      <c r="AG10" s="92">
        <v>233295</v>
      </c>
      <c r="AH10" s="92">
        <v>0</v>
      </c>
      <c r="AI10" s="92">
        <v>0</v>
      </c>
      <c r="AJ10" s="92">
        <v>0</v>
      </c>
      <c r="AK10" s="92">
        <v>0</v>
      </c>
      <c r="AL10" s="92">
        <v>128</v>
      </c>
      <c r="AM10" s="92">
        <v>0</v>
      </c>
      <c r="AN10" s="92">
        <v>0</v>
      </c>
      <c r="AO10" s="92">
        <v>0</v>
      </c>
      <c r="AP10" s="92">
        <v>0</v>
      </c>
      <c r="AQ10" s="92">
        <v>0</v>
      </c>
      <c r="AR10" s="92">
        <v>0</v>
      </c>
      <c r="AS10" s="92">
        <v>0</v>
      </c>
      <c r="AT10" s="92">
        <v>0</v>
      </c>
      <c r="AU10" s="92">
        <v>0</v>
      </c>
      <c r="AV10" s="92">
        <v>0</v>
      </c>
      <c r="AW10" s="92">
        <v>0</v>
      </c>
      <c r="AX10" s="92">
        <v>0</v>
      </c>
      <c r="AY10" s="92">
        <v>0</v>
      </c>
      <c r="AZ10" s="92">
        <v>0</v>
      </c>
      <c r="BA10" s="92">
        <v>0</v>
      </c>
      <c r="BB10" s="92">
        <v>0</v>
      </c>
      <c r="BC10" s="92">
        <v>0</v>
      </c>
      <c r="BD10" s="92">
        <v>0</v>
      </c>
      <c r="BE10" s="92">
        <v>0</v>
      </c>
      <c r="BF10" s="92">
        <v>0</v>
      </c>
      <c r="BG10" s="92">
        <v>0</v>
      </c>
      <c r="BH10" s="92">
        <v>0</v>
      </c>
      <c r="BI10" s="92">
        <v>0</v>
      </c>
      <c r="BJ10" s="92">
        <v>0</v>
      </c>
      <c r="BK10" s="92">
        <v>0</v>
      </c>
      <c r="BL10" s="92">
        <v>0</v>
      </c>
      <c r="BM10" s="92">
        <v>0</v>
      </c>
      <c r="BN10" s="92">
        <v>0</v>
      </c>
      <c r="BO10" s="92">
        <v>0</v>
      </c>
      <c r="BP10" s="92">
        <v>0</v>
      </c>
      <c r="BQ10" s="92">
        <v>0</v>
      </c>
      <c r="BR10" s="92">
        <v>0</v>
      </c>
      <c r="BS10" s="92">
        <v>0</v>
      </c>
      <c r="BT10" s="92">
        <v>0</v>
      </c>
      <c r="BU10" s="92">
        <v>0</v>
      </c>
      <c r="BV10" s="92">
        <v>0</v>
      </c>
      <c r="BW10" s="92">
        <v>0</v>
      </c>
      <c r="BX10" s="92">
        <v>0</v>
      </c>
      <c r="BY10" s="92">
        <v>0</v>
      </c>
      <c r="BZ10" s="92">
        <v>0</v>
      </c>
      <c r="CA10" s="92">
        <v>0</v>
      </c>
      <c r="CB10" s="92">
        <v>0</v>
      </c>
      <c r="CC10" s="92">
        <v>805774</v>
      </c>
      <c r="CD10" s="92">
        <v>126372</v>
      </c>
      <c r="CE10" s="92">
        <v>0</v>
      </c>
      <c r="CF10" s="92">
        <v>0</v>
      </c>
      <c r="CG10" s="92">
        <v>-32988</v>
      </c>
      <c r="CH10" s="92">
        <v>1409</v>
      </c>
      <c r="CI10" s="92">
        <v>127605</v>
      </c>
      <c r="CJ10" s="92">
        <v>0</v>
      </c>
      <c r="CK10" s="92">
        <v>0</v>
      </c>
      <c r="CL10" s="92">
        <v>0</v>
      </c>
      <c r="CM10" s="92">
        <v>0</v>
      </c>
      <c r="CN10" s="92">
        <v>0</v>
      </c>
      <c r="CO10" s="92">
        <v>0</v>
      </c>
      <c r="CP10" s="92">
        <v>0</v>
      </c>
      <c r="CQ10" s="92">
        <v>0</v>
      </c>
      <c r="CR10" s="92">
        <v>0</v>
      </c>
      <c r="CS10" s="92">
        <v>272252</v>
      </c>
      <c r="CT10" s="92">
        <v>4981</v>
      </c>
      <c r="CU10" s="92">
        <v>0</v>
      </c>
      <c r="CV10" s="92">
        <v>0</v>
      </c>
      <c r="CW10" s="92">
        <v>55838</v>
      </c>
      <c r="CX10" s="92">
        <v>0</v>
      </c>
      <c r="CY10" s="92">
        <v>3759</v>
      </c>
      <c r="CZ10" s="92">
        <v>0</v>
      </c>
      <c r="DA10" s="92">
        <v>0</v>
      </c>
      <c r="DB10" s="92">
        <v>0</v>
      </c>
      <c r="DC10" s="92">
        <v>0</v>
      </c>
      <c r="DD10" s="92">
        <v>0</v>
      </c>
      <c r="DE10" s="92">
        <v>0</v>
      </c>
      <c r="DF10" s="92">
        <v>0</v>
      </c>
      <c r="DG10" s="92">
        <v>0</v>
      </c>
      <c r="DH10" s="92">
        <v>0</v>
      </c>
      <c r="DI10" s="92">
        <v>0</v>
      </c>
      <c r="DJ10" s="92">
        <v>0</v>
      </c>
      <c r="DK10" s="92">
        <v>0</v>
      </c>
      <c r="DL10" s="92">
        <v>0</v>
      </c>
      <c r="DM10" s="92">
        <v>0</v>
      </c>
      <c r="DN10" s="92">
        <v>0</v>
      </c>
      <c r="DO10" s="92">
        <v>0</v>
      </c>
      <c r="DP10" s="92">
        <v>0</v>
      </c>
      <c r="DQ10" s="92">
        <v>10175</v>
      </c>
      <c r="DR10" s="92">
        <v>0</v>
      </c>
      <c r="DS10" s="92">
        <v>0</v>
      </c>
      <c r="DT10" s="92">
        <v>0</v>
      </c>
      <c r="DU10" s="92">
        <v>0</v>
      </c>
      <c r="DV10" s="92">
        <v>0</v>
      </c>
      <c r="DW10" s="92">
        <v>0</v>
      </c>
      <c r="DX10" s="92">
        <v>0</v>
      </c>
      <c r="DY10" s="92">
        <v>-219595</v>
      </c>
      <c r="DZ10" s="92">
        <v>1639</v>
      </c>
      <c r="EA10" s="92">
        <v>0</v>
      </c>
      <c r="EB10" s="92">
        <v>0</v>
      </c>
      <c r="EC10" s="92">
        <v>0</v>
      </c>
      <c r="ED10" s="92">
        <v>0</v>
      </c>
      <c r="EE10" s="92">
        <v>0</v>
      </c>
      <c r="EF10" s="92">
        <v>0</v>
      </c>
      <c r="EG10" s="92">
        <v>287776</v>
      </c>
      <c r="EH10" s="92">
        <v>0</v>
      </c>
      <c r="EI10" s="92">
        <v>0</v>
      </c>
      <c r="EJ10" s="92">
        <v>0</v>
      </c>
      <c r="EK10" s="92">
        <v>2867</v>
      </c>
      <c r="EL10" s="92">
        <v>47423</v>
      </c>
      <c r="EM10" s="92">
        <v>0</v>
      </c>
      <c r="EN10" s="92">
        <v>0</v>
      </c>
      <c r="EO10" s="92">
        <v>852699</v>
      </c>
      <c r="EP10" s="92">
        <v>609994</v>
      </c>
      <c r="EQ10" s="92">
        <v>0</v>
      </c>
      <c r="ER10" s="92">
        <v>0</v>
      </c>
      <c r="ES10" s="92">
        <v>91089</v>
      </c>
      <c r="ET10" s="92">
        <v>0</v>
      </c>
      <c r="EU10" s="92">
        <v>81110</v>
      </c>
      <c r="EV10" s="92">
        <v>0</v>
      </c>
      <c r="EW10" s="92">
        <v>0</v>
      </c>
      <c r="EX10" s="92">
        <v>0</v>
      </c>
      <c r="EY10" s="92">
        <v>0</v>
      </c>
      <c r="EZ10" s="92">
        <v>0</v>
      </c>
      <c r="FA10" s="92">
        <v>0</v>
      </c>
      <c r="FB10" s="92">
        <v>0</v>
      </c>
      <c r="FC10" s="92">
        <v>0</v>
      </c>
      <c r="FD10" s="92">
        <v>0</v>
      </c>
      <c r="FE10" s="92">
        <v>0</v>
      </c>
      <c r="FF10" s="92">
        <v>0</v>
      </c>
      <c r="FG10" s="92">
        <v>0</v>
      </c>
      <c r="FH10" s="92">
        <v>0</v>
      </c>
      <c r="FI10" s="92">
        <v>0</v>
      </c>
      <c r="FJ10" s="92">
        <v>0</v>
      </c>
      <c r="FK10" s="92">
        <v>0</v>
      </c>
      <c r="FL10" s="92">
        <v>0</v>
      </c>
      <c r="FM10" s="92">
        <v>0</v>
      </c>
      <c r="FN10" s="92">
        <v>0</v>
      </c>
      <c r="FO10" s="92">
        <v>0</v>
      </c>
      <c r="FP10" s="92">
        <v>0</v>
      </c>
      <c r="FQ10" s="92">
        <v>0</v>
      </c>
      <c r="FR10" s="92">
        <v>0</v>
      </c>
      <c r="FS10" s="92">
        <v>0</v>
      </c>
      <c r="FT10" s="92">
        <v>0</v>
      </c>
      <c r="FU10" s="92">
        <v>0</v>
      </c>
      <c r="FV10" s="92">
        <v>0</v>
      </c>
      <c r="FW10" s="92">
        <v>0</v>
      </c>
      <c r="FX10" s="92">
        <v>0</v>
      </c>
      <c r="FY10" s="92">
        <v>0</v>
      </c>
      <c r="FZ10" s="92">
        <v>0</v>
      </c>
      <c r="GA10" s="92">
        <v>0</v>
      </c>
      <c r="GB10" s="92">
        <v>0</v>
      </c>
      <c r="GC10" s="92">
        <v>0</v>
      </c>
      <c r="GD10" s="92">
        <v>2896756</v>
      </c>
      <c r="GE10" s="92">
        <v>2787335</v>
      </c>
      <c r="GF10" s="92">
        <v>81984916</v>
      </c>
      <c r="GG10" s="47" t="s">
        <v>293</v>
      </c>
      <c r="GH10" s="47" t="s">
        <v>294</v>
      </c>
      <c r="GI10" s="93">
        <v>9033602574</v>
      </c>
      <c r="GJ10" s="47" t="s">
        <v>295</v>
      </c>
      <c r="GK10" s="47" t="s">
        <v>296</v>
      </c>
      <c r="GL10" s="47" t="s">
        <v>297</v>
      </c>
      <c r="GM10" s="93">
        <v>9033602574</v>
      </c>
      <c r="GN10" s="47" t="s">
        <v>298</v>
      </c>
      <c r="GO10" s="92" cm="1">
        <f t="array" ref="GO10">IFERROR(_xlfn.IFS(ResearchInput[[#This Row],[Type]]="HRI",SUMIFS('FTSE | FTFE'!$P$8:$P$77,'FTSE | FTFE'!$H$8:$H$77,A10),ResearchInput[[#This Row],[Type]]="UNIV",SUMIFS('FTSE | FTFE'!$P$104:$P$139,'FTSE | FTFE'!$H$104:$H$139,A10),OR(ResearchInput[[#This Row],[Type]]="TSTC",ResearchInput[[#This Row],[Type]]="LSC"),SUMIFS('FTSE | FTFE'!$O$88:$O$96,'FTSE | FTFE'!$H$88:$H$96,A10),ResearchInput[[#This Row],[Type]]="AHM",SUMIFS(Hidden!$H$43:$H$46,Hidden!$G$42:$G$45,A10)),"N/A")</f>
        <v>3784</v>
      </c>
      <c r="GP10" s="92" cm="1">
        <f t="array" ref="GP10">IFERROR(_xlfn.IFS(ResearchInput[[#This Row],[Type]]="HRI",SUMIFS('FTSE | FTFE'!$Q$8:$Q$77,'FTSE | FTFE'!$H$8:$H$77,A10),ResearchInput[[#This Row],[Type]]="UNIV",SUMIFS('FTSE | FTFE'!$Q$104:$Q$139,'FTSE | FTFE'!$H$104:$H$139,A10),OR(ResearchInput[[#This Row],[Type]]="TSTC",ResearchInput[[#This Row],[Type]]="LSC"),SUMIFS('FTSE | FTFE'!$P$88:$P$96,'FTSE | FTFE'!$H$88:$H$96,A10)),"N/A")</f>
        <v>100</v>
      </c>
      <c r="GQ10" s="92">
        <v>0</v>
      </c>
      <c r="GR10" s="92">
        <f>SUM(ResearchInput[[#This Row],[Fed.Comp]],ResearchInput[[#This Row],[Fed.Eng]],ResearchInput[[#This Row],[Fed.Geo]],ResearchInput[[#This Row],[Fed.Life]],ResearchInput[[#This Row],[Fed.Math]],ResearchInput[[#This Row],[Fed.Phys]],ResearchInput[[#This Row],[Fed.Psyc]],ResearchInput[[#This Row],[Fed.Soc]],ResearchInput[[#This Row],[Fed.Othr]],ResearchInput[[#This Row],[Fed.Non]])</f>
        <v>2009081</v>
      </c>
      <c r="GS10" s="92">
        <f>SUM(ResearchInput[[#This Row],[St.Comp]],ResearchInput[[#This Row],[St.Eng]],ResearchInput[[#This Row],[St.Geo]],ResearchInput[[#This Row],[St.Life]],ResearchInput[[#This Row],[St.Math]],ResearchInput[[#This Row],[St.Phys]],ResearchInput[[#This Row],[St.Psyc]],ResearchInput[[#This Row],[St.Soc]],ResearchInput[[#This Row],[St.Othr]],ResearchInput[[#This Row],[St.Non]])</f>
        <v>742986</v>
      </c>
      <c r="GT10" s="92">
        <f>SUM(ResearchInput[[#This Row],[St.C&amp;G.Comp]],ResearchInput[[#This Row],[St.C&amp;G.Eng]],ResearchInput[[#This Row],[St.C&amp;G.Geo]],ResearchInput[[#This Row],[St.C&amp;G.Life]],ResearchInput[[#This Row],[St.C&amp;G.Math]],ResearchInput[[#This Row],[St.C&amp;G.Phys]],ResearchInput[[#This Row],[St.C&amp;G.Psyc]],ResearchInput[[#This Row],[St.C&amp;G.Soc]],ResearchInput[[#This Row],[St.C&amp;G.Othr]],ResearchInput[[#This Row],[St.C&amp;G.Non]])</f>
        <v>0</v>
      </c>
      <c r="GU10" s="92">
        <f>SUM(ResearchInput[[#This Row],[St.All.Comp]],ResearchInput[[#This Row],[St.All.Eng]],ResearchInput[[#This Row],[St.All.Geo]],ResearchInput[[#This Row],[St.All.Life]],ResearchInput[[#This Row],[St.All.Math]],ResearchInput[[#This Row],[St.All.Phys]],ResearchInput[[#This Row],[St.All.Psyc]],ResearchInput[[#This Row],[St.All.Soc]],ResearchInput[[#This Row],[St.All.Othr]],ResearchInput[[#This Row],[St.All.Non]])</f>
        <v>0</v>
      </c>
      <c r="GV10" s="92">
        <f>SUM(ResearchInput[[#This Row],[Inst.Comp]],ResearchInput[[#This Row],[Inst.Eng]],ResearchInput[[#This Row],[Inst.Geo]],ResearchInput[[#This Row],[Inst.Life]],ResearchInput[[#This Row],[Inst.Math]],ResearchInput[[#This Row],[Inst.Phys]],ResearchInput[[#This Row],[Inst.Psyc]],ResearchInput[[#This Row],[Inst.Soc]],ResearchInput[[#This Row],[Inst.Othr]],ResearchInput[[#This Row],[Inst.Non]])</f>
        <v>116806</v>
      </c>
      <c r="GW10" s="92">
        <f>SUM(ResearchInput[[#This Row],[P4P.Comp]],ResearchInput[[#This Row],[P4P.Eng]],ResearchInput[[#This Row],[P4P.Geo]],ResearchInput[[#This Row],[P4P.Life]],ResearchInput[[#This Row],[P4P.Math]],ResearchInput[[#This Row],[P4P.Phys]],ResearchInput[[#This Row],[P4P.Psyc]],ResearchInput[[#This Row],[P4P.Soc]],ResearchInput[[#This Row],[P4P.Othr]],ResearchInput[[#This Row],[P4P.Non]])</f>
        <v>48832</v>
      </c>
      <c r="GX10" s="92">
        <f>SUM(ResearchInput[[#This Row],[PNP.Comp]],ResearchInput[[#This Row],[PNP.Eng]],ResearchInput[[#This Row],[PNP.Geo]],ResearchInput[[#This Row],[PNP.Life]],ResearchInput[[#This Row],[PNP.Math]],ResearchInput[[#This Row],[PNP.Phys]],ResearchInput[[#This Row],[PNP.Psyc]],ResearchInput[[#This Row],[PNP.Soc]],ResearchInput[[#This Row],[PNP.Othr]],ResearchInput[[#This Row],[PNP.Non]])</f>
        <v>212474</v>
      </c>
      <c r="GY10" s="92">
        <f>SUM(ResearchInput[[#This Row],[P.All.Comp]],ResearchInput[[#This Row],[P.All.Eng]],ResearchInput[[#This Row],[P.All.Geo]],ResearchInput[[#This Row],[P.All.Life]],ResearchInput[[#This Row],[P.All.Math]],ResearchInput[[#This Row],[P.All.Phys]],ResearchInput[[#This Row],[P.All.Psyc]],ResearchInput[[#This Row],[P.All.Soc]],ResearchInput[[#This Row],[P.All.Othr]],ResearchInput[[#This Row],[P.All.Non]])</f>
        <v>0</v>
      </c>
    </row>
    <row r="11" spans="1:207" s="47" customFormat="1" ht="27" customHeight="1" x14ac:dyDescent="0.25">
      <c r="A11" s="34" t="s">
        <v>170</v>
      </c>
      <c r="B11" s="34" t="s">
        <v>671</v>
      </c>
      <c r="C11" s="35" t="s">
        <v>682</v>
      </c>
      <c r="D11" s="35" t="s">
        <v>673</v>
      </c>
      <c r="E11" s="94">
        <v>109</v>
      </c>
      <c r="F11" s="35" t="s">
        <v>714</v>
      </c>
      <c r="G11" s="35" t="s">
        <v>694</v>
      </c>
      <c r="H11" s="96">
        <v>10115</v>
      </c>
      <c r="I11" s="92">
        <v>47515336</v>
      </c>
      <c r="J11" s="92">
        <v>69136201</v>
      </c>
      <c r="K11" s="92">
        <v>4554657</v>
      </c>
      <c r="L11" s="92">
        <v>0</v>
      </c>
      <c r="M11" s="92">
        <v>21758533</v>
      </c>
      <c r="N11" s="92">
        <v>7600387</v>
      </c>
      <c r="O11" s="92">
        <v>5088008</v>
      </c>
      <c r="P11" s="92">
        <v>0</v>
      </c>
      <c r="Q11" s="92">
        <v>-76656</v>
      </c>
      <c r="R11" s="92">
        <v>-6469759</v>
      </c>
      <c r="S11" s="92">
        <v>-620</v>
      </c>
      <c r="T11" s="92">
        <v>0</v>
      </c>
      <c r="U11" s="92">
        <v>-51667</v>
      </c>
      <c r="V11" s="92">
        <v>-56748</v>
      </c>
      <c r="W11" s="92">
        <v>-29636</v>
      </c>
      <c r="X11" s="92">
        <v>0</v>
      </c>
      <c r="Y11" s="92">
        <v>-1406204</v>
      </c>
      <c r="Z11" s="92">
        <v>0</v>
      </c>
      <c r="AA11" s="92">
        <v>-275728</v>
      </c>
      <c r="AB11" s="92">
        <v>0</v>
      </c>
      <c r="AC11" s="92">
        <v>0</v>
      </c>
      <c r="AD11" s="92">
        <v>0</v>
      </c>
      <c r="AE11" s="92">
        <v>0</v>
      </c>
      <c r="AF11" s="92">
        <v>0</v>
      </c>
      <c r="AG11" s="92">
        <v>13863045</v>
      </c>
      <c r="AH11" s="92">
        <v>0</v>
      </c>
      <c r="AI11" s="92">
        <v>514656</v>
      </c>
      <c r="AJ11" s="92">
        <v>0</v>
      </c>
      <c r="AK11" s="92">
        <v>663595</v>
      </c>
      <c r="AL11" s="92">
        <v>1067502</v>
      </c>
      <c r="AM11" s="92">
        <v>0</v>
      </c>
      <c r="AN11" s="92">
        <v>0</v>
      </c>
      <c r="AO11" s="92">
        <v>2871049</v>
      </c>
      <c r="AP11" s="92">
        <v>6897826</v>
      </c>
      <c r="AQ11" s="92">
        <v>-6882</v>
      </c>
      <c r="AR11" s="92">
        <v>0</v>
      </c>
      <c r="AS11" s="92">
        <v>457355</v>
      </c>
      <c r="AT11" s="92">
        <v>978845</v>
      </c>
      <c r="AU11" s="92">
        <v>-66520</v>
      </c>
      <c r="AV11" s="92">
        <v>0</v>
      </c>
      <c r="AW11" s="92">
        <v>0</v>
      </c>
      <c r="AX11" s="92">
        <v>0</v>
      </c>
      <c r="AY11" s="92">
        <v>0</v>
      </c>
      <c r="AZ11" s="92">
        <v>0</v>
      </c>
      <c r="BA11" s="92">
        <v>0</v>
      </c>
      <c r="BB11" s="92">
        <v>0</v>
      </c>
      <c r="BC11" s="92">
        <v>0</v>
      </c>
      <c r="BD11" s="92">
        <v>0</v>
      </c>
      <c r="BE11" s="92">
        <v>0</v>
      </c>
      <c r="BF11" s="92">
        <v>0</v>
      </c>
      <c r="BG11" s="92">
        <v>0</v>
      </c>
      <c r="BH11" s="92">
        <v>0</v>
      </c>
      <c r="BI11" s="92">
        <v>0</v>
      </c>
      <c r="BJ11" s="92">
        <v>0</v>
      </c>
      <c r="BK11" s="92">
        <v>0</v>
      </c>
      <c r="BL11" s="92">
        <v>0</v>
      </c>
      <c r="BM11" s="92">
        <v>0</v>
      </c>
      <c r="BN11" s="92">
        <v>0</v>
      </c>
      <c r="BO11" s="92">
        <v>0</v>
      </c>
      <c r="BP11" s="92">
        <v>0</v>
      </c>
      <c r="BQ11" s="92">
        <v>0</v>
      </c>
      <c r="BR11" s="92">
        <v>0</v>
      </c>
      <c r="BS11" s="92">
        <v>0</v>
      </c>
      <c r="BT11" s="92">
        <v>0</v>
      </c>
      <c r="BU11" s="92">
        <v>15744868</v>
      </c>
      <c r="BV11" s="92">
        <v>6660961</v>
      </c>
      <c r="BW11" s="92">
        <v>412640</v>
      </c>
      <c r="BX11" s="92">
        <v>0</v>
      </c>
      <c r="BY11" s="92">
        <v>1597229</v>
      </c>
      <c r="BZ11" s="92">
        <v>830832</v>
      </c>
      <c r="CA11" s="92">
        <v>84510</v>
      </c>
      <c r="CB11" s="92">
        <v>0</v>
      </c>
      <c r="CC11" s="92">
        <v>13751248</v>
      </c>
      <c r="CD11" s="92">
        <v>11475542</v>
      </c>
      <c r="CE11" s="92">
        <v>1202345</v>
      </c>
      <c r="CF11" s="92">
        <v>0</v>
      </c>
      <c r="CG11" s="92">
        <v>6327847</v>
      </c>
      <c r="CH11" s="92">
        <v>2224299</v>
      </c>
      <c r="CI11" s="92">
        <v>818665</v>
      </c>
      <c r="CJ11" s="92">
        <v>0</v>
      </c>
      <c r="CK11" s="92">
        <v>388182</v>
      </c>
      <c r="CL11" s="92">
        <v>567293</v>
      </c>
      <c r="CM11" s="92">
        <v>116912</v>
      </c>
      <c r="CN11" s="92">
        <v>0</v>
      </c>
      <c r="CO11" s="92">
        <v>681777</v>
      </c>
      <c r="CP11" s="92">
        <v>12072</v>
      </c>
      <c r="CQ11" s="92">
        <v>81686</v>
      </c>
      <c r="CR11" s="92">
        <v>0</v>
      </c>
      <c r="CS11" s="92">
        <v>17350601</v>
      </c>
      <c r="CT11" s="92">
        <v>6551066</v>
      </c>
      <c r="CU11" s="92">
        <v>1109964</v>
      </c>
      <c r="CV11" s="92">
        <v>0</v>
      </c>
      <c r="CW11" s="92">
        <v>1054438</v>
      </c>
      <c r="CX11" s="92">
        <v>2116445</v>
      </c>
      <c r="CY11" s="92">
        <v>738739</v>
      </c>
      <c r="CZ11" s="92">
        <v>0</v>
      </c>
      <c r="DA11" s="92">
        <v>403731</v>
      </c>
      <c r="DB11" s="92">
        <v>1816842</v>
      </c>
      <c r="DC11" s="92">
        <v>0</v>
      </c>
      <c r="DD11" s="92">
        <v>0</v>
      </c>
      <c r="DE11" s="92">
        <v>88118</v>
      </c>
      <c r="DF11" s="92">
        <v>65355</v>
      </c>
      <c r="DG11" s="92">
        <v>40576</v>
      </c>
      <c r="DH11" s="92">
        <v>0</v>
      </c>
      <c r="DI11" s="92">
        <v>5486944</v>
      </c>
      <c r="DJ11" s="92">
        <v>4223579</v>
      </c>
      <c r="DK11" s="92">
        <v>492582</v>
      </c>
      <c r="DL11" s="92">
        <v>0</v>
      </c>
      <c r="DM11" s="92">
        <v>842758</v>
      </c>
      <c r="DN11" s="92">
        <v>1152324</v>
      </c>
      <c r="DO11" s="92">
        <v>1175909</v>
      </c>
      <c r="DP11" s="92">
        <v>0</v>
      </c>
      <c r="DQ11" s="92">
        <v>994623</v>
      </c>
      <c r="DR11" s="92">
        <v>2260437</v>
      </c>
      <c r="DS11" s="92">
        <v>33159</v>
      </c>
      <c r="DT11" s="92">
        <v>0</v>
      </c>
      <c r="DU11" s="92">
        <v>114832</v>
      </c>
      <c r="DV11" s="92">
        <v>216991</v>
      </c>
      <c r="DW11" s="92">
        <v>2971</v>
      </c>
      <c r="DX11" s="92">
        <v>0</v>
      </c>
      <c r="DY11" s="92">
        <v>3210078</v>
      </c>
      <c r="DZ11" s="92">
        <v>8175848</v>
      </c>
      <c r="EA11" s="92">
        <v>1015534</v>
      </c>
      <c r="EB11" s="92">
        <v>0</v>
      </c>
      <c r="EC11" s="92">
        <v>3480330</v>
      </c>
      <c r="ED11" s="92">
        <v>1449719</v>
      </c>
      <c r="EE11" s="92">
        <v>75543</v>
      </c>
      <c r="EF11" s="92">
        <v>0</v>
      </c>
      <c r="EG11" s="92">
        <v>1148729</v>
      </c>
      <c r="EH11" s="92">
        <v>12574063</v>
      </c>
      <c r="EI11" s="92">
        <v>1446</v>
      </c>
      <c r="EJ11" s="92">
        <v>0</v>
      </c>
      <c r="EK11" s="92">
        <v>5055909</v>
      </c>
      <c r="EL11" s="92">
        <v>23570</v>
      </c>
      <c r="EM11" s="92">
        <v>279371</v>
      </c>
      <c r="EN11" s="92">
        <v>0</v>
      </c>
      <c r="EO11" s="92">
        <v>4287566</v>
      </c>
      <c r="EP11" s="92">
        <v>15258637</v>
      </c>
      <c r="EQ11" s="92">
        <v>401501</v>
      </c>
      <c r="ER11" s="92">
        <v>0</v>
      </c>
      <c r="ES11" s="92">
        <v>3584578</v>
      </c>
      <c r="ET11" s="92">
        <v>1498379</v>
      </c>
      <c r="EU11" s="92">
        <v>1693882</v>
      </c>
      <c r="EV11" s="92">
        <v>0</v>
      </c>
      <c r="EW11" s="92">
        <v>3177407</v>
      </c>
      <c r="EX11" s="92">
        <v>0</v>
      </c>
      <c r="EY11" s="92">
        <v>1086603</v>
      </c>
      <c r="EZ11" s="92">
        <v>0</v>
      </c>
      <c r="FA11" s="92">
        <v>29015</v>
      </c>
      <c r="FB11" s="92">
        <v>226857</v>
      </c>
      <c r="FC11" s="92">
        <v>123638</v>
      </c>
      <c r="FD11" s="92">
        <v>0</v>
      </c>
      <c r="FE11" s="92">
        <v>0</v>
      </c>
      <c r="FF11" s="92">
        <v>0</v>
      </c>
      <c r="FG11" s="92">
        <v>0</v>
      </c>
      <c r="FH11" s="92">
        <v>0</v>
      </c>
      <c r="FI11" s="92">
        <v>0</v>
      </c>
      <c r="FJ11" s="92">
        <v>0</v>
      </c>
      <c r="FK11" s="92">
        <v>0</v>
      </c>
      <c r="FL11" s="92">
        <v>0</v>
      </c>
      <c r="FM11" s="92">
        <v>0</v>
      </c>
      <c r="FN11" s="92">
        <v>0</v>
      </c>
      <c r="FO11" s="92">
        <v>0</v>
      </c>
      <c r="FP11" s="92">
        <v>0</v>
      </c>
      <c r="FQ11" s="92">
        <v>0</v>
      </c>
      <c r="FR11" s="92">
        <v>0</v>
      </c>
      <c r="FS11" s="92">
        <v>0</v>
      </c>
      <c r="FT11" s="92">
        <v>0</v>
      </c>
      <c r="FU11" s="92">
        <v>0</v>
      </c>
      <c r="FV11" s="92">
        <v>0</v>
      </c>
      <c r="FW11" s="92">
        <v>0</v>
      </c>
      <c r="FX11" s="92">
        <v>0</v>
      </c>
      <c r="FY11" s="92">
        <v>0</v>
      </c>
      <c r="FZ11" s="92">
        <v>0</v>
      </c>
      <c r="GA11" s="92">
        <v>0</v>
      </c>
      <c r="GB11" s="92">
        <v>0</v>
      </c>
      <c r="GC11" s="92">
        <v>0</v>
      </c>
      <c r="GD11" s="92">
        <v>155653122</v>
      </c>
      <c r="GE11" s="92">
        <v>164677139</v>
      </c>
      <c r="GF11" s="92">
        <v>651410376</v>
      </c>
      <c r="GG11" s="47" t="s">
        <v>299</v>
      </c>
      <c r="GH11" s="47" t="s">
        <v>300</v>
      </c>
      <c r="GI11" s="93">
        <v>2103554180</v>
      </c>
      <c r="GJ11" s="47" t="s">
        <v>301</v>
      </c>
      <c r="GK11" s="47" t="s">
        <v>302</v>
      </c>
      <c r="GL11" s="47" t="s">
        <v>303</v>
      </c>
      <c r="GM11" s="93">
        <v>2104584345</v>
      </c>
      <c r="GN11" s="47" t="s">
        <v>304</v>
      </c>
      <c r="GO11" s="92" cm="1">
        <f t="array" ref="GO11">IFERROR(_xlfn.IFS(ResearchInput[[#This Row],[Type]]="HRI",SUMIFS('FTSE | FTFE'!$P$8:$P$77,'FTSE | FTFE'!$H$8:$H$77,A11),ResearchInput[[#This Row],[Type]]="UNIV",SUMIFS('FTSE | FTFE'!$P$104:$P$139,'FTSE | FTFE'!$H$104:$H$139,A11),OR(ResearchInput[[#This Row],[Type]]="TSTC",ResearchInput[[#This Row],[Type]]="LSC"),SUMIFS('FTSE | FTFE'!$O$88:$O$96,'FTSE | FTFE'!$H$88:$H$96,A11),ResearchInput[[#This Row],[Type]]="AHM",SUMIFS(Hidden!$H$43:$H$46,Hidden!$G$42:$G$45,A11)),"N/A")</f>
        <v>29190</v>
      </c>
      <c r="GP11" s="92" cm="1">
        <f t="array" ref="GP11">IFERROR(_xlfn.IFS(ResearchInput[[#This Row],[Type]]="HRI",SUMIFS('FTSE | FTFE'!$Q$8:$Q$77,'FTSE | FTFE'!$H$8:$H$77,A11),ResearchInput[[#This Row],[Type]]="UNIV",SUMIFS('FTSE | FTFE'!$Q$104:$Q$139,'FTSE | FTFE'!$H$104:$H$139,A11),OR(ResearchInput[[#This Row],[Type]]="TSTC",ResearchInput[[#This Row],[Type]]="LSC"),SUMIFS('FTSE | FTFE'!$P$88:$P$96,'FTSE | FTFE'!$H$88:$H$96,A11)),"N/A")</f>
        <v>605</v>
      </c>
      <c r="GQ11" s="92">
        <v>0</v>
      </c>
      <c r="GR11" s="92">
        <f>SUM(ResearchInput[[#This Row],[Fed.Comp]],ResearchInput[[#This Row],[Fed.Eng]],ResearchInput[[#This Row],[Fed.Geo]],ResearchInput[[#This Row],[Fed.Life]],ResearchInput[[#This Row],[Fed.Math]],ResearchInput[[#This Row],[Fed.Phys]],ResearchInput[[#This Row],[Fed.Psyc]],ResearchInput[[#This Row],[Fed.Soc]],ResearchInput[[#This Row],[Fed.Othr]],ResearchInput[[#This Row],[Fed.Non]])</f>
        <v>62766570</v>
      </c>
      <c r="GS11" s="92">
        <f>SUM(ResearchInput[[#This Row],[St.Comp]],ResearchInput[[#This Row],[St.Eng]],ResearchInput[[#This Row],[St.Geo]],ResearchInput[[#This Row],[St.Life]],ResearchInput[[#This Row],[St.Math]],ResearchInput[[#This Row],[St.Phys]],ResearchInput[[#This Row],[St.Psyc]],ResearchInput[[#This Row],[St.Soc]],ResearchInput[[#This Row],[St.Othr]],ResearchInput[[#This Row],[St.Non]])</f>
        <v>69564268</v>
      </c>
      <c r="GT11" s="92">
        <f>SUM(ResearchInput[[#This Row],[St.C&amp;G.Comp]],ResearchInput[[#This Row],[St.C&amp;G.Eng]],ResearchInput[[#This Row],[St.C&amp;G.Geo]],ResearchInput[[#This Row],[St.C&amp;G.Life]],ResearchInput[[#This Row],[St.C&amp;G.Math]],ResearchInput[[#This Row],[St.C&amp;G.Phys]],ResearchInput[[#This Row],[St.C&amp;G.Psyc]],ResearchInput[[#This Row],[St.C&amp;G.Soc]],ResearchInput[[#This Row],[St.C&amp;G.Othr]],ResearchInput[[#This Row],[St.C&amp;G.Non]])</f>
        <v>4786083</v>
      </c>
      <c r="GU11" s="92">
        <f>SUM(ResearchInput[[#This Row],[St.All.Comp]],ResearchInput[[#This Row],[St.All.Eng]],ResearchInput[[#This Row],[St.All.Geo]],ResearchInput[[#This Row],[St.All.Life]],ResearchInput[[#This Row],[St.All.Math]],ResearchInput[[#This Row],[St.All.Phys]],ResearchInput[[#This Row],[St.All.Psyc]],ResearchInput[[#This Row],[St.All.Soc]],ResearchInput[[#This Row],[St.All.Othr]],ResearchInput[[#This Row],[St.All.Non]])</f>
        <v>0</v>
      </c>
      <c r="GV11" s="92">
        <f>SUM(ResearchInput[[#This Row],[Inst.Comp]],ResearchInput[[#This Row],[Inst.Eng]],ResearchInput[[#This Row],[Inst.Geo]],ResearchInput[[#This Row],[Inst.Life]],ResearchInput[[#This Row],[Inst.Math]],ResearchInput[[#This Row],[Inst.Phys]],ResearchInput[[#This Row],[Inst.Psyc]],ResearchInput[[#This Row],[Inst.Soc]],ResearchInput[[#This Row],[Inst.Othr]],ResearchInput[[#This Row],[Inst.Non]])</f>
        <v>22827816</v>
      </c>
      <c r="GW11" s="92">
        <f>SUM(ResearchInput[[#This Row],[P4P.Comp]],ResearchInput[[#This Row],[P4P.Eng]],ResearchInput[[#This Row],[P4P.Geo]],ResearchInput[[#This Row],[P4P.Life]],ResearchInput[[#This Row],[P4P.Math]],ResearchInput[[#This Row],[P4P.Phys]],ResearchInput[[#This Row],[P4P.Psyc]],ResearchInput[[#This Row],[P4P.Soc]],ResearchInput[[#This Row],[P4P.Othr]],ResearchInput[[#This Row],[P4P.Non]])</f>
        <v>9589986</v>
      </c>
      <c r="GX11" s="92">
        <f>SUM(ResearchInput[[#This Row],[PNP.Comp]],ResearchInput[[#This Row],[PNP.Eng]],ResearchInput[[#This Row],[PNP.Geo]],ResearchInput[[#This Row],[PNP.Life]],ResearchInput[[#This Row],[PNP.Math]],ResearchInput[[#This Row],[PNP.Phys]],ResearchInput[[#This Row],[PNP.Psyc]],ResearchInput[[#This Row],[PNP.Soc]],ResearchInput[[#This Row],[PNP.Othr]],ResearchInput[[#This Row],[PNP.Non]])</f>
        <v>4991852</v>
      </c>
      <c r="GY11" s="92">
        <f>SUM(ResearchInput[[#This Row],[P.All.Comp]],ResearchInput[[#This Row],[P.All.Eng]],ResearchInput[[#This Row],[P.All.Geo]],ResearchInput[[#This Row],[P.All.Life]],ResearchInput[[#This Row],[P.All.Math]],ResearchInput[[#This Row],[P.All.Phys]],ResearchInput[[#This Row],[P.All.Psyc]],ResearchInput[[#This Row],[P.All.Soc]],ResearchInput[[#This Row],[P.All.Othr]],ResearchInput[[#This Row],[P.All.Non]])</f>
        <v>0</v>
      </c>
    </row>
    <row r="12" spans="1:207" s="47" customFormat="1" ht="27" customHeight="1" x14ac:dyDescent="0.25">
      <c r="A12" s="34" t="s">
        <v>171</v>
      </c>
      <c r="B12" s="34" t="s">
        <v>671</v>
      </c>
      <c r="C12" s="35" t="s">
        <v>682</v>
      </c>
      <c r="D12" s="35" t="s">
        <v>673</v>
      </c>
      <c r="E12" s="94">
        <v>110</v>
      </c>
      <c r="F12" s="91" t="s">
        <v>716</v>
      </c>
      <c r="G12" s="35" t="s">
        <v>691</v>
      </c>
      <c r="H12" s="96">
        <v>11163</v>
      </c>
      <c r="I12" s="92">
        <v>4294649</v>
      </c>
      <c r="J12" s="92">
        <v>207113</v>
      </c>
      <c r="K12" s="92">
        <v>-1233166</v>
      </c>
      <c r="L12" s="92">
        <v>0</v>
      </c>
      <c r="M12" s="92">
        <v>997252</v>
      </c>
      <c r="N12" s="92">
        <v>31523</v>
      </c>
      <c r="O12" s="92">
        <v>315015</v>
      </c>
      <c r="P12" s="92">
        <v>0</v>
      </c>
      <c r="Q12" s="92">
        <v>0</v>
      </c>
      <c r="R12" s="92">
        <v>0</v>
      </c>
      <c r="S12" s="92">
        <v>0</v>
      </c>
      <c r="T12" s="92">
        <v>0</v>
      </c>
      <c r="U12" s="92">
        <v>0</v>
      </c>
      <c r="V12" s="92">
        <v>0</v>
      </c>
      <c r="W12" s="92">
        <v>0</v>
      </c>
      <c r="X12" s="92">
        <v>0</v>
      </c>
      <c r="Y12" s="92">
        <v>0</v>
      </c>
      <c r="Z12" s="92">
        <v>0</v>
      </c>
      <c r="AA12" s="92">
        <v>0</v>
      </c>
      <c r="AB12" s="92">
        <v>0</v>
      </c>
      <c r="AC12" s="92">
        <v>0</v>
      </c>
      <c r="AD12" s="92">
        <v>0</v>
      </c>
      <c r="AE12" s="92">
        <v>0</v>
      </c>
      <c r="AF12" s="92">
        <v>0</v>
      </c>
      <c r="AG12" s="92">
        <v>472662</v>
      </c>
      <c r="AH12" s="92">
        <v>0</v>
      </c>
      <c r="AI12" s="92">
        <v>36739</v>
      </c>
      <c r="AJ12" s="92">
        <v>0</v>
      </c>
      <c r="AK12" s="92">
        <v>0</v>
      </c>
      <c r="AL12" s="92">
        <v>0</v>
      </c>
      <c r="AM12" s="92">
        <v>26</v>
      </c>
      <c r="AN12" s="92">
        <v>0</v>
      </c>
      <c r="AO12" s="92">
        <v>672009</v>
      </c>
      <c r="AP12" s="92">
        <v>0</v>
      </c>
      <c r="AQ12" s="92">
        <v>0</v>
      </c>
      <c r="AR12" s="92">
        <v>0</v>
      </c>
      <c r="AS12" s="92">
        <v>45088</v>
      </c>
      <c r="AT12" s="92">
        <v>0</v>
      </c>
      <c r="AU12" s="92">
        <v>0</v>
      </c>
      <c r="AV12" s="92">
        <v>0</v>
      </c>
      <c r="AW12" s="92">
        <v>0</v>
      </c>
      <c r="AX12" s="92">
        <v>0</v>
      </c>
      <c r="AY12" s="92">
        <v>0</v>
      </c>
      <c r="AZ12" s="92">
        <v>0</v>
      </c>
      <c r="BA12" s="92">
        <v>0</v>
      </c>
      <c r="BB12" s="92">
        <v>0</v>
      </c>
      <c r="BC12" s="92">
        <v>0</v>
      </c>
      <c r="BD12" s="92">
        <v>0</v>
      </c>
      <c r="BE12" s="92">
        <v>0</v>
      </c>
      <c r="BF12" s="92">
        <v>0</v>
      </c>
      <c r="BG12" s="92">
        <v>0</v>
      </c>
      <c r="BH12" s="92">
        <v>0</v>
      </c>
      <c r="BI12" s="92">
        <v>0</v>
      </c>
      <c r="BJ12" s="92">
        <v>0</v>
      </c>
      <c r="BK12" s="92">
        <v>0</v>
      </c>
      <c r="BL12" s="92">
        <v>0</v>
      </c>
      <c r="BM12" s="92">
        <v>0</v>
      </c>
      <c r="BN12" s="92">
        <v>0</v>
      </c>
      <c r="BO12" s="92">
        <v>0</v>
      </c>
      <c r="BP12" s="92">
        <v>0</v>
      </c>
      <c r="BQ12" s="92">
        <v>0</v>
      </c>
      <c r="BR12" s="92">
        <v>0</v>
      </c>
      <c r="BS12" s="92">
        <v>0</v>
      </c>
      <c r="BT12" s="92">
        <v>0</v>
      </c>
      <c r="BU12" s="92">
        <v>13031</v>
      </c>
      <c r="BV12" s="92">
        <v>0</v>
      </c>
      <c r="BW12" s="92">
        <v>0</v>
      </c>
      <c r="BX12" s="92">
        <v>0</v>
      </c>
      <c r="BY12" s="92">
        <v>5777</v>
      </c>
      <c r="BZ12" s="92">
        <v>0</v>
      </c>
      <c r="CA12" s="92">
        <v>0</v>
      </c>
      <c r="CB12" s="92">
        <v>0</v>
      </c>
      <c r="CC12" s="92">
        <v>1753732</v>
      </c>
      <c r="CD12" s="92">
        <v>0</v>
      </c>
      <c r="CE12" s="92">
        <v>83514</v>
      </c>
      <c r="CF12" s="92">
        <v>0</v>
      </c>
      <c r="CG12" s="92">
        <v>147475</v>
      </c>
      <c r="CH12" s="92">
        <v>0</v>
      </c>
      <c r="CI12" s="92">
        <v>41604</v>
      </c>
      <c r="CJ12" s="92">
        <v>0</v>
      </c>
      <c r="CK12" s="92">
        <v>0</v>
      </c>
      <c r="CL12" s="92">
        <v>0</v>
      </c>
      <c r="CM12" s="92">
        <v>0</v>
      </c>
      <c r="CN12" s="92">
        <v>0</v>
      </c>
      <c r="CO12" s="92">
        <v>0</v>
      </c>
      <c r="CP12" s="92">
        <v>0</v>
      </c>
      <c r="CQ12" s="92">
        <v>0</v>
      </c>
      <c r="CR12" s="92">
        <v>0</v>
      </c>
      <c r="CS12" s="92">
        <v>903463</v>
      </c>
      <c r="CT12" s="92">
        <v>0</v>
      </c>
      <c r="CU12" s="92">
        <v>117473</v>
      </c>
      <c r="CV12" s="92">
        <v>0</v>
      </c>
      <c r="CW12" s="92">
        <v>157022</v>
      </c>
      <c r="CX12" s="92">
        <v>929</v>
      </c>
      <c r="CY12" s="92">
        <v>75876</v>
      </c>
      <c r="CZ12" s="92">
        <v>0</v>
      </c>
      <c r="DA12" s="92">
        <v>17431</v>
      </c>
      <c r="DB12" s="92">
        <v>0</v>
      </c>
      <c r="DC12" s="92">
        <v>0</v>
      </c>
      <c r="DD12" s="92">
        <v>0</v>
      </c>
      <c r="DE12" s="92">
        <v>103</v>
      </c>
      <c r="DF12" s="92">
        <v>0</v>
      </c>
      <c r="DG12" s="92">
        <v>0</v>
      </c>
      <c r="DH12" s="92">
        <v>0</v>
      </c>
      <c r="DI12" s="92">
        <v>361114</v>
      </c>
      <c r="DJ12" s="92">
        <v>0</v>
      </c>
      <c r="DK12" s="92">
        <v>159889</v>
      </c>
      <c r="DL12" s="92">
        <v>0</v>
      </c>
      <c r="DM12" s="92">
        <v>147180</v>
      </c>
      <c r="DN12" s="92">
        <v>0</v>
      </c>
      <c r="DO12" s="92">
        <v>149989</v>
      </c>
      <c r="DP12" s="92">
        <v>0</v>
      </c>
      <c r="DQ12" s="92">
        <v>439411</v>
      </c>
      <c r="DR12" s="92">
        <v>3586</v>
      </c>
      <c r="DS12" s="92">
        <v>8547</v>
      </c>
      <c r="DT12" s="92">
        <v>0</v>
      </c>
      <c r="DU12" s="92">
        <v>204630</v>
      </c>
      <c r="DV12" s="92">
        <v>20242</v>
      </c>
      <c r="DW12" s="92">
        <v>0</v>
      </c>
      <c r="DX12" s="92">
        <v>0</v>
      </c>
      <c r="DY12" s="92">
        <v>9938</v>
      </c>
      <c r="DZ12" s="92">
        <v>0</v>
      </c>
      <c r="EA12" s="92">
        <v>0</v>
      </c>
      <c r="EB12" s="92">
        <v>0</v>
      </c>
      <c r="EC12" s="92">
        <v>36786</v>
      </c>
      <c r="ED12" s="92">
        <v>9225</v>
      </c>
      <c r="EE12" s="92">
        <v>0</v>
      </c>
      <c r="EF12" s="92">
        <v>0</v>
      </c>
      <c r="EG12" s="92">
        <v>0</v>
      </c>
      <c r="EH12" s="92">
        <v>0</v>
      </c>
      <c r="EI12" s="92">
        <v>0</v>
      </c>
      <c r="EJ12" s="92">
        <v>0</v>
      </c>
      <c r="EK12" s="92">
        <v>0</v>
      </c>
      <c r="EL12" s="92">
        <v>0</v>
      </c>
      <c r="EM12" s="92">
        <v>0</v>
      </c>
      <c r="EN12" s="92">
        <v>0</v>
      </c>
      <c r="EO12" s="92">
        <v>1941200</v>
      </c>
      <c r="EP12" s="92">
        <v>203527</v>
      </c>
      <c r="EQ12" s="92">
        <v>-1565850</v>
      </c>
      <c r="ER12" s="92">
        <v>0</v>
      </c>
      <c r="ES12" s="92">
        <v>343367</v>
      </c>
      <c r="ET12" s="92">
        <v>1127</v>
      </c>
      <c r="EU12" s="92">
        <v>47572</v>
      </c>
      <c r="EV12" s="92">
        <v>0</v>
      </c>
      <c r="EW12" s="92">
        <v>0</v>
      </c>
      <c r="EX12" s="92">
        <v>0</v>
      </c>
      <c r="EY12" s="92">
        <v>0</v>
      </c>
      <c r="EZ12" s="92">
        <v>0</v>
      </c>
      <c r="FA12" s="92">
        <v>0</v>
      </c>
      <c r="FB12" s="92">
        <v>0</v>
      </c>
      <c r="FC12" s="92">
        <v>0</v>
      </c>
      <c r="FD12" s="92">
        <v>0</v>
      </c>
      <c r="FE12" s="92">
        <v>0</v>
      </c>
      <c r="FF12" s="92">
        <v>0</v>
      </c>
      <c r="FG12" s="92">
        <v>0</v>
      </c>
      <c r="FH12" s="92">
        <v>0</v>
      </c>
      <c r="FI12" s="92">
        <v>0</v>
      </c>
      <c r="FJ12" s="92">
        <v>0</v>
      </c>
      <c r="FK12" s="92">
        <v>0</v>
      </c>
      <c r="FL12" s="92">
        <v>0</v>
      </c>
      <c r="FM12" s="92">
        <v>0</v>
      </c>
      <c r="FN12" s="92">
        <v>0</v>
      </c>
      <c r="FO12" s="92">
        <v>0</v>
      </c>
      <c r="FP12" s="92">
        <v>0</v>
      </c>
      <c r="FQ12" s="92">
        <v>0</v>
      </c>
      <c r="FR12" s="92">
        <v>0</v>
      </c>
      <c r="FS12" s="92">
        <v>0</v>
      </c>
      <c r="FT12" s="92">
        <v>0</v>
      </c>
      <c r="FU12" s="92">
        <v>0</v>
      </c>
      <c r="FV12" s="92">
        <v>0</v>
      </c>
      <c r="FW12" s="92">
        <v>0</v>
      </c>
      <c r="FX12" s="92">
        <v>0</v>
      </c>
      <c r="FY12" s="92">
        <v>0</v>
      </c>
      <c r="FZ12" s="92">
        <v>0</v>
      </c>
      <c r="GA12" s="92">
        <v>0</v>
      </c>
      <c r="GB12" s="92">
        <v>0</v>
      </c>
      <c r="GC12" s="92">
        <v>0</v>
      </c>
      <c r="GD12" s="92">
        <v>4612386</v>
      </c>
      <c r="GE12" s="92">
        <v>5329483</v>
      </c>
      <c r="GF12" s="92">
        <v>175034507</v>
      </c>
      <c r="GG12" s="47" t="s">
        <v>305</v>
      </c>
      <c r="GH12" s="47" t="s">
        <v>306</v>
      </c>
      <c r="GI12" s="93" t="s">
        <v>1010</v>
      </c>
      <c r="GJ12" s="47" t="s">
        <v>307</v>
      </c>
      <c r="GK12" s="47" t="s">
        <v>308</v>
      </c>
      <c r="GL12" s="47" t="s">
        <v>309</v>
      </c>
      <c r="GM12" s="93" t="s">
        <v>1010</v>
      </c>
      <c r="GN12" s="47" t="s">
        <v>310</v>
      </c>
      <c r="GO12" s="92" cm="1">
        <f t="array" ref="GO12">IFERROR(_xlfn.IFS(ResearchInput[[#This Row],[Type]]="HRI",SUMIFS('FTSE | FTFE'!$P$8:$P$77,'FTSE | FTFE'!$H$8:$H$77,A12),ResearchInput[[#This Row],[Type]]="UNIV",SUMIFS('FTSE | FTFE'!$P$104:$P$139,'FTSE | FTFE'!$H$104:$H$139,A12),OR(ResearchInput[[#This Row],[Type]]="TSTC",ResearchInput[[#This Row],[Type]]="LSC"),SUMIFS('FTSE | FTFE'!$O$88:$O$96,'FTSE | FTFE'!$H$88:$H$96,A12),ResearchInput[[#This Row],[Type]]="AHM",SUMIFS(Hidden!$H$43:$H$46,Hidden!$G$42:$G$45,A12)),"N/A")</f>
        <v>8877</v>
      </c>
      <c r="GP12" s="92" cm="1">
        <f t="array" ref="GP12">IFERROR(_xlfn.IFS(ResearchInput[[#This Row],[Type]]="HRI",SUMIFS('FTSE | FTFE'!$Q$8:$Q$77,'FTSE | FTFE'!$H$8:$H$77,A12),ResearchInput[[#This Row],[Type]]="UNIV",SUMIFS('FTSE | FTFE'!$Q$104:$Q$139,'FTSE | FTFE'!$H$104:$H$139,A12),OR(ResearchInput[[#This Row],[Type]]="TSTC",ResearchInput[[#This Row],[Type]]="LSC"),SUMIFS('FTSE | FTFE'!$P$88:$P$96,'FTSE | FTFE'!$H$88:$H$96,A12)),"N/A")</f>
        <v>150</v>
      </c>
      <c r="GQ12" s="92">
        <v>0</v>
      </c>
      <c r="GR12" s="92">
        <f>SUM(ResearchInput[[#This Row],[Fed.Comp]],ResearchInput[[#This Row],[Fed.Eng]],ResearchInput[[#This Row],[Fed.Geo]],ResearchInput[[#This Row],[Fed.Life]],ResearchInput[[#This Row],[Fed.Math]],ResearchInput[[#This Row],[Fed.Phys]],ResearchInput[[#This Row],[Fed.Psyc]],ResearchInput[[#This Row],[Fed.Soc]],ResearchInput[[#This Row],[Fed.Othr]],ResearchInput[[#This Row],[Fed.Non]])</f>
        <v>5439320</v>
      </c>
      <c r="GS12" s="92">
        <f>SUM(ResearchInput[[#This Row],[St.Comp]],ResearchInput[[#This Row],[St.Eng]],ResearchInput[[#This Row],[St.Geo]],ResearchInput[[#This Row],[St.Life]],ResearchInput[[#This Row],[St.Math]],ResearchInput[[#This Row],[St.Phys]],ResearchInput[[#This Row],[St.Psyc]],ResearchInput[[#This Row],[St.Soc]],ResearchInput[[#This Row],[St.Othr]],ResearchInput[[#This Row],[St.Non]])</f>
        <v>207113</v>
      </c>
      <c r="GT12" s="92">
        <f>SUM(ResearchInput[[#This Row],[St.C&amp;G.Comp]],ResearchInput[[#This Row],[St.C&amp;G.Eng]],ResearchInput[[#This Row],[St.C&amp;G.Geo]],ResearchInput[[#This Row],[St.C&amp;G.Life]],ResearchInput[[#This Row],[St.C&amp;G.Math]],ResearchInput[[#This Row],[St.C&amp;G.Phys]],ResearchInput[[#This Row],[St.C&amp;G.Psyc]],ResearchInput[[#This Row],[St.C&amp;G.Soc]],ResearchInput[[#This Row],[St.C&amp;G.Othr]],ResearchInput[[#This Row],[St.C&amp;G.Non]])</f>
        <v>-1196427</v>
      </c>
      <c r="GU12" s="92">
        <f>SUM(ResearchInput[[#This Row],[St.All.Comp]],ResearchInput[[#This Row],[St.All.Eng]],ResearchInput[[#This Row],[St.All.Geo]],ResearchInput[[#This Row],[St.All.Life]],ResearchInput[[#This Row],[St.All.Math]],ResearchInput[[#This Row],[St.All.Phys]],ResearchInput[[#This Row],[St.All.Psyc]],ResearchInput[[#This Row],[St.All.Soc]],ResearchInput[[#This Row],[St.All.Othr]],ResearchInput[[#This Row],[St.All.Non]])</f>
        <v>0</v>
      </c>
      <c r="GV12" s="92">
        <f>SUM(ResearchInput[[#This Row],[Inst.Comp]],ResearchInput[[#This Row],[Inst.Eng]],ResearchInput[[#This Row],[Inst.Geo]],ResearchInput[[#This Row],[Inst.Life]],ResearchInput[[#This Row],[Inst.Math]],ResearchInput[[#This Row],[Inst.Phys]],ResearchInput[[#This Row],[Inst.Psyc]],ResearchInput[[#This Row],[Inst.Soc]],ResearchInput[[#This Row],[Inst.Othr]],ResearchInput[[#This Row],[Inst.Non]])</f>
        <v>1042340</v>
      </c>
      <c r="GW12" s="92">
        <f>SUM(ResearchInput[[#This Row],[P4P.Comp]],ResearchInput[[#This Row],[P4P.Eng]],ResearchInput[[#This Row],[P4P.Geo]],ResearchInput[[#This Row],[P4P.Life]],ResearchInput[[#This Row],[P4P.Math]],ResearchInput[[#This Row],[P4P.Phys]],ResearchInput[[#This Row],[P4P.Psyc]],ResearchInput[[#This Row],[P4P.Soc]],ResearchInput[[#This Row],[P4P.Othr]],ResearchInput[[#This Row],[P4P.Non]])</f>
        <v>31523</v>
      </c>
      <c r="GX12" s="92">
        <f>SUM(ResearchInput[[#This Row],[PNP.Comp]],ResearchInput[[#This Row],[PNP.Eng]],ResearchInput[[#This Row],[PNP.Geo]],ResearchInput[[#This Row],[PNP.Life]],ResearchInput[[#This Row],[PNP.Math]],ResearchInput[[#This Row],[PNP.Phys]],ResearchInput[[#This Row],[PNP.Psyc]],ResearchInput[[#This Row],[PNP.Soc]],ResearchInput[[#This Row],[PNP.Othr]],ResearchInput[[#This Row],[PNP.Non]])</f>
        <v>315041</v>
      </c>
      <c r="GY12" s="92">
        <f>SUM(ResearchInput[[#This Row],[P.All.Comp]],ResearchInput[[#This Row],[P.All.Eng]],ResearchInput[[#This Row],[P.All.Geo]],ResearchInput[[#This Row],[P.All.Life]],ResearchInput[[#This Row],[P.All.Math]],ResearchInput[[#This Row],[P.All.Phys]],ResearchInput[[#This Row],[P.All.Psyc]],ResearchInput[[#This Row],[P.All.Soc]],ResearchInput[[#This Row],[P.All.Othr]],ResearchInput[[#This Row],[P.All.Non]])</f>
        <v>0</v>
      </c>
    </row>
    <row r="13" spans="1:207" s="47" customFormat="1" ht="27" customHeight="1" x14ac:dyDescent="0.25">
      <c r="A13" s="34" t="s">
        <v>195</v>
      </c>
      <c r="B13" s="34" t="s">
        <v>671</v>
      </c>
      <c r="C13" s="35" t="s">
        <v>682</v>
      </c>
      <c r="D13" s="35" t="s">
        <v>673</v>
      </c>
      <c r="E13" s="94">
        <v>111</v>
      </c>
      <c r="F13" s="91" t="s">
        <v>716</v>
      </c>
      <c r="G13" s="35" t="s">
        <v>692</v>
      </c>
      <c r="H13" s="96">
        <v>3624</v>
      </c>
      <c r="I13" s="92">
        <v>833779</v>
      </c>
      <c r="J13" s="92">
        <v>860856</v>
      </c>
      <c r="K13" s="92">
        <v>248912</v>
      </c>
      <c r="L13" s="92">
        <v>739</v>
      </c>
      <c r="M13" s="92">
        <v>2284600</v>
      </c>
      <c r="N13" s="92">
        <v>112541</v>
      </c>
      <c r="O13" s="92">
        <v>644808</v>
      </c>
      <c r="P13" s="92">
        <v>241552</v>
      </c>
      <c r="Q13" s="92">
        <v>0</v>
      </c>
      <c r="R13" s="92">
        <v>0</v>
      </c>
      <c r="S13" s="92">
        <v>0</v>
      </c>
      <c r="T13" s="92">
        <v>0</v>
      </c>
      <c r="U13" s="92">
        <v>0</v>
      </c>
      <c r="V13" s="92">
        <v>0</v>
      </c>
      <c r="W13" s="92">
        <v>0</v>
      </c>
      <c r="X13" s="92">
        <v>0</v>
      </c>
      <c r="Y13" s="92">
        <v>-22174</v>
      </c>
      <c r="Z13" s="92">
        <v>0</v>
      </c>
      <c r="AA13" s="92">
        <v>0</v>
      </c>
      <c r="AB13" s="92">
        <v>0</v>
      </c>
      <c r="AC13" s="92">
        <v>0</v>
      </c>
      <c r="AD13" s="92">
        <v>0</v>
      </c>
      <c r="AE13" s="92">
        <v>0</v>
      </c>
      <c r="AF13" s="92">
        <v>0</v>
      </c>
      <c r="AG13" s="92">
        <v>15160</v>
      </c>
      <c r="AH13" s="92">
        <v>0</v>
      </c>
      <c r="AI13" s="92">
        <v>25298</v>
      </c>
      <c r="AJ13" s="92">
        <v>0</v>
      </c>
      <c r="AK13" s="92">
        <v>11448</v>
      </c>
      <c r="AL13" s="92">
        <v>6949</v>
      </c>
      <c r="AM13" s="92">
        <v>2569</v>
      </c>
      <c r="AN13" s="92">
        <v>34205</v>
      </c>
      <c r="AO13" s="92">
        <v>166385</v>
      </c>
      <c r="AP13" s="92">
        <v>0</v>
      </c>
      <c r="AQ13" s="92">
        <v>0</v>
      </c>
      <c r="AR13" s="92">
        <v>0</v>
      </c>
      <c r="AS13" s="92">
        <v>27250</v>
      </c>
      <c r="AT13" s="92">
        <v>0</v>
      </c>
      <c r="AU13" s="92">
        <v>0</v>
      </c>
      <c r="AV13" s="92">
        <v>0</v>
      </c>
      <c r="AW13" s="92">
        <v>0</v>
      </c>
      <c r="AX13" s="92">
        <v>0</v>
      </c>
      <c r="AY13" s="92">
        <v>0</v>
      </c>
      <c r="AZ13" s="92">
        <v>0</v>
      </c>
      <c r="BA13" s="92">
        <v>0</v>
      </c>
      <c r="BB13" s="92">
        <v>0</v>
      </c>
      <c r="BC13" s="92">
        <v>0</v>
      </c>
      <c r="BD13" s="92">
        <v>0</v>
      </c>
      <c r="BE13" s="92">
        <v>0</v>
      </c>
      <c r="BF13" s="92">
        <v>0</v>
      </c>
      <c r="BG13" s="92">
        <v>0</v>
      </c>
      <c r="BH13" s="92">
        <v>0</v>
      </c>
      <c r="BI13" s="92">
        <v>0</v>
      </c>
      <c r="BJ13" s="92">
        <v>0</v>
      </c>
      <c r="BK13" s="92">
        <v>0</v>
      </c>
      <c r="BL13" s="92">
        <v>0</v>
      </c>
      <c r="BM13" s="92">
        <v>0</v>
      </c>
      <c r="BN13" s="92">
        <v>0</v>
      </c>
      <c r="BO13" s="92">
        <v>0</v>
      </c>
      <c r="BP13" s="92">
        <v>0</v>
      </c>
      <c r="BQ13" s="92">
        <v>0</v>
      </c>
      <c r="BR13" s="92">
        <v>0</v>
      </c>
      <c r="BS13" s="92">
        <v>0</v>
      </c>
      <c r="BT13" s="92">
        <v>0</v>
      </c>
      <c r="BU13" s="92">
        <v>0</v>
      </c>
      <c r="BV13" s="92">
        <v>0</v>
      </c>
      <c r="BW13" s="92">
        <v>29815</v>
      </c>
      <c r="BX13" s="92">
        <v>0</v>
      </c>
      <c r="BY13" s="92">
        <v>10398</v>
      </c>
      <c r="BZ13" s="92">
        <v>0</v>
      </c>
      <c r="CA13" s="92">
        <v>0</v>
      </c>
      <c r="CB13" s="92">
        <v>0</v>
      </c>
      <c r="CC13" s="92">
        <v>0</v>
      </c>
      <c r="CD13" s="92">
        <v>0</v>
      </c>
      <c r="CE13" s="92">
        <v>0</v>
      </c>
      <c r="CF13" s="92">
        <v>0</v>
      </c>
      <c r="CG13" s="92">
        <v>24679</v>
      </c>
      <c r="CH13" s="92">
        <v>0</v>
      </c>
      <c r="CI13" s="92">
        <v>0</v>
      </c>
      <c r="CJ13" s="92">
        <v>0</v>
      </c>
      <c r="CK13" s="92">
        <v>15640</v>
      </c>
      <c r="CL13" s="92">
        <v>0</v>
      </c>
      <c r="CM13" s="92">
        <v>9183</v>
      </c>
      <c r="CN13" s="92">
        <v>0</v>
      </c>
      <c r="CO13" s="92">
        <v>16505</v>
      </c>
      <c r="CP13" s="92">
        <v>47196</v>
      </c>
      <c r="CQ13" s="92">
        <v>-281</v>
      </c>
      <c r="CR13" s="92">
        <v>0</v>
      </c>
      <c r="CS13" s="92">
        <v>817988</v>
      </c>
      <c r="CT13" s="92">
        <v>707159</v>
      </c>
      <c r="CU13" s="92">
        <v>232322</v>
      </c>
      <c r="CV13" s="92">
        <v>739</v>
      </c>
      <c r="CW13" s="92">
        <v>746759</v>
      </c>
      <c r="CX13" s="92">
        <v>72294</v>
      </c>
      <c r="CY13" s="92">
        <v>368081</v>
      </c>
      <c r="CZ13" s="92">
        <v>272384</v>
      </c>
      <c r="DA13" s="92">
        <v>136770</v>
      </c>
      <c r="DB13" s="92">
        <v>0</v>
      </c>
      <c r="DC13" s="92">
        <v>0</v>
      </c>
      <c r="DD13" s="92">
        <v>0</v>
      </c>
      <c r="DE13" s="92">
        <v>41027</v>
      </c>
      <c r="DF13" s="92">
        <v>0</v>
      </c>
      <c r="DG13" s="92">
        <v>58987</v>
      </c>
      <c r="DH13" s="92">
        <v>0</v>
      </c>
      <c r="DI13" s="92">
        <v>0</v>
      </c>
      <c r="DJ13" s="92">
        <v>0</v>
      </c>
      <c r="DK13" s="92">
        <v>0</v>
      </c>
      <c r="DL13" s="92">
        <v>0</v>
      </c>
      <c r="DM13" s="92">
        <v>25837</v>
      </c>
      <c r="DN13" s="92">
        <v>0</v>
      </c>
      <c r="DO13" s="92">
        <v>51008</v>
      </c>
      <c r="DP13" s="92">
        <v>0</v>
      </c>
      <c r="DQ13" s="92">
        <v>0</v>
      </c>
      <c r="DR13" s="92">
        <v>0</v>
      </c>
      <c r="DS13" s="92">
        <v>0</v>
      </c>
      <c r="DT13" s="92">
        <v>0</v>
      </c>
      <c r="DU13" s="92">
        <v>24405</v>
      </c>
      <c r="DV13" s="92">
        <v>0</v>
      </c>
      <c r="DW13" s="92">
        <v>0</v>
      </c>
      <c r="DX13" s="92">
        <v>0</v>
      </c>
      <c r="DY13" s="92">
        <v>22752</v>
      </c>
      <c r="DZ13" s="92">
        <v>36019</v>
      </c>
      <c r="EA13" s="92">
        <v>0</v>
      </c>
      <c r="EB13" s="92">
        <v>0</v>
      </c>
      <c r="EC13" s="92">
        <v>2128</v>
      </c>
      <c r="ED13" s="92">
        <v>0</v>
      </c>
      <c r="EE13" s="92">
        <v>0</v>
      </c>
      <c r="EF13" s="92">
        <v>0</v>
      </c>
      <c r="EG13" s="92">
        <v>0</v>
      </c>
      <c r="EH13" s="92">
        <v>0</v>
      </c>
      <c r="EI13" s="92">
        <v>0</v>
      </c>
      <c r="EJ13" s="92">
        <v>0</v>
      </c>
      <c r="EK13" s="92">
        <v>0</v>
      </c>
      <c r="EL13" s="92">
        <v>0</v>
      </c>
      <c r="EM13" s="92">
        <v>0</v>
      </c>
      <c r="EN13" s="92">
        <v>0</v>
      </c>
      <c r="EO13" s="92">
        <v>0</v>
      </c>
      <c r="EP13" s="92">
        <v>117678</v>
      </c>
      <c r="EQ13" s="92">
        <v>2890</v>
      </c>
      <c r="ER13" s="92">
        <v>0</v>
      </c>
      <c r="ES13" s="92">
        <v>1431560</v>
      </c>
      <c r="ET13" s="92">
        <v>0</v>
      </c>
      <c r="EU13" s="92">
        <v>169582</v>
      </c>
      <c r="EV13" s="92">
        <v>3373</v>
      </c>
      <c r="EW13" s="92">
        <v>0</v>
      </c>
      <c r="EX13" s="92">
        <v>0</v>
      </c>
      <c r="EY13" s="92">
        <v>0</v>
      </c>
      <c r="EZ13" s="92">
        <v>0</v>
      </c>
      <c r="FA13" s="92">
        <v>0</v>
      </c>
      <c r="FB13" s="92">
        <v>0</v>
      </c>
      <c r="FC13" s="92">
        <v>0</v>
      </c>
      <c r="FD13" s="92">
        <v>0</v>
      </c>
      <c r="FE13" s="92">
        <v>0</v>
      </c>
      <c r="FF13" s="92">
        <v>0</v>
      </c>
      <c r="FG13" s="92">
        <v>0</v>
      </c>
      <c r="FH13" s="92">
        <v>0</v>
      </c>
      <c r="FI13" s="92">
        <v>0</v>
      </c>
      <c r="FJ13" s="92">
        <v>0</v>
      </c>
      <c r="FK13" s="92">
        <v>0</v>
      </c>
      <c r="FL13" s="92">
        <v>0</v>
      </c>
      <c r="FM13" s="92">
        <v>0</v>
      </c>
      <c r="FN13" s="92">
        <v>0</v>
      </c>
      <c r="FO13" s="92">
        <v>0</v>
      </c>
      <c r="FP13" s="92">
        <v>0</v>
      </c>
      <c r="FQ13" s="92">
        <v>0</v>
      </c>
      <c r="FR13" s="92">
        <v>0</v>
      </c>
      <c r="FS13" s="92">
        <v>0</v>
      </c>
      <c r="FT13" s="92">
        <v>0</v>
      </c>
      <c r="FU13" s="92">
        <v>0</v>
      </c>
      <c r="FV13" s="92">
        <v>0</v>
      </c>
      <c r="FW13" s="92">
        <v>0</v>
      </c>
      <c r="FX13" s="92">
        <v>0</v>
      </c>
      <c r="FY13" s="92">
        <v>0</v>
      </c>
      <c r="FZ13" s="92">
        <v>0</v>
      </c>
      <c r="GA13" s="92">
        <v>0</v>
      </c>
      <c r="GB13" s="92">
        <v>0</v>
      </c>
      <c r="GC13" s="92">
        <v>0</v>
      </c>
      <c r="GD13" s="92">
        <v>5227787</v>
      </c>
      <c r="GE13" s="92">
        <v>5276899</v>
      </c>
      <c r="GF13" s="92">
        <v>169244470</v>
      </c>
      <c r="GG13" s="47" t="s">
        <v>413</v>
      </c>
      <c r="GH13" s="47" t="s">
        <v>414</v>
      </c>
      <c r="GI13" s="93">
        <v>9364682354</v>
      </c>
      <c r="GJ13" s="47" t="s">
        <v>415</v>
      </c>
      <c r="GK13" s="47" t="s">
        <v>416</v>
      </c>
      <c r="GL13" s="47" t="s">
        <v>417</v>
      </c>
      <c r="GM13" s="93">
        <v>9364686550</v>
      </c>
      <c r="GN13" s="47" t="s">
        <v>418</v>
      </c>
      <c r="GO13" s="92" cm="1">
        <f t="array" ref="GO13">IFERROR(_xlfn.IFS(ResearchInput[[#This Row],[Type]]="HRI",SUMIFS('FTSE | FTFE'!$P$8:$P$77,'FTSE | FTFE'!$H$8:$H$77,A13),ResearchInput[[#This Row],[Type]]="UNIV",SUMIFS('FTSE | FTFE'!$P$104:$P$139,'FTSE | FTFE'!$H$104:$H$139,A13),OR(ResearchInput[[#This Row],[Type]]="TSTC",ResearchInput[[#This Row],[Type]]="LSC"),SUMIFS('FTSE | FTFE'!$O$88:$O$96,'FTSE | FTFE'!$H$88:$H$96,A13),ResearchInput[[#This Row],[Type]]="AHM",SUMIFS(Hidden!$H$43:$H$46,Hidden!$G$42:$G$45,A13)),"N/A")</f>
        <v>8860</v>
      </c>
      <c r="GP13" s="92" cm="1">
        <f t="array" ref="GP13">IFERROR(_xlfn.IFS(ResearchInput[[#This Row],[Type]]="HRI",SUMIFS('FTSE | FTFE'!$Q$8:$Q$77,'FTSE | FTFE'!$H$8:$H$77,A13),ResearchInput[[#This Row],[Type]]="UNIV",SUMIFS('FTSE | FTFE'!$Q$104:$Q$139,'FTSE | FTFE'!$H$104:$H$139,A13),OR(ResearchInput[[#This Row],[Type]]="TSTC",ResearchInput[[#This Row],[Type]]="LSC"),SUMIFS('FTSE | FTFE'!$P$88:$P$96,'FTSE | FTFE'!$H$88:$H$96,A13)),"N/A")</f>
        <v>353</v>
      </c>
      <c r="GQ13" s="92">
        <v>0</v>
      </c>
      <c r="GR13" s="92">
        <f>SUM(ResearchInput[[#This Row],[Fed.Comp]],ResearchInput[[#This Row],[Fed.Eng]],ResearchInput[[#This Row],[Fed.Geo]],ResearchInput[[#This Row],[Fed.Life]],ResearchInput[[#This Row],[Fed.Math]],ResearchInput[[#This Row],[Fed.Phys]],ResearchInput[[#This Row],[Fed.Psyc]],ResearchInput[[#This Row],[Fed.Soc]],ResearchInput[[#This Row],[Fed.Othr]],ResearchInput[[#This Row],[Fed.Non]])</f>
        <v>993150</v>
      </c>
      <c r="GS13" s="92">
        <f>SUM(ResearchInput[[#This Row],[St.Comp]],ResearchInput[[#This Row],[St.Eng]],ResearchInput[[#This Row],[St.Geo]],ResearchInput[[#This Row],[St.Life]],ResearchInput[[#This Row],[St.Math]],ResearchInput[[#This Row],[St.Phys]],ResearchInput[[#This Row],[St.Psyc]],ResearchInput[[#This Row],[St.Soc]],ResearchInput[[#This Row],[St.Othr]],ResearchInput[[#This Row],[St.Non]])</f>
        <v>860856</v>
      </c>
      <c r="GT13" s="92">
        <f>SUM(ResearchInput[[#This Row],[St.C&amp;G.Comp]],ResearchInput[[#This Row],[St.C&amp;G.Eng]],ResearchInput[[#This Row],[St.C&amp;G.Geo]],ResearchInput[[#This Row],[St.C&amp;G.Life]],ResearchInput[[#This Row],[St.C&amp;G.Math]],ResearchInput[[#This Row],[St.C&amp;G.Phys]],ResearchInput[[#This Row],[St.C&amp;G.Psyc]],ResearchInput[[#This Row],[St.C&amp;G.Soc]],ResearchInput[[#This Row],[St.C&amp;G.Othr]],ResearchInput[[#This Row],[St.C&amp;G.Non]])</f>
        <v>274210</v>
      </c>
      <c r="GU13" s="92">
        <f>SUM(ResearchInput[[#This Row],[St.All.Comp]],ResearchInput[[#This Row],[St.All.Eng]],ResearchInput[[#This Row],[St.All.Geo]],ResearchInput[[#This Row],[St.All.Life]],ResearchInput[[#This Row],[St.All.Math]],ResearchInput[[#This Row],[St.All.Phys]],ResearchInput[[#This Row],[St.All.Psyc]],ResearchInput[[#This Row],[St.All.Soc]],ResearchInput[[#This Row],[St.All.Othr]],ResearchInput[[#This Row],[St.All.Non]])</f>
        <v>739</v>
      </c>
      <c r="GV13" s="92">
        <f>SUM(ResearchInput[[#This Row],[Inst.Comp]],ResearchInput[[#This Row],[Inst.Eng]],ResearchInput[[#This Row],[Inst.Geo]],ResearchInput[[#This Row],[Inst.Life]],ResearchInput[[#This Row],[Inst.Math]],ResearchInput[[#This Row],[Inst.Phys]],ResearchInput[[#This Row],[Inst.Psyc]],ResearchInput[[#This Row],[Inst.Soc]],ResearchInput[[#This Row],[Inst.Othr]],ResearchInput[[#This Row],[Inst.Non]])</f>
        <v>2323298</v>
      </c>
      <c r="GW13" s="92">
        <f>SUM(ResearchInput[[#This Row],[P4P.Comp]],ResearchInput[[#This Row],[P4P.Eng]],ResearchInput[[#This Row],[P4P.Geo]],ResearchInput[[#This Row],[P4P.Life]],ResearchInput[[#This Row],[P4P.Math]],ResearchInput[[#This Row],[P4P.Phys]],ResearchInput[[#This Row],[P4P.Psyc]],ResearchInput[[#This Row],[P4P.Soc]],ResearchInput[[#This Row],[P4P.Othr]],ResearchInput[[#This Row],[P4P.Non]])</f>
        <v>119490</v>
      </c>
      <c r="GX13" s="92">
        <f>SUM(ResearchInput[[#This Row],[PNP.Comp]],ResearchInput[[#This Row],[PNP.Eng]],ResearchInput[[#This Row],[PNP.Geo]],ResearchInput[[#This Row],[PNP.Life]],ResearchInput[[#This Row],[PNP.Math]],ResearchInput[[#This Row],[PNP.Phys]],ResearchInput[[#This Row],[PNP.Psyc]],ResearchInput[[#This Row],[PNP.Soc]],ResearchInput[[#This Row],[PNP.Othr]],ResearchInput[[#This Row],[PNP.Non]])</f>
        <v>647377</v>
      </c>
      <c r="GY13" s="92">
        <f>SUM(ResearchInput[[#This Row],[P.All.Comp]],ResearchInput[[#This Row],[P.All.Eng]],ResearchInput[[#This Row],[P.All.Geo]],ResearchInput[[#This Row],[P.All.Life]],ResearchInput[[#This Row],[P.All.Math]],ResearchInput[[#This Row],[P.All.Phys]],ResearchInput[[#This Row],[P.All.Psyc]],ResearchInput[[#This Row],[P.All.Soc]],ResearchInput[[#This Row],[P.All.Othr]],ResearchInput[[#This Row],[P.All.Non]])</f>
        <v>275757</v>
      </c>
    </row>
    <row r="14" spans="1:207" s="47" customFormat="1" ht="27" customHeight="1" x14ac:dyDescent="0.25">
      <c r="A14" s="34" t="s">
        <v>764</v>
      </c>
      <c r="B14" s="34" t="s">
        <v>735</v>
      </c>
      <c r="C14" s="35" t="s">
        <v>674</v>
      </c>
      <c r="D14" s="35" t="s">
        <v>684</v>
      </c>
      <c r="E14" s="94">
        <v>200</v>
      </c>
      <c r="F14" s="91" t="s">
        <v>714</v>
      </c>
      <c r="G14" s="35" t="s">
        <v>553</v>
      </c>
      <c r="H14" s="96">
        <v>3629</v>
      </c>
      <c r="I14" s="92">
        <v>0</v>
      </c>
      <c r="J14" s="92">
        <v>1478994</v>
      </c>
      <c r="K14" s="92">
        <v>862659</v>
      </c>
      <c r="L14" s="92">
        <v>0</v>
      </c>
      <c r="M14" s="92">
        <v>296860</v>
      </c>
      <c r="N14" s="92">
        <v>0</v>
      </c>
      <c r="O14" s="92">
        <v>0</v>
      </c>
      <c r="P14" s="92">
        <v>0</v>
      </c>
      <c r="Q14" s="92">
        <v>0</v>
      </c>
      <c r="R14" s="92">
        <v>-1208345</v>
      </c>
      <c r="S14" s="92">
        <v>0</v>
      </c>
      <c r="T14" s="92">
        <v>0</v>
      </c>
      <c r="U14" s="92">
        <v>-296860</v>
      </c>
      <c r="V14" s="92">
        <v>0</v>
      </c>
      <c r="W14" s="92">
        <v>0</v>
      </c>
      <c r="X14" s="92">
        <v>0</v>
      </c>
      <c r="Y14" s="92">
        <v>0</v>
      </c>
      <c r="Z14" s="92">
        <v>-247018</v>
      </c>
      <c r="AA14" s="92">
        <v>-862659</v>
      </c>
      <c r="AB14" s="92">
        <v>0</v>
      </c>
      <c r="AC14" s="92">
        <v>0</v>
      </c>
      <c r="AD14" s="92">
        <v>0</v>
      </c>
      <c r="AE14" s="92">
        <v>0</v>
      </c>
      <c r="AF14" s="92">
        <v>0</v>
      </c>
      <c r="AG14" s="92">
        <v>0</v>
      </c>
      <c r="AH14" s="92">
        <v>0</v>
      </c>
      <c r="AI14" s="92">
        <v>0</v>
      </c>
      <c r="AJ14" s="92">
        <v>0</v>
      </c>
      <c r="AK14" s="92">
        <v>0</v>
      </c>
      <c r="AL14" s="92">
        <v>0</v>
      </c>
      <c r="AM14" s="92">
        <v>0</v>
      </c>
      <c r="AN14" s="92">
        <v>0</v>
      </c>
      <c r="AO14" s="92">
        <v>0</v>
      </c>
      <c r="AP14" s="92">
        <v>31200</v>
      </c>
      <c r="AQ14" s="92">
        <v>0</v>
      </c>
      <c r="AR14" s="92">
        <v>0</v>
      </c>
      <c r="AS14" s="92">
        <v>0</v>
      </c>
      <c r="AT14" s="92">
        <v>0</v>
      </c>
      <c r="AU14" s="92">
        <v>0</v>
      </c>
      <c r="AV14" s="92">
        <v>0</v>
      </c>
      <c r="AW14" s="92">
        <v>0</v>
      </c>
      <c r="AX14" s="92">
        <v>0</v>
      </c>
      <c r="AY14" s="92">
        <v>0</v>
      </c>
      <c r="AZ14" s="92">
        <v>0</v>
      </c>
      <c r="BA14" s="92">
        <v>0</v>
      </c>
      <c r="BB14" s="92">
        <v>0</v>
      </c>
      <c r="BC14" s="92">
        <v>0</v>
      </c>
      <c r="BD14" s="92">
        <v>0</v>
      </c>
      <c r="BE14" s="92">
        <v>0</v>
      </c>
      <c r="BF14" s="92">
        <v>0</v>
      </c>
      <c r="BG14" s="92">
        <v>0</v>
      </c>
      <c r="BH14" s="92">
        <v>0</v>
      </c>
      <c r="BI14" s="92">
        <v>0</v>
      </c>
      <c r="BJ14" s="92">
        <v>0</v>
      </c>
      <c r="BK14" s="92">
        <v>0</v>
      </c>
      <c r="BL14" s="92">
        <v>0</v>
      </c>
      <c r="BM14" s="92">
        <v>0</v>
      </c>
      <c r="BN14" s="92">
        <v>0</v>
      </c>
      <c r="BO14" s="92">
        <v>0</v>
      </c>
      <c r="BP14" s="92">
        <v>0</v>
      </c>
      <c r="BQ14" s="92">
        <v>0</v>
      </c>
      <c r="BR14" s="92">
        <v>0</v>
      </c>
      <c r="BS14" s="92">
        <v>0</v>
      </c>
      <c r="BT14" s="92">
        <v>0</v>
      </c>
      <c r="BU14" s="92">
        <v>0</v>
      </c>
      <c r="BV14" s="92">
        <v>0</v>
      </c>
      <c r="BW14" s="92">
        <v>0</v>
      </c>
      <c r="BX14" s="92">
        <v>0</v>
      </c>
      <c r="BY14" s="92">
        <v>0</v>
      </c>
      <c r="BZ14" s="92">
        <v>0</v>
      </c>
      <c r="CA14" s="92">
        <v>0</v>
      </c>
      <c r="CB14" s="92">
        <v>0</v>
      </c>
      <c r="CC14" s="92">
        <v>0</v>
      </c>
      <c r="CD14" s="92">
        <v>54831</v>
      </c>
      <c r="CE14" s="92">
        <v>0</v>
      </c>
      <c r="CF14" s="92">
        <v>0</v>
      </c>
      <c r="CG14" s="92">
        <v>0</v>
      </c>
      <c r="CH14" s="92">
        <v>0</v>
      </c>
      <c r="CI14" s="92">
        <v>0</v>
      </c>
      <c r="CJ14" s="92">
        <v>0</v>
      </c>
      <c r="CK14" s="92">
        <v>0</v>
      </c>
      <c r="CL14" s="92">
        <v>0</v>
      </c>
      <c r="CM14" s="92">
        <v>0</v>
      </c>
      <c r="CN14" s="92">
        <v>0</v>
      </c>
      <c r="CO14" s="92">
        <v>0</v>
      </c>
      <c r="CP14" s="92">
        <v>0</v>
      </c>
      <c r="CQ14" s="92">
        <v>0</v>
      </c>
      <c r="CR14" s="92">
        <v>0</v>
      </c>
      <c r="CS14" s="92">
        <v>0</v>
      </c>
      <c r="CT14" s="92">
        <v>0</v>
      </c>
      <c r="CU14" s="92">
        <v>0</v>
      </c>
      <c r="CV14" s="92">
        <v>0</v>
      </c>
      <c r="CW14" s="92">
        <v>0</v>
      </c>
      <c r="CX14" s="92">
        <v>0</v>
      </c>
      <c r="CY14" s="92">
        <v>0</v>
      </c>
      <c r="CZ14" s="92">
        <v>0</v>
      </c>
      <c r="DA14" s="92">
        <v>0</v>
      </c>
      <c r="DB14" s="92">
        <v>0</v>
      </c>
      <c r="DC14" s="92">
        <v>0</v>
      </c>
      <c r="DD14" s="92">
        <v>0</v>
      </c>
      <c r="DE14" s="92">
        <v>0</v>
      </c>
      <c r="DF14" s="92">
        <v>0</v>
      </c>
      <c r="DG14" s="92">
        <v>0</v>
      </c>
      <c r="DH14" s="92">
        <v>0</v>
      </c>
      <c r="DI14" s="92">
        <v>0</v>
      </c>
      <c r="DJ14" s="92">
        <v>0</v>
      </c>
      <c r="DK14" s="92">
        <v>0</v>
      </c>
      <c r="DL14" s="92">
        <v>0</v>
      </c>
      <c r="DM14" s="92">
        <v>0</v>
      </c>
      <c r="DN14" s="92">
        <v>0</v>
      </c>
      <c r="DO14" s="92">
        <v>0</v>
      </c>
      <c r="DP14" s="92">
        <v>0</v>
      </c>
      <c r="DQ14" s="92">
        <v>0</v>
      </c>
      <c r="DR14" s="92">
        <v>0</v>
      </c>
      <c r="DS14" s="92">
        <v>0</v>
      </c>
      <c r="DT14" s="92">
        <v>0</v>
      </c>
      <c r="DU14" s="92">
        <v>0</v>
      </c>
      <c r="DV14" s="92">
        <v>0</v>
      </c>
      <c r="DW14" s="92">
        <v>0</v>
      </c>
      <c r="DX14" s="92">
        <v>0</v>
      </c>
      <c r="DY14" s="92">
        <v>0</v>
      </c>
      <c r="DZ14" s="92">
        <v>0</v>
      </c>
      <c r="EA14" s="92">
        <v>0</v>
      </c>
      <c r="EB14" s="92">
        <v>0</v>
      </c>
      <c r="EC14" s="92">
        <v>0</v>
      </c>
      <c r="ED14" s="92">
        <v>0</v>
      </c>
      <c r="EE14" s="92">
        <v>0</v>
      </c>
      <c r="EF14" s="92">
        <v>0</v>
      </c>
      <c r="EG14" s="92">
        <v>0</v>
      </c>
      <c r="EH14" s="92">
        <v>0</v>
      </c>
      <c r="EI14" s="92">
        <v>0</v>
      </c>
      <c r="EJ14" s="92">
        <v>0</v>
      </c>
      <c r="EK14" s="92">
        <v>0</v>
      </c>
      <c r="EL14" s="92">
        <v>0</v>
      </c>
      <c r="EM14" s="92">
        <v>0</v>
      </c>
      <c r="EN14" s="92">
        <v>0</v>
      </c>
      <c r="EO14" s="92">
        <v>0</v>
      </c>
      <c r="EP14" s="92">
        <v>0</v>
      </c>
      <c r="EQ14" s="92">
        <v>0</v>
      </c>
      <c r="ER14" s="92">
        <v>0</v>
      </c>
      <c r="ES14" s="92">
        <v>0</v>
      </c>
      <c r="ET14" s="92">
        <v>0</v>
      </c>
      <c r="EU14" s="92">
        <v>0</v>
      </c>
      <c r="EV14" s="92">
        <v>0</v>
      </c>
      <c r="EW14" s="92">
        <v>0</v>
      </c>
      <c r="EX14" s="92">
        <v>0</v>
      </c>
      <c r="EY14" s="92">
        <v>0</v>
      </c>
      <c r="EZ14" s="92">
        <v>0</v>
      </c>
      <c r="FA14" s="92">
        <v>0</v>
      </c>
      <c r="FB14" s="92">
        <v>0</v>
      </c>
      <c r="FC14" s="92">
        <v>0</v>
      </c>
      <c r="FD14" s="92">
        <v>0</v>
      </c>
      <c r="FE14" s="92">
        <v>0</v>
      </c>
      <c r="FF14" s="92">
        <v>0</v>
      </c>
      <c r="FG14" s="92">
        <v>0</v>
      </c>
      <c r="FH14" s="92">
        <v>0</v>
      </c>
      <c r="FI14" s="92">
        <v>0</v>
      </c>
      <c r="FJ14" s="92">
        <v>0</v>
      </c>
      <c r="FK14" s="92">
        <v>0</v>
      </c>
      <c r="FL14" s="92">
        <v>0</v>
      </c>
      <c r="FM14" s="92">
        <v>0</v>
      </c>
      <c r="FN14" s="92">
        <v>0</v>
      </c>
      <c r="FO14" s="92">
        <v>0</v>
      </c>
      <c r="FP14" s="92">
        <v>0</v>
      </c>
      <c r="FQ14" s="92">
        <v>0</v>
      </c>
      <c r="FR14" s="92">
        <v>0</v>
      </c>
      <c r="FS14" s="92">
        <v>0</v>
      </c>
      <c r="FT14" s="92">
        <v>0</v>
      </c>
      <c r="FU14" s="92">
        <v>0</v>
      </c>
      <c r="FV14" s="92">
        <v>0</v>
      </c>
      <c r="FW14" s="92">
        <v>0</v>
      </c>
      <c r="FX14" s="92">
        <v>0</v>
      </c>
      <c r="FY14" s="92">
        <v>0</v>
      </c>
      <c r="FZ14" s="92">
        <v>0</v>
      </c>
      <c r="GA14" s="92">
        <v>0</v>
      </c>
      <c r="GB14" s="92">
        <v>0</v>
      </c>
      <c r="GC14" s="92">
        <v>0</v>
      </c>
      <c r="GD14" s="92">
        <v>2638513</v>
      </c>
      <c r="GE14" s="92">
        <v>1560036</v>
      </c>
      <c r="GF14" s="92">
        <v>224726327</v>
      </c>
      <c r="GG14" s="47" t="s">
        <v>311</v>
      </c>
      <c r="GH14" s="47" t="s">
        <v>312</v>
      </c>
      <c r="GI14" s="93">
        <v>9798459761</v>
      </c>
      <c r="GJ14" s="47" t="s">
        <v>313</v>
      </c>
      <c r="GK14" s="47" t="s">
        <v>544</v>
      </c>
      <c r="GL14" s="47" t="s">
        <v>545</v>
      </c>
      <c r="GM14" s="93">
        <v>9794586090</v>
      </c>
      <c r="GN14" s="47" t="s">
        <v>546</v>
      </c>
      <c r="GO14" s="92" t="str" cm="1">
        <f t="array" ref="GO14">IFERROR(_xlfn.IFS(ResearchInput[[#This Row],[Type]]="HRI",SUMIFS('FTSE | FTFE'!$P$8:$P$77,'FTSE | FTFE'!$H$8:$H$77,A14),ResearchInput[[#This Row],[Type]]="UNIV",SUMIFS('FTSE | FTFE'!$P$104:$P$139,'FTSE | FTFE'!$H$104:$H$139,A14),OR(ResearchInput[[#This Row],[Type]]="TSTC",ResearchInput[[#This Row],[Type]]="LSC"),SUMIFS('FTSE | FTFE'!$O$88:$O$96,'FTSE | FTFE'!$H$88:$H$96,A14),ResearchInput[[#This Row],[Type]]="AHM",SUMIFS(Hidden!$H$43:$H$46,Hidden!$G$42:$G$45,A14)),"N/A")</f>
        <v>N/A</v>
      </c>
      <c r="GP14" s="92" t="str" cm="1">
        <f t="array" ref="GP14">IFERROR(_xlfn.IFS(ResearchInput[[#This Row],[Type]]="HRI",SUMIFS('FTSE | FTFE'!$Q$8:$Q$77,'FTSE | FTFE'!$H$8:$H$77,A14),ResearchInput[[#This Row],[Type]]="UNIV",SUMIFS('FTSE | FTFE'!$Q$104:$Q$139,'FTSE | FTFE'!$H$104:$H$139,A14),OR(ResearchInput[[#This Row],[Type]]="TSTC",ResearchInput[[#This Row],[Type]]="LSC"),SUMIFS('FTSE | FTFE'!$P$88:$P$96,'FTSE | FTFE'!$H$88:$H$96,A14)),"N/A")</f>
        <v>N/A</v>
      </c>
      <c r="GQ14" s="92">
        <v>0</v>
      </c>
      <c r="GR14" s="92">
        <f>SUM(ResearchInput[[#This Row],[Fed.Comp]],ResearchInput[[#This Row],[Fed.Eng]],ResearchInput[[#This Row],[Fed.Geo]],ResearchInput[[#This Row],[Fed.Life]],ResearchInput[[#This Row],[Fed.Math]],ResearchInput[[#This Row],[Fed.Phys]],ResearchInput[[#This Row],[Fed.Psyc]],ResearchInput[[#This Row],[Fed.Soc]],ResearchInput[[#This Row],[Fed.Othr]],ResearchInput[[#This Row],[Fed.Non]])</f>
        <v>0</v>
      </c>
      <c r="GS14" s="92">
        <f>SUM(ResearchInput[[#This Row],[St.Comp]],ResearchInput[[#This Row],[St.Eng]],ResearchInput[[#This Row],[St.Geo]],ResearchInput[[#This Row],[St.Life]],ResearchInput[[#This Row],[St.Math]],ResearchInput[[#This Row],[St.Phys]],ResearchInput[[#This Row],[St.Psyc]],ResearchInput[[#This Row],[St.Soc]],ResearchInput[[#This Row],[St.Othr]],ResearchInput[[#This Row],[St.Non]])</f>
        <v>54831</v>
      </c>
      <c r="GT14" s="92">
        <f>SUM(ResearchInput[[#This Row],[St.C&amp;G.Comp]],ResearchInput[[#This Row],[St.C&amp;G.Eng]],ResearchInput[[#This Row],[St.C&amp;G.Geo]],ResearchInput[[#This Row],[St.C&amp;G.Life]],ResearchInput[[#This Row],[St.C&amp;G.Math]],ResearchInput[[#This Row],[St.C&amp;G.Phys]],ResearchInput[[#This Row],[St.C&amp;G.Psyc]],ResearchInput[[#This Row],[St.C&amp;G.Soc]],ResearchInput[[#This Row],[St.C&amp;G.Othr]],ResearchInput[[#This Row],[St.C&amp;G.Non]])</f>
        <v>0</v>
      </c>
      <c r="GU14" s="92">
        <f>SUM(ResearchInput[[#This Row],[St.All.Comp]],ResearchInput[[#This Row],[St.All.Eng]],ResearchInput[[#This Row],[St.All.Geo]],ResearchInput[[#This Row],[St.All.Life]],ResearchInput[[#This Row],[St.All.Math]],ResearchInput[[#This Row],[St.All.Phys]],ResearchInput[[#This Row],[St.All.Psyc]],ResearchInput[[#This Row],[St.All.Soc]],ResearchInput[[#This Row],[St.All.Othr]],ResearchInput[[#This Row],[St.All.Non]])</f>
        <v>0</v>
      </c>
      <c r="GV14" s="92">
        <f>SUM(ResearchInput[[#This Row],[Inst.Comp]],ResearchInput[[#This Row],[Inst.Eng]],ResearchInput[[#This Row],[Inst.Geo]],ResearchInput[[#This Row],[Inst.Life]],ResearchInput[[#This Row],[Inst.Math]],ResearchInput[[#This Row],[Inst.Phys]],ResearchInput[[#This Row],[Inst.Psyc]],ResearchInput[[#This Row],[Inst.Soc]],ResearchInput[[#This Row],[Inst.Othr]],ResearchInput[[#This Row],[Inst.Non]])</f>
        <v>0</v>
      </c>
      <c r="GW14" s="92">
        <f>SUM(ResearchInput[[#This Row],[P4P.Comp]],ResearchInput[[#This Row],[P4P.Eng]],ResearchInput[[#This Row],[P4P.Geo]],ResearchInput[[#This Row],[P4P.Life]],ResearchInput[[#This Row],[P4P.Math]],ResearchInput[[#This Row],[P4P.Phys]],ResearchInput[[#This Row],[P4P.Psyc]],ResearchInput[[#This Row],[P4P.Soc]],ResearchInput[[#This Row],[P4P.Othr]],ResearchInput[[#This Row],[P4P.Non]])</f>
        <v>0</v>
      </c>
      <c r="GX14" s="92">
        <f>SUM(ResearchInput[[#This Row],[PNP.Comp]],ResearchInput[[#This Row],[PNP.Eng]],ResearchInput[[#This Row],[PNP.Geo]],ResearchInput[[#This Row],[PNP.Life]],ResearchInput[[#This Row],[PNP.Math]],ResearchInput[[#This Row],[PNP.Phys]],ResearchInput[[#This Row],[PNP.Psyc]],ResearchInput[[#This Row],[PNP.Soc]],ResearchInput[[#This Row],[PNP.Othr]],ResearchInput[[#This Row],[PNP.Non]])</f>
        <v>0</v>
      </c>
      <c r="GY14" s="92">
        <f>SUM(ResearchInput[[#This Row],[P.All.Comp]],ResearchInput[[#This Row],[P.All.Eng]],ResearchInput[[#This Row],[P.All.Geo]],ResearchInput[[#This Row],[P.All.Life]],ResearchInput[[#This Row],[P.All.Math]],ResearchInput[[#This Row],[P.All.Phys]],ResearchInput[[#This Row],[P.All.Psyc]],ResearchInput[[#This Row],[P.All.Soc]],ResearchInput[[#This Row],[P.All.Othr]],ResearchInput[[#This Row],[P.All.Non]])</f>
        <v>0</v>
      </c>
    </row>
    <row r="15" spans="1:207" s="47" customFormat="1" ht="27" customHeight="1" x14ac:dyDescent="0.25">
      <c r="A15" s="34" t="s">
        <v>172</v>
      </c>
      <c r="B15" s="34" t="s">
        <v>671</v>
      </c>
      <c r="C15" s="35" t="s">
        <v>674</v>
      </c>
      <c r="D15" s="35" t="s">
        <v>673</v>
      </c>
      <c r="E15" s="94">
        <v>201</v>
      </c>
      <c r="F15" s="35" t="s">
        <v>714</v>
      </c>
      <c r="G15" s="35" t="s">
        <v>693</v>
      </c>
      <c r="H15" s="96">
        <v>3632</v>
      </c>
      <c r="I15" s="92">
        <v>95535235</v>
      </c>
      <c r="J15" s="92">
        <v>25654616</v>
      </c>
      <c r="K15" s="92">
        <v>15794861</v>
      </c>
      <c r="L15" s="92">
        <v>-151653</v>
      </c>
      <c r="M15" s="92">
        <v>118371982</v>
      </c>
      <c r="N15" s="92">
        <v>12641991</v>
      </c>
      <c r="O15" s="92">
        <v>47304162</v>
      </c>
      <c r="P15" s="92">
        <v>280096</v>
      </c>
      <c r="Q15" s="92">
        <v>73502</v>
      </c>
      <c r="R15" s="92">
        <v>-7894336</v>
      </c>
      <c r="S15" s="92">
        <v>-65308</v>
      </c>
      <c r="T15" s="92">
        <v>175026</v>
      </c>
      <c r="U15" s="92">
        <v>-11655900</v>
      </c>
      <c r="V15" s="92">
        <v>382474</v>
      </c>
      <c r="W15" s="92">
        <v>1647082</v>
      </c>
      <c r="X15" s="92">
        <v>0</v>
      </c>
      <c r="Y15" s="92">
        <v>-6108466</v>
      </c>
      <c r="Z15" s="92">
        <v>0</v>
      </c>
      <c r="AA15" s="92">
        <v>-15790</v>
      </c>
      <c r="AB15" s="92">
        <v>0</v>
      </c>
      <c r="AC15" s="92">
        <v>0</v>
      </c>
      <c r="AD15" s="92">
        <v>0</v>
      </c>
      <c r="AE15" s="92">
        <v>0</v>
      </c>
      <c r="AF15" s="92">
        <v>0</v>
      </c>
      <c r="AG15" s="92">
        <v>25886116</v>
      </c>
      <c r="AH15" s="92">
        <v>0</v>
      </c>
      <c r="AI15" s="92">
        <v>1485426</v>
      </c>
      <c r="AJ15" s="92">
        <v>6077</v>
      </c>
      <c r="AK15" s="92">
        <v>0</v>
      </c>
      <c r="AL15" s="92">
        <v>1352093</v>
      </c>
      <c r="AM15" s="92">
        <v>1047630</v>
      </c>
      <c r="AN15" s="92">
        <v>38115</v>
      </c>
      <c r="AO15" s="92">
        <v>5208621</v>
      </c>
      <c r="AP15" s="92">
        <v>72586</v>
      </c>
      <c r="AQ15" s="92">
        <v>6607029</v>
      </c>
      <c r="AR15" s="92">
        <v>0</v>
      </c>
      <c r="AS15" s="92">
        <v>12544100</v>
      </c>
      <c r="AT15" s="92">
        <v>187686</v>
      </c>
      <c r="AU15" s="92">
        <v>1580864</v>
      </c>
      <c r="AV15" s="92">
        <v>0</v>
      </c>
      <c r="AW15" s="92">
        <v>22354459</v>
      </c>
      <c r="AX15" s="92">
        <v>0</v>
      </c>
      <c r="AY15" s="92">
        <v>0</v>
      </c>
      <c r="AZ15" s="92">
        <v>0</v>
      </c>
      <c r="BA15" s="92">
        <v>0</v>
      </c>
      <c r="BB15" s="92">
        <v>0</v>
      </c>
      <c r="BC15" s="92">
        <v>160406</v>
      </c>
      <c r="BD15" s="92">
        <v>0</v>
      </c>
      <c r="BE15" s="92">
        <v>613369</v>
      </c>
      <c r="BF15" s="92">
        <v>0</v>
      </c>
      <c r="BG15" s="92">
        <v>15517</v>
      </c>
      <c r="BH15" s="92">
        <v>0</v>
      </c>
      <c r="BI15" s="92">
        <v>0</v>
      </c>
      <c r="BJ15" s="92">
        <v>124769</v>
      </c>
      <c r="BK15" s="92">
        <v>0</v>
      </c>
      <c r="BL15" s="92">
        <v>0</v>
      </c>
      <c r="BM15" s="92">
        <v>-2854411</v>
      </c>
      <c r="BN15" s="92">
        <v>-12474</v>
      </c>
      <c r="BO15" s="92">
        <v>-1385209</v>
      </c>
      <c r="BP15" s="92">
        <v>0</v>
      </c>
      <c r="BQ15" s="92">
        <v>-3588305</v>
      </c>
      <c r="BR15" s="92">
        <v>0</v>
      </c>
      <c r="BS15" s="92">
        <v>-794693</v>
      </c>
      <c r="BT15" s="92">
        <v>0</v>
      </c>
      <c r="BU15" s="92">
        <v>8139852</v>
      </c>
      <c r="BV15" s="92">
        <v>38724</v>
      </c>
      <c r="BW15" s="92">
        <v>824041</v>
      </c>
      <c r="BX15" s="92">
        <v>0</v>
      </c>
      <c r="BY15" s="92">
        <v>3428100</v>
      </c>
      <c r="BZ15" s="92">
        <v>101171</v>
      </c>
      <c r="CA15" s="92">
        <v>719613</v>
      </c>
      <c r="CB15" s="92">
        <v>0</v>
      </c>
      <c r="CC15" s="92">
        <v>6059453</v>
      </c>
      <c r="CD15" s="92">
        <v>3812307</v>
      </c>
      <c r="CE15" s="92">
        <v>7504936</v>
      </c>
      <c r="CF15" s="92">
        <v>29450</v>
      </c>
      <c r="CG15" s="92">
        <v>28169225</v>
      </c>
      <c r="CH15" s="92">
        <v>2888132</v>
      </c>
      <c r="CI15" s="92">
        <v>20336761</v>
      </c>
      <c r="CJ15" s="92">
        <v>26890</v>
      </c>
      <c r="CK15" s="92">
        <v>34399185</v>
      </c>
      <c r="CL15" s="92">
        <v>1604125</v>
      </c>
      <c r="CM15" s="92">
        <v>1689944</v>
      </c>
      <c r="CN15" s="92">
        <v>0</v>
      </c>
      <c r="CO15" s="92">
        <v>7442905</v>
      </c>
      <c r="CP15" s="92">
        <v>425188</v>
      </c>
      <c r="CQ15" s="92">
        <v>2975803</v>
      </c>
      <c r="CR15" s="92">
        <v>23557</v>
      </c>
      <c r="CS15" s="92">
        <v>17387140</v>
      </c>
      <c r="CT15" s="92">
        <v>3913889</v>
      </c>
      <c r="CU15" s="92">
        <v>1528574</v>
      </c>
      <c r="CV15" s="92">
        <v>0</v>
      </c>
      <c r="CW15" s="92">
        <v>30420432</v>
      </c>
      <c r="CX15" s="92">
        <v>3295089</v>
      </c>
      <c r="CY15" s="92">
        <v>8251355</v>
      </c>
      <c r="CZ15" s="92">
        <v>885</v>
      </c>
      <c r="DA15" s="92">
        <v>0</v>
      </c>
      <c r="DB15" s="92">
        <v>0</v>
      </c>
      <c r="DC15" s="92">
        <v>0</v>
      </c>
      <c r="DD15" s="92">
        <v>0</v>
      </c>
      <c r="DE15" s="92">
        <v>0</v>
      </c>
      <c r="DF15" s="92">
        <v>0</v>
      </c>
      <c r="DG15" s="92">
        <v>0</v>
      </c>
      <c r="DH15" s="92">
        <v>0</v>
      </c>
      <c r="DI15" s="92">
        <v>32915193</v>
      </c>
      <c r="DJ15" s="92">
        <v>3392058</v>
      </c>
      <c r="DK15" s="92">
        <v>4840548</v>
      </c>
      <c r="DL15" s="92">
        <v>0</v>
      </c>
      <c r="DM15" s="92">
        <v>18027018</v>
      </c>
      <c r="DN15" s="92">
        <v>1062466</v>
      </c>
      <c r="DO15" s="92">
        <v>7053487</v>
      </c>
      <c r="DP15" s="92">
        <v>178044</v>
      </c>
      <c r="DQ15" s="92">
        <v>0</v>
      </c>
      <c r="DR15" s="92">
        <v>0</v>
      </c>
      <c r="DS15" s="92">
        <v>0</v>
      </c>
      <c r="DT15" s="92">
        <v>0</v>
      </c>
      <c r="DU15" s="92">
        <v>0</v>
      </c>
      <c r="DV15" s="92">
        <v>0</v>
      </c>
      <c r="DW15" s="92">
        <v>0</v>
      </c>
      <c r="DX15" s="92">
        <v>0</v>
      </c>
      <c r="DY15" s="92">
        <v>9721133</v>
      </c>
      <c r="DZ15" s="92">
        <v>934879</v>
      </c>
      <c r="EA15" s="92">
        <v>1544484</v>
      </c>
      <c r="EB15" s="92">
        <v>0</v>
      </c>
      <c r="EC15" s="92">
        <v>3517650</v>
      </c>
      <c r="ED15" s="92">
        <v>14339</v>
      </c>
      <c r="EE15" s="92">
        <v>6078991</v>
      </c>
      <c r="EF15" s="92">
        <v>85663</v>
      </c>
      <c r="EG15" s="92">
        <v>28188621</v>
      </c>
      <c r="EH15" s="92">
        <v>3803186</v>
      </c>
      <c r="EI15" s="92">
        <v>3984608</v>
      </c>
      <c r="EJ15" s="92">
        <v>0</v>
      </c>
      <c r="EK15" s="92">
        <v>18131597</v>
      </c>
      <c r="EL15" s="92">
        <v>803576</v>
      </c>
      <c r="EM15" s="92">
        <v>4248601</v>
      </c>
      <c r="EN15" s="92">
        <v>3172</v>
      </c>
      <c r="EO15" s="92">
        <v>3897848</v>
      </c>
      <c r="EP15" s="92">
        <v>321224</v>
      </c>
      <c r="EQ15" s="92">
        <v>519391</v>
      </c>
      <c r="ER15" s="92">
        <v>0</v>
      </c>
      <c r="ES15" s="92">
        <v>6534950</v>
      </c>
      <c r="ET15" s="92">
        <v>6099052</v>
      </c>
      <c r="EU15" s="92">
        <v>1280840</v>
      </c>
      <c r="EV15" s="92">
        <v>0</v>
      </c>
      <c r="EW15" s="92">
        <v>0</v>
      </c>
      <c r="EX15" s="92">
        <v>15517</v>
      </c>
      <c r="EY15" s="92">
        <v>0</v>
      </c>
      <c r="EZ15" s="92">
        <v>0</v>
      </c>
      <c r="FA15" s="92">
        <v>0</v>
      </c>
      <c r="FB15" s="92">
        <v>0</v>
      </c>
      <c r="FC15" s="92">
        <v>0</v>
      </c>
      <c r="FD15" s="92">
        <v>0</v>
      </c>
      <c r="FE15" s="92">
        <v>0</v>
      </c>
      <c r="FF15" s="92">
        <v>0</v>
      </c>
      <c r="FG15" s="92">
        <v>0</v>
      </c>
      <c r="FH15" s="92">
        <v>0</v>
      </c>
      <c r="FI15" s="92">
        <v>0</v>
      </c>
      <c r="FJ15" s="92">
        <v>0</v>
      </c>
      <c r="FK15" s="92">
        <v>0</v>
      </c>
      <c r="FL15" s="92">
        <v>0</v>
      </c>
      <c r="FM15" s="92">
        <v>0</v>
      </c>
      <c r="FN15" s="92">
        <v>0</v>
      </c>
      <c r="FO15" s="92">
        <v>0</v>
      </c>
      <c r="FP15" s="92">
        <v>0</v>
      </c>
      <c r="FQ15" s="92">
        <v>0</v>
      </c>
      <c r="FR15" s="92">
        <v>0</v>
      </c>
      <c r="FS15" s="92">
        <v>0</v>
      </c>
      <c r="FT15" s="92">
        <v>0</v>
      </c>
      <c r="FU15" s="92">
        <v>0</v>
      </c>
      <c r="FV15" s="92">
        <v>0</v>
      </c>
      <c r="FW15" s="92">
        <v>0</v>
      </c>
      <c r="FX15" s="92">
        <v>0</v>
      </c>
      <c r="FY15" s="92">
        <v>0</v>
      </c>
      <c r="FZ15" s="92">
        <v>0</v>
      </c>
      <c r="GA15" s="92">
        <v>0</v>
      </c>
      <c r="GB15" s="92">
        <v>0</v>
      </c>
      <c r="GC15" s="92">
        <v>0</v>
      </c>
      <c r="GD15" s="92">
        <v>315431290</v>
      </c>
      <c r="GE15" s="92">
        <v>335057031</v>
      </c>
      <c r="GF15" s="92">
        <v>2008267827</v>
      </c>
      <c r="GG15" s="47" t="s">
        <v>311</v>
      </c>
      <c r="GH15" s="47" t="s">
        <v>312</v>
      </c>
      <c r="GI15" s="93">
        <v>9798459761</v>
      </c>
      <c r="GJ15" s="47" t="s">
        <v>313</v>
      </c>
      <c r="GK15" s="47" t="s">
        <v>314</v>
      </c>
      <c r="GL15" s="47" t="s">
        <v>315</v>
      </c>
      <c r="GM15" s="93">
        <v>9794581866</v>
      </c>
      <c r="GN15" s="47" t="s">
        <v>316</v>
      </c>
      <c r="GO15" s="92" cm="1">
        <f t="array" ref="GO15">IFERROR(_xlfn.IFS(ResearchInput[[#This Row],[Type]]="HRI",SUMIFS('FTSE | FTFE'!$P$8:$P$77,'FTSE | FTFE'!$H$8:$H$77,A15),ResearchInput[[#This Row],[Type]]="UNIV",SUMIFS('FTSE | FTFE'!$P$104:$P$139,'FTSE | FTFE'!$H$104:$H$139,A15),OR(ResearchInput[[#This Row],[Type]]="TSTC",ResearchInput[[#This Row],[Type]]="LSC"),SUMIFS('FTSE | FTFE'!$O$88:$O$96,'FTSE | FTFE'!$H$88:$H$96,A15),ResearchInput[[#This Row],[Type]]="AHM",SUMIFS(Hidden!$H$43:$H$46,Hidden!$G$42:$G$45,A15)),"N/A")</f>
        <v>63243</v>
      </c>
      <c r="GP15" s="92" cm="1">
        <f t="array" ref="GP15">IFERROR(_xlfn.IFS(ResearchInput[[#This Row],[Type]]="HRI",SUMIFS('FTSE | FTFE'!$Q$8:$Q$77,'FTSE | FTFE'!$H$8:$H$77,A15),ResearchInput[[#This Row],[Type]]="UNIV",SUMIFS('FTSE | FTFE'!$Q$104:$Q$139,'FTSE | FTFE'!$H$104:$H$139,A15),OR(ResearchInput[[#This Row],[Type]]="TSTC",ResearchInput[[#This Row],[Type]]="LSC"),SUMIFS('FTSE | FTFE'!$P$88:$P$96,'FTSE | FTFE'!$H$88:$H$96,A15)),"N/A")</f>
        <v>1558</v>
      </c>
      <c r="GQ15" s="92">
        <v>22514865</v>
      </c>
      <c r="GR15" s="92">
        <f>SUM(ResearchInput[[#This Row],[Fed.Comp]],ResearchInput[[#This Row],[Fed.Eng]],ResearchInput[[#This Row],[Fed.Geo]],ResearchInput[[#This Row],[Fed.Life]],ResearchInput[[#This Row],[Fed.Math]],ResearchInput[[#This Row],[Fed.Phys]],ResearchInput[[#This Row],[Fed.Psyc]],ResearchInput[[#This Row],[Fed.Soc]],ResearchInput[[#This Row],[Fed.Othr]],ResearchInput[[#This Row],[Fed.Non]])</f>
        <v>140708425</v>
      </c>
      <c r="GS15" s="92">
        <f>SUM(ResearchInput[[#This Row],[St.Comp]],ResearchInput[[#This Row],[St.Eng]],ResearchInput[[#This Row],[St.Geo]],ResearchInput[[#This Row],[St.Life]],ResearchInput[[#This Row],[St.Math]],ResearchInput[[#This Row],[St.Phys]],ResearchInput[[#This Row],[St.Psyc]],ResearchInput[[#This Row],[St.Soc]],ResearchInput[[#This Row],[St.Othr]],ResearchInput[[#This Row],[St.Non]])</f>
        <v>17820392</v>
      </c>
      <c r="GT15" s="92">
        <f>SUM(ResearchInput[[#This Row],[St.C&amp;G.Comp]],ResearchInput[[#This Row],[St.C&amp;G.Eng]],ResearchInput[[#This Row],[St.C&amp;G.Geo]],ResearchInput[[#This Row],[St.C&amp;G.Life]],ResearchInput[[#This Row],[St.C&amp;G.Math]],ResearchInput[[#This Row],[St.C&amp;G.Phys]],ResearchInput[[#This Row],[St.C&amp;G.Psyc]],ResearchInput[[#This Row],[St.C&amp;G.Soc]],ResearchInput[[#This Row],[St.C&amp;G.Othr]],ResearchInput[[#This Row],[St.C&amp;G.Non]])</f>
        <v>22436526</v>
      </c>
      <c r="GU15" s="92">
        <f>SUM(ResearchInput[[#This Row],[St.All.Comp]],ResearchInput[[#This Row],[St.All.Eng]],ResearchInput[[#This Row],[St.All.Geo]],ResearchInput[[#This Row],[St.All.Life]],ResearchInput[[#This Row],[St.All.Math]],ResearchInput[[#This Row],[St.All.Phys]],ResearchInput[[#This Row],[St.All.Psyc]],ResearchInput[[#This Row],[St.All.Soc]],ResearchInput[[#This Row],[St.All.Othr]],ResearchInput[[#This Row],[St.All.Non]])</f>
        <v>29450</v>
      </c>
      <c r="GV15" s="92">
        <f>SUM(ResearchInput[[#This Row],[Inst.Comp]],ResearchInput[[#This Row],[Inst.Eng]],ResearchInput[[#This Row],[Inst.Geo]],ResearchInput[[#This Row],[Inst.Life]],ResearchInput[[#This Row],[Inst.Math]],ResearchInput[[#This Row],[Inst.Phys]],ResearchInput[[#This Row],[Inst.Psyc]],ResearchInput[[#This Row],[Inst.Soc]],ResearchInput[[#This Row],[Inst.Othr]],ResearchInput[[#This Row],[Inst.Non]])</f>
        <v>115671877</v>
      </c>
      <c r="GW15" s="92">
        <f>SUM(ResearchInput[[#This Row],[P4P.Comp]],ResearchInput[[#This Row],[P4P.Eng]],ResearchInput[[#This Row],[P4P.Geo]],ResearchInput[[#This Row],[P4P.Life]],ResearchInput[[#This Row],[P4P.Math]],ResearchInput[[#This Row],[P4P.Phys]],ResearchInput[[#This Row],[P4P.Psyc]],ResearchInput[[#This Row],[P4P.Soc]],ResearchInput[[#This Row],[P4P.Othr]],ResearchInput[[#This Row],[P4P.Non]])</f>
        <v>14689013</v>
      </c>
      <c r="GX15" s="92">
        <f>SUM(ResearchInput[[#This Row],[PNP.Comp]],ResearchInput[[#This Row],[PNP.Eng]],ResearchInput[[#This Row],[PNP.Geo]],ResearchInput[[#This Row],[PNP.Life]],ResearchInput[[#This Row],[PNP.Math]],ResearchInput[[#This Row],[PNP.Phys]],ResearchInput[[#This Row],[PNP.Psyc]],ResearchInput[[#This Row],[PNP.Soc]],ResearchInput[[#This Row],[PNP.Othr]],ResearchInput[[#This Row],[PNP.Non]])</f>
        <v>50945451</v>
      </c>
      <c r="GY15" s="92">
        <f>SUM(ResearchInput[[#This Row],[P.All.Comp]],ResearchInput[[#This Row],[P.All.Eng]],ResearchInput[[#This Row],[P.All.Geo]],ResearchInput[[#This Row],[P.All.Life]],ResearchInput[[#This Row],[P.All.Math]],ResearchInput[[#This Row],[P.All.Phys]],ResearchInput[[#This Row],[P.All.Psyc]],ResearchInput[[#This Row],[P.All.Soc]],ResearchInput[[#This Row],[P.All.Othr]],ResearchInput[[#This Row],[P.All.Non]])</f>
        <v>318211</v>
      </c>
    </row>
    <row r="16" spans="1:207" s="47" customFormat="1" ht="27" customHeight="1" x14ac:dyDescent="0.25">
      <c r="A16" s="34" t="s">
        <v>173</v>
      </c>
      <c r="B16" s="34" t="s">
        <v>671</v>
      </c>
      <c r="C16" s="35" t="s">
        <v>674</v>
      </c>
      <c r="D16" s="35" t="s">
        <v>673</v>
      </c>
      <c r="E16" s="94">
        <v>203</v>
      </c>
      <c r="F16" s="35" t="s">
        <v>714</v>
      </c>
      <c r="G16" s="35" t="s">
        <v>692</v>
      </c>
      <c r="H16" s="96">
        <v>10298</v>
      </c>
      <c r="I16" s="92">
        <v>2631461</v>
      </c>
      <c r="J16" s="92">
        <v>877700</v>
      </c>
      <c r="K16" s="92">
        <v>6917521</v>
      </c>
      <c r="L16" s="92">
        <v>411178</v>
      </c>
      <c r="M16" s="92">
        <v>2386999</v>
      </c>
      <c r="N16" s="92">
        <v>327764</v>
      </c>
      <c r="O16" s="92">
        <v>468196</v>
      </c>
      <c r="P16" s="92">
        <v>0</v>
      </c>
      <c r="Q16" s="92">
        <v>13092</v>
      </c>
      <c r="R16" s="92">
        <v>-233</v>
      </c>
      <c r="S16" s="92">
        <v>-66886</v>
      </c>
      <c r="T16" s="92">
        <v>-12034</v>
      </c>
      <c r="U16" s="92">
        <v>-261751</v>
      </c>
      <c r="V16" s="92">
        <v>0</v>
      </c>
      <c r="W16" s="92">
        <v>424779</v>
      </c>
      <c r="X16" s="92">
        <v>0</v>
      </c>
      <c r="Y16" s="92">
        <v>-112450</v>
      </c>
      <c r="Z16" s="92">
        <v>0</v>
      </c>
      <c r="AA16" s="92">
        <v>0</v>
      </c>
      <c r="AB16" s="92">
        <v>0</v>
      </c>
      <c r="AC16" s="92">
        <v>0</v>
      </c>
      <c r="AD16" s="92">
        <v>0</v>
      </c>
      <c r="AE16" s="92">
        <v>0</v>
      </c>
      <c r="AF16" s="92">
        <v>0</v>
      </c>
      <c r="AG16" s="92">
        <v>847602</v>
      </c>
      <c r="AH16" s="92">
        <v>0</v>
      </c>
      <c r="AI16" s="92">
        <v>2066320</v>
      </c>
      <c r="AJ16" s="92">
        <v>27020</v>
      </c>
      <c r="AK16" s="92">
        <v>0</v>
      </c>
      <c r="AL16" s="92">
        <v>-65</v>
      </c>
      <c r="AM16" s="92">
        <v>45979</v>
      </c>
      <c r="AN16" s="92">
        <v>1454</v>
      </c>
      <c r="AO16" s="92">
        <v>38792</v>
      </c>
      <c r="AP16" s="92">
        <v>64306</v>
      </c>
      <c r="AQ16" s="92">
        <v>132983</v>
      </c>
      <c r="AR16" s="92">
        <v>0</v>
      </c>
      <c r="AS16" s="92">
        <v>22110</v>
      </c>
      <c r="AT16" s="92">
        <v>0</v>
      </c>
      <c r="AU16" s="92">
        <v>37120</v>
      </c>
      <c r="AV16" s="92">
        <v>0</v>
      </c>
      <c r="AW16" s="92">
        <v>0</v>
      </c>
      <c r="AX16" s="92">
        <v>0</v>
      </c>
      <c r="AY16" s="92">
        <v>0</v>
      </c>
      <c r="AZ16" s="92">
        <v>0</v>
      </c>
      <c r="BA16" s="92">
        <v>0</v>
      </c>
      <c r="BB16" s="92">
        <v>0</v>
      </c>
      <c r="BC16" s="92">
        <v>0</v>
      </c>
      <c r="BD16" s="92">
        <v>0</v>
      </c>
      <c r="BE16" s="92">
        <v>0</v>
      </c>
      <c r="BF16" s="92">
        <v>4478</v>
      </c>
      <c r="BG16" s="92">
        <v>0</v>
      </c>
      <c r="BH16" s="92">
        <v>0</v>
      </c>
      <c r="BI16" s="92">
        <v>20092</v>
      </c>
      <c r="BJ16" s="92">
        <v>0</v>
      </c>
      <c r="BK16" s="92">
        <v>0</v>
      </c>
      <c r="BL16" s="92">
        <v>15866</v>
      </c>
      <c r="BM16" s="92">
        <v>0</v>
      </c>
      <c r="BN16" s="92">
        <v>0</v>
      </c>
      <c r="BO16" s="92">
        <v>0</v>
      </c>
      <c r="BP16" s="92">
        <v>0</v>
      </c>
      <c r="BQ16" s="92">
        <v>0</v>
      </c>
      <c r="BR16" s="92">
        <v>0</v>
      </c>
      <c r="BS16" s="92">
        <v>0</v>
      </c>
      <c r="BT16" s="92">
        <v>0</v>
      </c>
      <c r="BU16" s="92">
        <v>161966</v>
      </c>
      <c r="BV16" s="92">
        <v>0</v>
      </c>
      <c r="BW16" s="92">
        <v>377557</v>
      </c>
      <c r="BX16" s="92">
        <v>83671</v>
      </c>
      <c r="BY16" s="92">
        <v>0</v>
      </c>
      <c r="BZ16" s="92">
        <v>0</v>
      </c>
      <c r="CA16" s="92">
        <v>0</v>
      </c>
      <c r="CB16" s="92">
        <v>0</v>
      </c>
      <c r="CC16" s="92">
        <v>479091</v>
      </c>
      <c r="CD16" s="92">
        <v>0</v>
      </c>
      <c r="CE16" s="92">
        <v>248948</v>
      </c>
      <c r="CF16" s="92">
        <v>0</v>
      </c>
      <c r="CG16" s="92">
        <v>6056</v>
      </c>
      <c r="CH16" s="92">
        <v>0</v>
      </c>
      <c r="CI16" s="92">
        <v>51786</v>
      </c>
      <c r="CJ16" s="92">
        <v>15866</v>
      </c>
      <c r="CK16" s="92">
        <v>1415348</v>
      </c>
      <c r="CL16" s="92">
        <v>868115</v>
      </c>
      <c r="CM16" s="92">
        <v>324639</v>
      </c>
      <c r="CN16" s="92">
        <v>149793</v>
      </c>
      <c r="CO16" s="92">
        <v>2156816</v>
      </c>
      <c r="CP16" s="92">
        <v>327224</v>
      </c>
      <c r="CQ16" s="92">
        <v>875769</v>
      </c>
      <c r="CR16" s="92">
        <v>1454</v>
      </c>
      <c r="CS16" s="92">
        <v>702888</v>
      </c>
      <c r="CT16" s="92">
        <v>55237</v>
      </c>
      <c r="CU16" s="92">
        <v>374309</v>
      </c>
      <c r="CV16" s="92">
        <v>100375</v>
      </c>
      <c r="CW16" s="92">
        <v>1672</v>
      </c>
      <c r="CX16" s="92">
        <v>0</v>
      </c>
      <c r="CY16" s="92">
        <v>48519</v>
      </c>
      <c r="CZ16" s="92">
        <v>0</v>
      </c>
      <c r="DA16" s="92">
        <v>0</v>
      </c>
      <c r="DB16" s="92">
        <v>0</v>
      </c>
      <c r="DC16" s="92">
        <v>0</v>
      </c>
      <c r="DD16" s="92">
        <v>0</v>
      </c>
      <c r="DE16" s="92">
        <v>0</v>
      </c>
      <c r="DF16" s="92">
        <v>0</v>
      </c>
      <c r="DG16" s="92">
        <v>0</v>
      </c>
      <c r="DH16" s="92">
        <v>0</v>
      </c>
      <c r="DI16" s="92">
        <v>0</v>
      </c>
      <c r="DJ16" s="92">
        <v>0</v>
      </c>
      <c r="DK16" s="92">
        <v>0</v>
      </c>
      <c r="DL16" s="92">
        <v>0</v>
      </c>
      <c r="DM16" s="92">
        <v>0</v>
      </c>
      <c r="DN16" s="92">
        <v>0</v>
      </c>
      <c r="DO16" s="92">
        <v>0</v>
      </c>
      <c r="DP16" s="92">
        <v>0</v>
      </c>
      <c r="DQ16" s="92">
        <v>0</v>
      </c>
      <c r="DR16" s="92">
        <v>0</v>
      </c>
      <c r="DS16" s="92">
        <v>0</v>
      </c>
      <c r="DT16" s="92">
        <v>0</v>
      </c>
      <c r="DU16" s="92">
        <v>0</v>
      </c>
      <c r="DV16" s="92">
        <v>0</v>
      </c>
      <c r="DW16" s="92">
        <v>0</v>
      </c>
      <c r="DX16" s="92">
        <v>0</v>
      </c>
      <c r="DY16" s="92">
        <v>612264</v>
      </c>
      <c r="DZ16" s="92">
        <v>4478</v>
      </c>
      <c r="EA16" s="92">
        <v>1265557</v>
      </c>
      <c r="EB16" s="92">
        <v>92325</v>
      </c>
      <c r="EC16" s="92">
        <v>368</v>
      </c>
      <c r="ED16" s="92">
        <v>475</v>
      </c>
      <c r="EE16" s="92">
        <v>0</v>
      </c>
      <c r="EF16" s="92">
        <v>0</v>
      </c>
      <c r="EG16" s="92">
        <v>5580</v>
      </c>
      <c r="EH16" s="92">
        <v>0</v>
      </c>
      <c r="EI16" s="92">
        <v>5907612</v>
      </c>
      <c r="EJ16" s="92">
        <v>0</v>
      </c>
      <c r="EK16" s="92">
        <v>1611</v>
      </c>
      <c r="EL16" s="92">
        <v>0</v>
      </c>
      <c r="EM16" s="92">
        <v>0</v>
      </c>
      <c r="EN16" s="92">
        <v>0</v>
      </c>
      <c r="EO16" s="92">
        <v>41360</v>
      </c>
      <c r="EP16" s="92">
        <v>18421</v>
      </c>
      <c r="EQ16" s="92">
        <v>551316</v>
      </c>
      <c r="ER16" s="92">
        <v>0</v>
      </c>
      <c r="ES16" s="92">
        <v>927</v>
      </c>
      <c r="ET16" s="92">
        <v>0</v>
      </c>
      <c r="EU16" s="92">
        <v>0</v>
      </c>
      <c r="EV16" s="92">
        <v>0</v>
      </c>
      <c r="EW16" s="92">
        <v>0</v>
      </c>
      <c r="EX16" s="92">
        <v>0</v>
      </c>
      <c r="EY16" s="92">
        <v>0</v>
      </c>
      <c r="EZ16" s="92">
        <v>0</v>
      </c>
      <c r="FA16" s="92">
        <v>0</v>
      </c>
      <c r="FB16" s="92">
        <v>0</v>
      </c>
      <c r="FC16" s="92">
        <v>0</v>
      </c>
      <c r="FD16" s="92">
        <v>0</v>
      </c>
      <c r="FE16" s="92">
        <v>0</v>
      </c>
      <c r="FF16" s="92">
        <v>0</v>
      </c>
      <c r="FG16" s="92">
        <v>0</v>
      </c>
      <c r="FH16" s="92">
        <v>0</v>
      </c>
      <c r="FI16" s="92">
        <v>0</v>
      </c>
      <c r="FJ16" s="92">
        <v>0</v>
      </c>
      <c r="FK16" s="92">
        <v>0</v>
      </c>
      <c r="FL16" s="92">
        <v>0</v>
      </c>
      <c r="FM16" s="92">
        <v>0</v>
      </c>
      <c r="FN16" s="92">
        <v>0</v>
      </c>
      <c r="FO16" s="92">
        <v>0</v>
      </c>
      <c r="FP16" s="92">
        <v>0</v>
      </c>
      <c r="FQ16" s="92">
        <v>0</v>
      </c>
      <c r="FR16" s="92">
        <v>0</v>
      </c>
      <c r="FS16" s="92">
        <v>0</v>
      </c>
      <c r="FT16" s="92">
        <v>0</v>
      </c>
      <c r="FU16" s="92">
        <v>0</v>
      </c>
      <c r="FV16" s="92">
        <v>0</v>
      </c>
      <c r="FW16" s="92">
        <v>0</v>
      </c>
      <c r="FX16" s="92">
        <v>0</v>
      </c>
      <c r="FY16" s="92">
        <v>0</v>
      </c>
      <c r="FZ16" s="92">
        <v>0</v>
      </c>
      <c r="GA16" s="92">
        <v>0</v>
      </c>
      <c r="GB16" s="92">
        <v>0</v>
      </c>
      <c r="GC16" s="92">
        <v>0</v>
      </c>
      <c r="GD16" s="92">
        <v>14020819</v>
      </c>
      <c r="GE16" s="92">
        <v>14203680</v>
      </c>
      <c r="GF16" s="92">
        <v>85675064</v>
      </c>
      <c r="GG16" s="47" t="s">
        <v>311</v>
      </c>
      <c r="GH16" s="47" t="s">
        <v>312</v>
      </c>
      <c r="GI16" s="93">
        <v>9798459761</v>
      </c>
      <c r="GJ16" s="47" t="s">
        <v>313</v>
      </c>
      <c r="GK16" s="47" t="s">
        <v>314</v>
      </c>
      <c r="GL16" s="47" t="s">
        <v>315</v>
      </c>
      <c r="GM16" s="93">
        <v>9794581866</v>
      </c>
      <c r="GN16" s="47" t="s">
        <v>316</v>
      </c>
      <c r="GO16" s="92" cm="1">
        <f t="array" ref="GO16">IFERROR(_xlfn.IFS(ResearchInput[[#This Row],[Type]]="HRI",SUMIFS('FTSE | FTFE'!$P$8:$P$77,'FTSE | FTFE'!$H$8:$H$77,A16),ResearchInput[[#This Row],[Type]]="UNIV",SUMIFS('FTSE | FTFE'!$P$104:$P$139,'FTSE | FTFE'!$H$104:$H$139,A16),OR(ResearchInput[[#This Row],[Type]]="TSTC",ResearchInput[[#This Row],[Type]]="LSC"),SUMIFS('FTSE | FTFE'!$O$88:$O$96,'FTSE | FTFE'!$H$88:$H$96,A16),ResearchInput[[#This Row],[Type]]="AHM",SUMIFS(Hidden!$H$43:$H$46,Hidden!$G$42:$G$45,A16)),"N/A")</f>
        <v>1852</v>
      </c>
      <c r="GP16" s="92" cm="1">
        <f t="array" ref="GP16">IFERROR(_xlfn.IFS(ResearchInput[[#This Row],[Type]]="HRI",SUMIFS('FTSE | FTFE'!$Q$8:$Q$77,'FTSE | FTFE'!$H$8:$H$77,A16),ResearchInput[[#This Row],[Type]]="UNIV",SUMIFS('FTSE | FTFE'!$Q$104:$Q$139,'FTSE | FTFE'!$H$104:$H$139,A16),OR(ResearchInput[[#This Row],[Type]]="TSTC",ResearchInput[[#This Row],[Type]]="LSC"),SUMIFS('FTSE | FTFE'!$P$88:$P$96,'FTSE | FTFE'!$H$88:$H$96,A16)),"N/A")</f>
        <v>43</v>
      </c>
      <c r="GQ16" s="92">
        <v>0</v>
      </c>
      <c r="GR16" s="92">
        <f>SUM(ResearchInput[[#This Row],[Fed.Comp]],ResearchInput[[#This Row],[Fed.Eng]],ResearchInput[[#This Row],[Fed.Geo]],ResearchInput[[#This Row],[Fed.Life]],ResearchInput[[#This Row],[Fed.Math]],ResearchInput[[#This Row],[Fed.Phys]],ResearchInput[[#This Row],[Fed.Psyc]],ResearchInput[[#This Row],[Fed.Soc]],ResearchInput[[#This Row],[Fed.Othr]],ResearchInput[[#This Row],[Fed.Non]])</f>
        <v>3418497</v>
      </c>
      <c r="GS16" s="92">
        <f>SUM(ResearchInput[[#This Row],[St.Comp]],ResearchInput[[#This Row],[St.Eng]],ResearchInput[[#This Row],[St.Geo]],ResearchInput[[#This Row],[St.Life]],ResearchInput[[#This Row],[St.Math]],ResearchInput[[#This Row],[St.Phys]],ResearchInput[[#This Row],[St.Psyc]],ResearchInput[[#This Row],[St.Soc]],ResearchInput[[#This Row],[St.Othr]],ResearchInput[[#This Row],[St.Non]])</f>
        <v>946251</v>
      </c>
      <c r="GT16" s="92">
        <f>SUM(ResearchInput[[#This Row],[St.C&amp;G.Comp]],ResearchInput[[#This Row],[St.C&amp;G.Eng]],ResearchInput[[#This Row],[St.C&amp;G.Geo]],ResearchInput[[#This Row],[St.C&amp;G.Life]],ResearchInput[[#This Row],[St.C&amp;G.Math]],ResearchInput[[#This Row],[St.C&amp;G.Phys]],ResearchInput[[#This Row],[St.C&amp;G.Psyc]],ResearchInput[[#This Row],[St.C&amp;G.Soc]],ResearchInput[[#This Row],[St.C&amp;G.Othr]],ResearchInput[[#This Row],[St.C&amp;G.Non]])</f>
        <v>9049938</v>
      </c>
      <c r="GU16" s="92">
        <f>SUM(ResearchInput[[#This Row],[St.All.Comp]],ResearchInput[[#This Row],[St.All.Eng]],ResearchInput[[#This Row],[St.All.Geo]],ResearchInput[[#This Row],[St.All.Life]],ResearchInput[[#This Row],[St.All.Math]],ResearchInput[[#This Row],[St.All.Phys]],ResearchInput[[#This Row],[St.All.Psyc]],ResearchInput[[#This Row],[St.All.Soc]],ResearchInput[[#This Row],[St.All.Othr]],ResearchInput[[#This Row],[St.All.Non]])</f>
        <v>426164</v>
      </c>
      <c r="GV16" s="92">
        <f>SUM(ResearchInput[[#This Row],[Inst.Comp]],ResearchInput[[#This Row],[Inst.Eng]],ResearchInput[[#This Row],[Inst.Geo]],ResearchInput[[#This Row],[Inst.Life]],ResearchInput[[#This Row],[Inst.Math]],ResearchInput[[#This Row],[Inst.Phys]],ResearchInput[[#This Row],[Inst.Psyc]],ResearchInput[[#This Row],[Inst.Soc]],ResearchInput[[#This Row],[Inst.Othr]],ResearchInput[[#This Row],[Inst.Non]])</f>
        <v>2167450</v>
      </c>
      <c r="GW16" s="92">
        <f>SUM(ResearchInput[[#This Row],[P4P.Comp]],ResearchInput[[#This Row],[P4P.Eng]],ResearchInput[[#This Row],[P4P.Geo]],ResearchInput[[#This Row],[P4P.Life]],ResearchInput[[#This Row],[P4P.Math]],ResearchInput[[#This Row],[P4P.Phys]],ResearchInput[[#This Row],[P4P.Psyc]],ResearchInput[[#This Row],[P4P.Soc]],ResearchInput[[#This Row],[P4P.Othr]],ResearchInput[[#This Row],[P4P.Non]])</f>
        <v>327699</v>
      </c>
      <c r="GX16" s="92">
        <f>SUM(ResearchInput[[#This Row],[PNP.Comp]],ResearchInput[[#This Row],[PNP.Eng]],ResearchInput[[#This Row],[PNP.Geo]],ResearchInput[[#This Row],[PNP.Life]],ResearchInput[[#This Row],[PNP.Math]],ResearchInput[[#This Row],[PNP.Phys]],ResearchInput[[#This Row],[PNP.Psyc]],ResearchInput[[#This Row],[PNP.Soc]],ResearchInput[[#This Row],[PNP.Othr]],ResearchInput[[#This Row],[PNP.Non]])</f>
        <v>976074</v>
      </c>
      <c r="GY16" s="92">
        <f>SUM(ResearchInput[[#This Row],[P.All.Comp]],ResearchInput[[#This Row],[P.All.Eng]],ResearchInput[[#This Row],[P.All.Geo]],ResearchInput[[#This Row],[P.All.Life]],ResearchInput[[#This Row],[P.All.Math]],ResearchInput[[#This Row],[P.All.Phys]],ResearchInput[[#This Row],[P.All.Psyc]],ResearchInput[[#This Row],[P.All.Soc]],ResearchInput[[#This Row],[P.All.Othr]],ResearchInput[[#This Row],[P.All.Non]])</f>
        <v>17320</v>
      </c>
    </row>
    <row r="17" spans="1:207" s="47" customFormat="1" ht="27" customHeight="1" x14ac:dyDescent="0.25">
      <c r="A17" s="34" t="s">
        <v>174</v>
      </c>
      <c r="B17" s="34" t="s">
        <v>671</v>
      </c>
      <c r="C17" s="35" t="s">
        <v>674</v>
      </c>
      <c r="D17" s="35" t="s">
        <v>673</v>
      </c>
      <c r="E17" s="94">
        <v>204</v>
      </c>
      <c r="F17" s="35" t="s">
        <v>714</v>
      </c>
      <c r="G17" s="35" t="s">
        <v>691</v>
      </c>
      <c r="H17" s="96">
        <v>3630</v>
      </c>
      <c r="I17" s="92">
        <v>20659342</v>
      </c>
      <c r="J17" s="92">
        <v>12279485</v>
      </c>
      <c r="K17" s="92">
        <v>455613</v>
      </c>
      <c r="L17" s="92">
        <v>0</v>
      </c>
      <c r="M17" s="92">
        <v>4708357</v>
      </c>
      <c r="N17" s="92">
        <v>639493</v>
      </c>
      <c r="O17" s="92">
        <v>1414441</v>
      </c>
      <c r="P17" s="92">
        <v>10000</v>
      </c>
      <c r="Q17" s="92">
        <v>-90281</v>
      </c>
      <c r="R17" s="92">
        <v>-529649</v>
      </c>
      <c r="S17" s="92">
        <v>0</v>
      </c>
      <c r="T17" s="92">
        <v>0</v>
      </c>
      <c r="U17" s="92">
        <v>-517715</v>
      </c>
      <c r="V17" s="92">
        <v>0</v>
      </c>
      <c r="W17" s="92">
        <v>0</v>
      </c>
      <c r="X17" s="92">
        <v>0</v>
      </c>
      <c r="Y17" s="92">
        <v>-2479568</v>
      </c>
      <c r="Z17" s="92">
        <v>0</v>
      </c>
      <c r="AA17" s="92">
        <v>-31676</v>
      </c>
      <c r="AB17" s="92">
        <v>0</v>
      </c>
      <c r="AC17" s="92">
        <v>0</v>
      </c>
      <c r="AD17" s="92">
        <v>0</v>
      </c>
      <c r="AE17" s="92">
        <v>-160856</v>
      </c>
      <c r="AF17" s="92">
        <v>0</v>
      </c>
      <c r="AG17" s="92">
        <v>4120092</v>
      </c>
      <c r="AH17" s="92">
        <v>0</v>
      </c>
      <c r="AI17" s="92">
        <v>48455</v>
      </c>
      <c r="AJ17" s="92">
        <v>0</v>
      </c>
      <c r="AK17" s="92">
        <v>0</v>
      </c>
      <c r="AL17" s="92">
        <v>301519</v>
      </c>
      <c r="AM17" s="92">
        <v>280914</v>
      </c>
      <c r="AN17" s="92">
        <v>0</v>
      </c>
      <c r="AO17" s="92">
        <v>4472666</v>
      </c>
      <c r="AP17" s="92">
        <v>404778</v>
      </c>
      <c r="AQ17" s="92">
        <v>0</v>
      </c>
      <c r="AR17" s="92">
        <v>0</v>
      </c>
      <c r="AS17" s="92">
        <v>187048</v>
      </c>
      <c r="AT17" s="92">
        <v>31144</v>
      </c>
      <c r="AU17" s="92">
        <v>0</v>
      </c>
      <c r="AV17" s="92">
        <v>0</v>
      </c>
      <c r="AW17" s="92">
        <v>0</v>
      </c>
      <c r="AX17" s="92">
        <v>0</v>
      </c>
      <c r="AY17" s="92">
        <v>0</v>
      </c>
      <c r="AZ17" s="92">
        <v>0</v>
      </c>
      <c r="BA17" s="92">
        <v>0</v>
      </c>
      <c r="BB17" s="92">
        <v>0</v>
      </c>
      <c r="BC17" s="92">
        <v>0</v>
      </c>
      <c r="BD17" s="92">
        <v>0</v>
      </c>
      <c r="BE17" s="92">
        <v>102000</v>
      </c>
      <c r="BF17" s="92">
        <v>0</v>
      </c>
      <c r="BG17" s="92">
        <v>0</v>
      </c>
      <c r="BH17" s="92">
        <v>0</v>
      </c>
      <c r="BI17" s="92">
        <v>26325</v>
      </c>
      <c r="BJ17" s="92">
        <v>0</v>
      </c>
      <c r="BK17" s="92">
        <v>0</v>
      </c>
      <c r="BL17" s="92">
        <v>0</v>
      </c>
      <c r="BM17" s="92">
        <v>0</v>
      </c>
      <c r="BN17" s="92">
        <v>0</v>
      </c>
      <c r="BO17" s="92">
        <v>0</v>
      </c>
      <c r="BP17" s="92">
        <v>0</v>
      </c>
      <c r="BQ17" s="92">
        <v>0</v>
      </c>
      <c r="BR17" s="92">
        <v>0</v>
      </c>
      <c r="BS17" s="92">
        <v>0</v>
      </c>
      <c r="BT17" s="92">
        <v>0</v>
      </c>
      <c r="BU17" s="92">
        <v>308849</v>
      </c>
      <c r="BV17" s="92">
        <v>24845</v>
      </c>
      <c r="BW17" s="92">
        <v>19799</v>
      </c>
      <c r="BX17" s="92">
        <v>0</v>
      </c>
      <c r="BY17" s="92">
        <v>6563</v>
      </c>
      <c r="BZ17" s="92">
        <v>91647</v>
      </c>
      <c r="CA17" s="92">
        <v>188969</v>
      </c>
      <c r="CB17" s="92">
        <v>0</v>
      </c>
      <c r="CC17" s="92">
        <v>9390693</v>
      </c>
      <c r="CD17" s="92">
        <v>1349101</v>
      </c>
      <c r="CE17" s="92">
        <v>92611</v>
      </c>
      <c r="CF17" s="92">
        <v>0</v>
      </c>
      <c r="CG17" s="92">
        <v>1668790</v>
      </c>
      <c r="CH17" s="92">
        <v>128409</v>
      </c>
      <c r="CI17" s="92">
        <v>65443</v>
      </c>
      <c r="CJ17" s="92">
        <v>0</v>
      </c>
      <c r="CK17" s="92">
        <v>75401</v>
      </c>
      <c r="CL17" s="92">
        <v>0</v>
      </c>
      <c r="CM17" s="92">
        <v>0</v>
      </c>
      <c r="CN17" s="92">
        <v>0</v>
      </c>
      <c r="CO17" s="92">
        <v>0</v>
      </c>
      <c r="CP17" s="92">
        <v>0</v>
      </c>
      <c r="CQ17" s="92">
        <v>0</v>
      </c>
      <c r="CR17" s="92">
        <v>0</v>
      </c>
      <c r="CS17" s="92">
        <v>12094843</v>
      </c>
      <c r="CT17" s="92">
        <v>6465890</v>
      </c>
      <c r="CU17" s="92">
        <v>59475</v>
      </c>
      <c r="CV17" s="92">
        <v>0</v>
      </c>
      <c r="CW17" s="92">
        <v>425289</v>
      </c>
      <c r="CX17" s="92">
        <v>752100</v>
      </c>
      <c r="CY17" s="92">
        <v>134256</v>
      </c>
      <c r="CZ17" s="92">
        <v>0</v>
      </c>
      <c r="DA17" s="92">
        <v>119749</v>
      </c>
      <c r="DB17" s="92">
        <v>0</v>
      </c>
      <c r="DC17" s="92">
        <v>0</v>
      </c>
      <c r="DD17" s="92">
        <v>0</v>
      </c>
      <c r="DE17" s="92">
        <v>0</v>
      </c>
      <c r="DF17" s="92">
        <v>0</v>
      </c>
      <c r="DG17" s="92">
        <v>0</v>
      </c>
      <c r="DH17" s="92">
        <v>0</v>
      </c>
      <c r="DI17" s="92">
        <v>3185869</v>
      </c>
      <c r="DJ17" s="92">
        <v>20854</v>
      </c>
      <c r="DK17" s="92">
        <v>23188</v>
      </c>
      <c r="DL17" s="92">
        <v>0</v>
      </c>
      <c r="DM17" s="92">
        <v>56504</v>
      </c>
      <c r="DN17" s="92">
        <v>0</v>
      </c>
      <c r="DO17" s="92">
        <v>87304</v>
      </c>
      <c r="DP17" s="92">
        <v>0</v>
      </c>
      <c r="DQ17" s="92">
        <v>30420</v>
      </c>
      <c r="DR17" s="92">
        <v>27822</v>
      </c>
      <c r="DS17" s="92">
        <v>0</v>
      </c>
      <c r="DT17" s="92">
        <v>0</v>
      </c>
      <c r="DU17" s="92">
        <v>83047</v>
      </c>
      <c r="DV17" s="92">
        <v>0</v>
      </c>
      <c r="DW17" s="92">
        <v>0</v>
      </c>
      <c r="DX17" s="92">
        <v>0</v>
      </c>
      <c r="DY17" s="92">
        <v>550306</v>
      </c>
      <c r="DZ17" s="92">
        <v>361028</v>
      </c>
      <c r="EA17" s="92">
        <v>57856</v>
      </c>
      <c r="EB17" s="92">
        <v>0</v>
      </c>
      <c r="EC17" s="92">
        <v>159639</v>
      </c>
      <c r="ED17" s="92">
        <v>0</v>
      </c>
      <c r="EE17" s="92">
        <v>867544</v>
      </c>
      <c r="EF17" s="92">
        <v>10000</v>
      </c>
      <c r="EG17" s="92">
        <v>135053</v>
      </c>
      <c r="EH17" s="92">
        <v>232402</v>
      </c>
      <c r="EI17" s="92">
        <v>0</v>
      </c>
      <c r="EJ17" s="92">
        <v>0</v>
      </c>
      <c r="EK17" s="92">
        <v>738113</v>
      </c>
      <c r="EL17" s="92">
        <v>0</v>
      </c>
      <c r="EM17" s="92">
        <v>72390</v>
      </c>
      <c r="EN17" s="92">
        <v>0</v>
      </c>
      <c r="EO17" s="92">
        <v>893068</v>
      </c>
      <c r="EP17" s="92">
        <v>3672672</v>
      </c>
      <c r="EQ17" s="92">
        <v>219463</v>
      </c>
      <c r="ER17" s="92">
        <v>0</v>
      </c>
      <c r="ES17" s="92">
        <v>1266070</v>
      </c>
      <c r="ET17" s="92">
        <v>0</v>
      </c>
      <c r="EU17" s="92">
        <v>118593</v>
      </c>
      <c r="EV17" s="92">
        <v>0</v>
      </c>
      <c r="EW17" s="92">
        <v>0</v>
      </c>
      <c r="EX17" s="92">
        <v>0</v>
      </c>
      <c r="EY17" s="92">
        <v>0</v>
      </c>
      <c r="EZ17" s="92">
        <v>0</v>
      </c>
      <c r="FA17" s="92">
        <v>0</v>
      </c>
      <c r="FB17" s="92">
        <v>0</v>
      </c>
      <c r="FC17" s="92">
        <v>0</v>
      </c>
      <c r="FD17" s="92">
        <v>0</v>
      </c>
      <c r="FE17" s="92">
        <v>0</v>
      </c>
      <c r="FF17" s="92">
        <v>0</v>
      </c>
      <c r="FG17" s="92">
        <v>0</v>
      </c>
      <c r="FH17" s="92">
        <v>0</v>
      </c>
      <c r="FI17" s="92">
        <v>0</v>
      </c>
      <c r="FJ17" s="92">
        <v>0</v>
      </c>
      <c r="FK17" s="92">
        <v>0</v>
      </c>
      <c r="FL17" s="92">
        <v>0</v>
      </c>
      <c r="FM17" s="92">
        <v>0</v>
      </c>
      <c r="FN17" s="92">
        <v>0</v>
      </c>
      <c r="FO17" s="92">
        <v>0</v>
      </c>
      <c r="FP17" s="92">
        <v>0</v>
      </c>
      <c r="FQ17" s="92">
        <v>0</v>
      </c>
      <c r="FR17" s="92">
        <v>0</v>
      </c>
      <c r="FS17" s="92">
        <v>0</v>
      </c>
      <c r="FT17" s="92">
        <v>0</v>
      </c>
      <c r="FU17" s="92">
        <v>0</v>
      </c>
      <c r="FV17" s="92">
        <v>0</v>
      </c>
      <c r="FW17" s="92">
        <v>0</v>
      </c>
      <c r="FX17" s="92">
        <v>0</v>
      </c>
      <c r="FY17" s="92">
        <v>0</v>
      </c>
      <c r="FZ17" s="92">
        <v>0</v>
      </c>
      <c r="GA17" s="92">
        <v>0</v>
      </c>
      <c r="GB17" s="92">
        <v>0</v>
      </c>
      <c r="GC17" s="92">
        <v>0</v>
      </c>
      <c r="GD17" s="92">
        <v>40166731</v>
      </c>
      <c r="GE17" s="92">
        <v>42730100</v>
      </c>
      <c r="GF17" s="92">
        <v>272309679</v>
      </c>
      <c r="GG17" s="47" t="s">
        <v>311</v>
      </c>
      <c r="GH17" s="47" t="s">
        <v>312</v>
      </c>
      <c r="GI17" s="93">
        <v>9798459761</v>
      </c>
      <c r="GJ17" s="47" t="s">
        <v>313</v>
      </c>
      <c r="GK17" s="47" t="s">
        <v>317</v>
      </c>
      <c r="GL17" s="47" t="s">
        <v>318</v>
      </c>
      <c r="GM17" s="93">
        <v>9362611909</v>
      </c>
      <c r="GN17" s="47" t="s">
        <v>319</v>
      </c>
      <c r="GO17" s="92" cm="1">
        <f t="array" ref="GO17">IFERROR(_xlfn.IFS(ResearchInput[[#This Row],[Type]]="HRI",SUMIFS('FTSE | FTFE'!$P$8:$P$77,'FTSE | FTFE'!$H$8:$H$77,A17),ResearchInput[[#This Row],[Type]]="UNIV",SUMIFS('FTSE | FTFE'!$P$104:$P$139,'FTSE | FTFE'!$H$104:$H$139,A17),OR(ResearchInput[[#This Row],[Type]]="TSTC",ResearchInput[[#This Row],[Type]]="LSC"),SUMIFS('FTSE | FTFE'!$O$88:$O$96,'FTSE | FTFE'!$H$88:$H$96,A17),ResearchInput[[#This Row],[Type]]="AHM",SUMIFS(Hidden!$H$43:$H$46,Hidden!$G$42:$G$45,A17)),"N/A")</f>
        <v>8992</v>
      </c>
      <c r="GP17" s="92" cm="1">
        <f t="array" ref="GP17">IFERROR(_xlfn.IFS(ResearchInput[[#This Row],[Type]]="HRI",SUMIFS('FTSE | FTFE'!$Q$8:$Q$77,'FTSE | FTFE'!$H$8:$H$77,A17),ResearchInput[[#This Row],[Type]]="UNIV",SUMIFS('FTSE | FTFE'!$Q$104:$Q$139,'FTSE | FTFE'!$H$104:$H$139,A17),OR(ResearchInput[[#This Row],[Type]]="TSTC",ResearchInput[[#This Row],[Type]]="LSC"),SUMIFS('FTSE | FTFE'!$P$88:$P$96,'FTSE | FTFE'!$H$88:$H$96,A17)),"N/A")</f>
        <v>223</v>
      </c>
      <c r="GQ17" s="92">
        <v>0</v>
      </c>
      <c r="GR17" s="92">
        <f>SUM(ResearchInput[[#This Row],[Fed.Comp]],ResearchInput[[#This Row],[Fed.Eng]],ResearchInput[[#This Row],[Fed.Geo]],ResearchInput[[#This Row],[Fed.Life]],ResearchInput[[#This Row],[Fed.Math]],ResearchInput[[#This Row],[Fed.Phys]],ResearchInput[[#This Row],[Fed.Psyc]],ResearchInput[[#This Row],[Fed.Soc]],ResearchInput[[#This Row],[Fed.Othr]],ResearchInput[[#This Row],[Fed.Non]])</f>
        <v>26784251</v>
      </c>
      <c r="GS17" s="92">
        <f>SUM(ResearchInput[[#This Row],[St.Comp]],ResearchInput[[#This Row],[St.Eng]],ResearchInput[[#This Row],[St.Geo]],ResearchInput[[#This Row],[St.Life]],ResearchInput[[#This Row],[St.Math]],ResearchInput[[#This Row],[St.Phys]],ResearchInput[[#This Row],[St.Psyc]],ResearchInput[[#This Row],[St.Soc]],ResearchInput[[#This Row],[St.Othr]],ResearchInput[[#This Row],[St.Non]])</f>
        <v>12154614</v>
      </c>
      <c r="GT17" s="92">
        <f>SUM(ResearchInput[[#This Row],[St.C&amp;G.Comp]],ResearchInput[[#This Row],[St.C&amp;G.Eng]],ResearchInput[[#This Row],[St.C&amp;G.Geo]],ResearchInput[[#This Row],[St.C&amp;G.Life]],ResearchInput[[#This Row],[St.C&amp;G.Math]],ResearchInput[[#This Row],[St.C&amp;G.Phys]],ResearchInput[[#This Row],[St.C&amp;G.Psyc]],ResearchInput[[#This Row],[St.C&amp;G.Soc]],ResearchInput[[#This Row],[St.C&amp;G.Othr]],ResearchInput[[#This Row],[St.C&amp;G.Non]])</f>
        <v>472392</v>
      </c>
      <c r="GU17" s="92">
        <f>SUM(ResearchInput[[#This Row],[St.All.Comp]],ResearchInput[[#This Row],[St.All.Eng]],ResearchInput[[#This Row],[St.All.Geo]],ResearchInput[[#This Row],[St.All.Life]],ResearchInput[[#This Row],[St.All.Math]],ResearchInput[[#This Row],[St.All.Phys]],ResearchInput[[#This Row],[St.All.Psyc]],ResearchInput[[#This Row],[St.All.Soc]],ResearchInput[[#This Row],[St.All.Othr]],ResearchInput[[#This Row],[St.All.Non]])</f>
        <v>0</v>
      </c>
      <c r="GV17" s="92">
        <f>SUM(ResearchInput[[#This Row],[Inst.Comp]],ResearchInput[[#This Row],[Inst.Eng]],ResearchInput[[#This Row],[Inst.Geo]],ResearchInput[[#This Row],[Inst.Life]],ResearchInput[[#This Row],[Inst.Math]],ResearchInput[[#This Row],[Inst.Phys]],ResearchInput[[#This Row],[Inst.Psyc]],ResearchInput[[#This Row],[Inst.Soc]],ResearchInput[[#This Row],[Inst.Othr]],ResearchInput[[#This Row],[Inst.Non]])</f>
        <v>4404015</v>
      </c>
      <c r="GW17" s="92">
        <f>SUM(ResearchInput[[#This Row],[P4P.Comp]],ResearchInput[[#This Row],[P4P.Eng]],ResearchInput[[#This Row],[P4P.Geo]],ResearchInput[[#This Row],[P4P.Life]],ResearchInput[[#This Row],[P4P.Math]],ResearchInput[[#This Row],[P4P.Phys]],ResearchInput[[#This Row],[P4P.Psyc]],ResearchInput[[#This Row],[P4P.Soc]],ResearchInput[[#This Row],[P4P.Othr]],ResearchInput[[#This Row],[P4P.Non]])</f>
        <v>972156</v>
      </c>
      <c r="GX17" s="92">
        <f>SUM(ResearchInput[[#This Row],[PNP.Comp]],ResearchInput[[#This Row],[PNP.Eng]],ResearchInput[[#This Row],[PNP.Geo]],ResearchInput[[#This Row],[PNP.Life]],ResearchInput[[#This Row],[PNP.Math]],ResearchInput[[#This Row],[PNP.Phys]],ResearchInput[[#This Row],[PNP.Psyc]],ResearchInput[[#This Row],[PNP.Soc]],ResearchInput[[#This Row],[PNP.Othr]],ResearchInput[[#This Row],[PNP.Non]])</f>
        <v>1534499</v>
      </c>
      <c r="GY17" s="92">
        <f>SUM(ResearchInput[[#This Row],[P.All.Comp]],ResearchInput[[#This Row],[P.All.Eng]],ResearchInput[[#This Row],[P.All.Geo]],ResearchInput[[#This Row],[P.All.Life]],ResearchInput[[#This Row],[P.All.Math]],ResearchInput[[#This Row],[P.All.Phys]],ResearchInput[[#This Row],[P.All.Psyc]],ResearchInput[[#This Row],[P.All.Soc]],ResearchInput[[#This Row],[P.All.Othr]],ResearchInput[[#This Row],[P.All.Non]])</f>
        <v>10000</v>
      </c>
    </row>
    <row r="18" spans="1:207" s="47" customFormat="1" ht="27" customHeight="1" x14ac:dyDescent="0.25">
      <c r="A18" s="34" t="s">
        <v>175</v>
      </c>
      <c r="B18" s="34" t="s">
        <v>671</v>
      </c>
      <c r="C18" s="35" t="s">
        <v>674</v>
      </c>
      <c r="D18" s="35" t="s">
        <v>673</v>
      </c>
      <c r="E18" s="94">
        <v>205</v>
      </c>
      <c r="F18" s="35" t="s">
        <v>714</v>
      </c>
      <c r="G18" s="35" t="s">
        <v>691</v>
      </c>
      <c r="H18" s="96">
        <v>3631</v>
      </c>
      <c r="I18" s="92">
        <v>4666393</v>
      </c>
      <c r="J18" s="92">
        <v>9129350</v>
      </c>
      <c r="K18" s="92">
        <v>1576179</v>
      </c>
      <c r="L18" s="92">
        <v>-86471</v>
      </c>
      <c r="M18" s="92">
        <v>7347803</v>
      </c>
      <c r="N18" s="92">
        <v>213659</v>
      </c>
      <c r="O18" s="92">
        <v>307472</v>
      </c>
      <c r="P18" s="92">
        <v>0</v>
      </c>
      <c r="Q18" s="92">
        <v>-123432</v>
      </c>
      <c r="R18" s="92">
        <v>0</v>
      </c>
      <c r="S18" s="92">
        <v>0</v>
      </c>
      <c r="T18" s="92">
        <v>0</v>
      </c>
      <c r="U18" s="92">
        <v>-2522</v>
      </c>
      <c r="V18" s="92">
        <v>0</v>
      </c>
      <c r="W18" s="92">
        <v>0</v>
      </c>
      <c r="X18" s="92">
        <v>0</v>
      </c>
      <c r="Y18" s="92">
        <v>0</v>
      </c>
      <c r="Z18" s="92">
        <v>0</v>
      </c>
      <c r="AA18" s="92">
        <v>0</v>
      </c>
      <c r="AB18" s="92">
        <v>0</v>
      </c>
      <c r="AC18" s="92">
        <v>0</v>
      </c>
      <c r="AD18" s="92">
        <v>0</v>
      </c>
      <c r="AE18" s="92">
        <v>0</v>
      </c>
      <c r="AF18" s="92">
        <v>0</v>
      </c>
      <c r="AG18" s="92">
        <v>626486</v>
      </c>
      <c r="AH18" s="92">
        <v>0</v>
      </c>
      <c r="AI18" s="92">
        <v>311213</v>
      </c>
      <c r="AJ18" s="92">
        <v>-10444</v>
      </c>
      <c r="AK18" s="92">
        <v>0</v>
      </c>
      <c r="AL18" s="92">
        <v>55251</v>
      </c>
      <c r="AM18" s="92">
        <v>9040</v>
      </c>
      <c r="AN18" s="92">
        <v>0</v>
      </c>
      <c r="AO18" s="92">
        <v>62704</v>
      </c>
      <c r="AP18" s="92">
        <v>0</v>
      </c>
      <c r="AQ18" s="92">
        <v>0</v>
      </c>
      <c r="AR18" s="92">
        <v>0</v>
      </c>
      <c r="AS18" s="92">
        <v>87671</v>
      </c>
      <c r="AT18" s="92">
        <v>0</v>
      </c>
      <c r="AU18" s="92">
        <v>21906</v>
      </c>
      <c r="AV18" s="92">
        <v>0</v>
      </c>
      <c r="AW18" s="92">
        <v>0</v>
      </c>
      <c r="AX18" s="92">
        <v>0</v>
      </c>
      <c r="AY18" s="92">
        <v>0</v>
      </c>
      <c r="AZ18" s="92">
        <v>0</v>
      </c>
      <c r="BA18" s="92">
        <v>0</v>
      </c>
      <c r="BB18" s="92">
        <v>0</v>
      </c>
      <c r="BC18" s="92">
        <v>0</v>
      </c>
      <c r="BD18" s="92">
        <v>0</v>
      </c>
      <c r="BE18" s="92">
        <v>0</v>
      </c>
      <c r="BF18" s="92">
        <v>0</v>
      </c>
      <c r="BG18" s="92">
        <v>0</v>
      </c>
      <c r="BH18" s="92">
        <v>0</v>
      </c>
      <c r="BI18" s="92">
        <v>3759</v>
      </c>
      <c r="BJ18" s="92">
        <v>0</v>
      </c>
      <c r="BK18" s="92">
        <v>0</v>
      </c>
      <c r="BL18" s="92">
        <v>0</v>
      </c>
      <c r="BM18" s="92">
        <v>0</v>
      </c>
      <c r="BN18" s="92">
        <v>0</v>
      </c>
      <c r="BO18" s="92">
        <v>0</v>
      </c>
      <c r="BP18" s="92">
        <v>0</v>
      </c>
      <c r="BQ18" s="92">
        <v>0</v>
      </c>
      <c r="BR18" s="92">
        <v>0</v>
      </c>
      <c r="BS18" s="92">
        <v>0</v>
      </c>
      <c r="BT18" s="92">
        <v>0</v>
      </c>
      <c r="BU18" s="92">
        <v>0</v>
      </c>
      <c r="BV18" s="92">
        <v>500017</v>
      </c>
      <c r="BW18" s="92">
        <v>-8380</v>
      </c>
      <c r="BX18" s="92">
        <v>0</v>
      </c>
      <c r="BY18" s="92">
        <v>93780</v>
      </c>
      <c r="BZ18" s="92">
        <v>0</v>
      </c>
      <c r="CA18" s="92">
        <v>0</v>
      </c>
      <c r="CB18" s="92">
        <v>0</v>
      </c>
      <c r="CC18" s="92">
        <v>0</v>
      </c>
      <c r="CD18" s="92">
        <v>459178</v>
      </c>
      <c r="CE18" s="92">
        <v>54916</v>
      </c>
      <c r="CF18" s="92">
        <v>0</v>
      </c>
      <c r="CG18" s="92">
        <v>316876</v>
      </c>
      <c r="CH18" s="92">
        <v>0</v>
      </c>
      <c r="CI18" s="92">
        <v>-1547</v>
      </c>
      <c r="CJ18" s="92">
        <v>0</v>
      </c>
      <c r="CK18" s="92">
        <v>0</v>
      </c>
      <c r="CL18" s="92">
        <v>0</v>
      </c>
      <c r="CM18" s="92">
        <v>0</v>
      </c>
      <c r="CN18" s="92">
        <v>0</v>
      </c>
      <c r="CO18" s="92">
        <v>0</v>
      </c>
      <c r="CP18" s="92">
        <v>0</v>
      </c>
      <c r="CQ18" s="92">
        <v>0</v>
      </c>
      <c r="CR18" s="92">
        <v>0</v>
      </c>
      <c r="CS18" s="92">
        <v>498582</v>
      </c>
      <c r="CT18" s="92">
        <v>326295</v>
      </c>
      <c r="CU18" s="92">
        <v>854198</v>
      </c>
      <c r="CV18" s="92">
        <v>0</v>
      </c>
      <c r="CW18" s="92">
        <v>503287</v>
      </c>
      <c r="CX18" s="92">
        <v>29714</v>
      </c>
      <c r="CY18" s="92">
        <v>134095</v>
      </c>
      <c r="CZ18" s="92">
        <v>0</v>
      </c>
      <c r="DA18" s="92">
        <v>0</v>
      </c>
      <c r="DB18" s="92">
        <v>0</v>
      </c>
      <c r="DC18" s="92">
        <v>4698</v>
      </c>
      <c r="DD18" s="92">
        <v>0</v>
      </c>
      <c r="DE18" s="92">
        <v>37068</v>
      </c>
      <c r="DF18" s="92">
        <v>208531</v>
      </c>
      <c r="DG18" s="92">
        <v>2205</v>
      </c>
      <c r="DH18" s="92">
        <v>0</v>
      </c>
      <c r="DI18" s="92">
        <v>0</v>
      </c>
      <c r="DJ18" s="92">
        <v>1236552</v>
      </c>
      <c r="DK18" s="92">
        <v>499785</v>
      </c>
      <c r="DL18" s="92">
        <v>0</v>
      </c>
      <c r="DM18" s="92">
        <v>140986</v>
      </c>
      <c r="DN18" s="92">
        <v>8216</v>
      </c>
      <c r="DO18" s="92">
        <v>122580</v>
      </c>
      <c r="DP18" s="92">
        <v>0</v>
      </c>
      <c r="DQ18" s="92">
        <v>61372</v>
      </c>
      <c r="DR18" s="92">
        <v>478226</v>
      </c>
      <c r="DS18" s="92">
        <v>41378</v>
      </c>
      <c r="DT18" s="92">
        <v>0</v>
      </c>
      <c r="DU18" s="92">
        <v>56385</v>
      </c>
      <c r="DV18" s="92">
        <v>0</v>
      </c>
      <c r="DW18" s="92">
        <v>0</v>
      </c>
      <c r="DX18" s="92">
        <v>0</v>
      </c>
      <c r="DY18" s="92">
        <v>0</v>
      </c>
      <c r="DZ18" s="92">
        <v>2162667</v>
      </c>
      <c r="EA18" s="92">
        <v>-4774</v>
      </c>
      <c r="EB18" s="92">
        <v>0</v>
      </c>
      <c r="EC18" s="92">
        <v>161787</v>
      </c>
      <c r="ED18" s="92">
        <v>0</v>
      </c>
      <c r="EE18" s="92">
        <v>0</v>
      </c>
      <c r="EF18" s="92">
        <v>0</v>
      </c>
      <c r="EG18" s="92">
        <v>4511225</v>
      </c>
      <c r="EH18" s="92">
        <v>1556866</v>
      </c>
      <c r="EI18" s="92">
        <v>441074</v>
      </c>
      <c r="EJ18" s="92">
        <v>-10444</v>
      </c>
      <c r="EK18" s="92">
        <v>4550449</v>
      </c>
      <c r="EL18" s="92">
        <v>25225</v>
      </c>
      <c r="EM18" s="92">
        <v>73926</v>
      </c>
      <c r="EN18" s="92">
        <v>0</v>
      </c>
      <c r="EO18" s="92">
        <v>160972</v>
      </c>
      <c r="EP18" s="92">
        <v>2409549</v>
      </c>
      <c r="EQ18" s="92">
        <v>4497</v>
      </c>
      <c r="ER18" s="92">
        <v>-86471</v>
      </c>
      <c r="ES18" s="92">
        <v>1576093</v>
      </c>
      <c r="ET18" s="92">
        <v>-2776</v>
      </c>
      <c r="EU18" s="92">
        <v>7159</v>
      </c>
      <c r="EV18" s="92">
        <v>0</v>
      </c>
      <c r="EW18" s="92">
        <v>0</v>
      </c>
      <c r="EX18" s="92">
        <v>0</v>
      </c>
      <c r="EY18" s="92">
        <v>0</v>
      </c>
      <c r="EZ18" s="92">
        <v>0</v>
      </c>
      <c r="FA18" s="92">
        <v>0</v>
      </c>
      <c r="FB18" s="92">
        <v>0</v>
      </c>
      <c r="FC18" s="92">
        <v>0</v>
      </c>
      <c r="FD18" s="92">
        <v>0</v>
      </c>
      <c r="FE18" s="92">
        <v>0</v>
      </c>
      <c r="FF18" s="92">
        <v>0</v>
      </c>
      <c r="FG18" s="92">
        <v>0</v>
      </c>
      <c r="FH18" s="92">
        <v>0</v>
      </c>
      <c r="FI18" s="92">
        <v>0</v>
      </c>
      <c r="FJ18" s="92">
        <v>0</v>
      </c>
      <c r="FK18" s="92">
        <v>0</v>
      </c>
      <c r="FL18" s="92">
        <v>0</v>
      </c>
      <c r="FM18" s="92">
        <v>0</v>
      </c>
      <c r="FN18" s="92">
        <v>0</v>
      </c>
      <c r="FO18" s="92">
        <v>0</v>
      </c>
      <c r="FP18" s="92">
        <v>0</v>
      </c>
      <c r="FQ18" s="92">
        <v>0</v>
      </c>
      <c r="FR18" s="92">
        <v>0</v>
      </c>
      <c r="FS18" s="92">
        <v>0</v>
      </c>
      <c r="FT18" s="92">
        <v>0</v>
      </c>
      <c r="FU18" s="92">
        <v>0</v>
      </c>
      <c r="FV18" s="92">
        <v>0</v>
      </c>
      <c r="FW18" s="92">
        <v>0</v>
      </c>
      <c r="FX18" s="92">
        <v>0</v>
      </c>
      <c r="FY18" s="92">
        <v>0</v>
      </c>
      <c r="FZ18" s="92">
        <v>0</v>
      </c>
      <c r="GA18" s="92">
        <v>0</v>
      </c>
      <c r="GB18" s="92">
        <v>0</v>
      </c>
      <c r="GC18" s="92">
        <v>0</v>
      </c>
      <c r="GD18" s="92">
        <v>23154385</v>
      </c>
      <c r="GE18" s="92">
        <v>23178672</v>
      </c>
      <c r="GF18" s="92">
        <v>216413464</v>
      </c>
      <c r="GG18" s="47" t="s">
        <v>311</v>
      </c>
      <c r="GH18" s="47" t="s">
        <v>312</v>
      </c>
      <c r="GI18" s="93">
        <v>9798459761</v>
      </c>
      <c r="GJ18" s="47" t="s">
        <v>313</v>
      </c>
      <c r="GK18" s="47" t="s">
        <v>320</v>
      </c>
      <c r="GL18" s="47" t="s">
        <v>321</v>
      </c>
      <c r="GM18" s="93">
        <v>2549681643</v>
      </c>
      <c r="GN18" s="47" t="s">
        <v>322</v>
      </c>
      <c r="GO18" s="92" cm="1">
        <f t="array" ref="GO18">IFERROR(_xlfn.IFS(ResearchInput[[#This Row],[Type]]="HRI",SUMIFS('FTSE | FTFE'!$P$8:$P$77,'FTSE | FTFE'!$H$8:$H$77,A18),ResearchInput[[#This Row],[Type]]="UNIV",SUMIFS('FTSE | FTFE'!$P$104:$P$139,'FTSE | FTFE'!$H$104:$H$139,A18),OR(ResearchInput[[#This Row],[Type]]="TSTC",ResearchInput[[#This Row],[Type]]="LSC"),SUMIFS('FTSE | FTFE'!$O$88:$O$96,'FTSE | FTFE'!$H$88:$H$96,A18),ResearchInput[[#This Row],[Type]]="AHM",SUMIFS(Hidden!$H$43:$H$46,Hidden!$G$42:$G$45,A18)),"N/A")</f>
        <v>13369</v>
      </c>
      <c r="GP18" s="92" cm="1">
        <f t="array" ref="GP18">IFERROR(_xlfn.IFS(ResearchInput[[#This Row],[Type]]="HRI",SUMIFS('FTSE | FTFE'!$Q$8:$Q$77,'FTSE | FTFE'!$H$8:$H$77,A18),ResearchInput[[#This Row],[Type]]="UNIV",SUMIFS('FTSE | FTFE'!$Q$104:$Q$139,'FTSE | FTFE'!$H$104:$H$139,A18),OR(ResearchInput[[#This Row],[Type]]="TSTC",ResearchInput[[#This Row],[Type]]="LSC"),SUMIFS('FTSE | FTFE'!$P$88:$P$96,'FTSE | FTFE'!$H$88:$H$96,A18)),"N/A")</f>
        <v>189</v>
      </c>
      <c r="GQ18" s="92">
        <v>0</v>
      </c>
      <c r="GR18" s="92">
        <f>SUM(ResearchInput[[#This Row],[Fed.Comp]],ResearchInput[[#This Row],[Fed.Eng]],ResearchInput[[#This Row],[Fed.Geo]],ResearchInput[[#This Row],[Fed.Life]],ResearchInput[[#This Row],[Fed.Math]],ResearchInput[[#This Row],[Fed.Phys]],ResearchInput[[#This Row],[Fed.Psyc]],ResearchInput[[#This Row],[Fed.Soc]],ResearchInput[[#This Row],[Fed.Othr]],ResearchInput[[#This Row],[Fed.Non]])</f>
        <v>5232151</v>
      </c>
      <c r="GS18" s="92">
        <f>SUM(ResearchInput[[#This Row],[St.Comp]],ResearchInput[[#This Row],[St.Eng]],ResearchInput[[#This Row],[St.Geo]],ResearchInput[[#This Row],[St.Life]],ResearchInput[[#This Row],[St.Math]],ResearchInput[[#This Row],[St.Phys]],ResearchInput[[#This Row],[St.Psyc]],ResearchInput[[#This Row],[St.Soc]],ResearchInput[[#This Row],[St.Othr]],ResearchInput[[#This Row],[St.Non]])</f>
        <v>9129350</v>
      </c>
      <c r="GT18" s="92">
        <f>SUM(ResearchInput[[#This Row],[St.C&amp;G.Comp]],ResearchInput[[#This Row],[St.C&amp;G.Eng]],ResearchInput[[#This Row],[St.C&amp;G.Geo]],ResearchInput[[#This Row],[St.C&amp;G.Life]],ResearchInput[[#This Row],[St.C&amp;G.Math]],ResearchInput[[#This Row],[St.C&amp;G.Phys]],ResearchInput[[#This Row],[St.C&amp;G.Psyc]],ResearchInput[[#This Row],[St.C&amp;G.Soc]],ResearchInput[[#This Row],[St.C&amp;G.Othr]],ResearchInput[[#This Row],[St.C&amp;G.Non]])</f>
        <v>1887392</v>
      </c>
      <c r="GU18" s="92">
        <f>SUM(ResearchInput[[#This Row],[St.All.Comp]],ResearchInput[[#This Row],[St.All.Eng]],ResearchInput[[#This Row],[St.All.Geo]],ResearchInput[[#This Row],[St.All.Life]],ResearchInput[[#This Row],[St.All.Math]],ResearchInput[[#This Row],[St.All.Phys]],ResearchInput[[#This Row],[St.All.Psyc]],ResearchInput[[#This Row],[St.All.Soc]],ResearchInput[[#This Row],[St.All.Othr]],ResearchInput[[#This Row],[St.All.Non]])</f>
        <v>-96915</v>
      </c>
      <c r="GV18" s="92">
        <f>SUM(ResearchInput[[#This Row],[Inst.Comp]],ResearchInput[[#This Row],[Inst.Eng]],ResearchInput[[#This Row],[Inst.Geo]],ResearchInput[[#This Row],[Inst.Life]],ResearchInput[[#This Row],[Inst.Math]],ResearchInput[[#This Row],[Inst.Phys]],ResearchInput[[#This Row],[Inst.Psyc]],ResearchInput[[#This Row],[Inst.Soc]],ResearchInput[[#This Row],[Inst.Othr]],ResearchInput[[#This Row],[Inst.Non]])</f>
        <v>7436711</v>
      </c>
      <c r="GW18" s="92">
        <f>SUM(ResearchInput[[#This Row],[P4P.Comp]],ResearchInput[[#This Row],[P4P.Eng]],ResearchInput[[#This Row],[P4P.Geo]],ResearchInput[[#This Row],[P4P.Life]],ResearchInput[[#This Row],[P4P.Math]],ResearchInput[[#This Row],[P4P.Phys]],ResearchInput[[#This Row],[P4P.Psyc]],ResearchInput[[#This Row],[P4P.Soc]],ResearchInput[[#This Row],[P4P.Othr]],ResearchInput[[#This Row],[P4P.Non]])</f>
        <v>268910</v>
      </c>
      <c r="GX18" s="92">
        <f>SUM(ResearchInput[[#This Row],[PNP.Comp]],ResearchInput[[#This Row],[PNP.Eng]],ResearchInput[[#This Row],[PNP.Geo]],ResearchInput[[#This Row],[PNP.Life]],ResearchInput[[#This Row],[PNP.Math]],ResearchInput[[#This Row],[PNP.Phys]],ResearchInput[[#This Row],[PNP.Psyc]],ResearchInput[[#This Row],[PNP.Soc]],ResearchInput[[#This Row],[PNP.Othr]],ResearchInput[[#This Row],[PNP.Non]])</f>
        <v>338418</v>
      </c>
      <c r="GY18" s="92">
        <f>SUM(ResearchInput[[#This Row],[P.All.Comp]],ResearchInput[[#This Row],[P.All.Eng]],ResearchInput[[#This Row],[P.All.Geo]],ResearchInput[[#This Row],[P.All.Life]],ResearchInput[[#This Row],[P.All.Math]],ResearchInput[[#This Row],[P.All.Phys]],ResearchInput[[#This Row],[P.All.Psyc]],ResearchInput[[#This Row],[P.All.Soc]],ResearchInput[[#This Row],[P.All.Othr]],ResearchInput[[#This Row],[P.All.Non]])</f>
        <v>0</v>
      </c>
    </row>
    <row r="19" spans="1:207" s="47" customFormat="1" ht="27" customHeight="1" x14ac:dyDescent="0.25">
      <c r="A19" s="34" t="s">
        <v>182</v>
      </c>
      <c r="B19" s="34" t="s">
        <v>671</v>
      </c>
      <c r="C19" s="35" t="s">
        <v>674</v>
      </c>
      <c r="D19" s="35" t="s">
        <v>673</v>
      </c>
      <c r="E19" s="94">
        <v>206</v>
      </c>
      <c r="F19" s="35" t="s">
        <v>714</v>
      </c>
      <c r="G19" s="35" t="s">
        <v>690</v>
      </c>
      <c r="H19" s="96">
        <v>42295</v>
      </c>
      <c r="I19" s="92">
        <v>1177778</v>
      </c>
      <c r="J19" s="92">
        <v>438401</v>
      </c>
      <c r="K19" s="92">
        <v>5140</v>
      </c>
      <c r="L19" s="92">
        <v>0</v>
      </c>
      <c r="M19" s="92">
        <v>241532</v>
      </c>
      <c r="N19" s="92">
        <v>0</v>
      </c>
      <c r="O19" s="92">
        <v>13028</v>
      </c>
      <c r="P19" s="92">
        <v>5633</v>
      </c>
      <c r="Q19" s="92">
        <v>0</v>
      </c>
      <c r="R19" s="92">
        <v>-438401</v>
      </c>
      <c r="S19" s="92">
        <v>-5140</v>
      </c>
      <c r="T19" s="92">
        <v>0</v>
      </c>
      <c r="U19" s="92">
        <v>-241155</v>
      </c>
      <c r="V19" s="92">
        <v>0</v>
      </c>
      <c r="W19" s="92">
        <v>0</v>
      </c>
      <c r="X19" s="92">
        <v>0</v>
      </c>
      <c r="Y19" s="92">
        <v>-115375</v>
      </c>
      <c r="Z19" s="92">
        <v>0</v>
      </c>
      <c r="AA19" s="92">
        <v>0</v>
      </c>
      <c r="AB19" s="92">
        <v>0</v>
      </c>
      <c r="AC19" s="92">
        <v>0</v>
      </c>
      <c r="AD19" s="92">
        <v>0</v>
      </c>
      <c r="AE19" s="92">
        <v>0</v>
      </c>
      <c r="AF19" s="92">
        <v>0</v>
      </c>
      <c r="AG19" s="92">
        <v>465028</v>
      </c>
      <c r="AH19" s="92">
        <v>0</v>
      </c>
      <c r="AI19" s="92">
        <v>0</v>
      </c>
      <c r="AJ19" s="92">
        <v>0</v>
      </c>
      <c r="AK19" s="92">
        <v>0</v>
      </c>
      <c r="AL19" s="92">
        <v>0</v>
      </c>
      <c r="AM19" s="92">
        <v>1133</v>
      </c>
      <c r="AN19" s="92">
        <v>0</v>
      </c>
      <c r="AO19" s="92">
        <v>0</v>
      </c>
      <c r="AP19" s="92">
        <v>0</v>
      </c>
      <c r="AQ19" s="92">
        <v>0</v>
      </c>
      <c r="AR19" s="92">
        <v>0</v>
      </c>
      <c r="AS19" s="92">
        <v>0</v>
      </c>
      <c r="AT19" s="92">
        <v>0</v>
      </c>
      <c r="AU19" s="92">
        <v>0</v>
      </c>
      <c r="AV19" s="92">
        <v>0</v>
      </c>
      <c r="AW19" s="92">
        <v>0</v>
      </c>
      <c r="AX19" s="92">
        <v>0</v>
      </c>
      <c r="AY19" s="92">
        <v>0</v>
      </c>
      <c r="AZ19" s="92">
        <v>0</v>
      </c>
      <c r="BA19" s="92">
        <v>0</v>
      </c>
      <c r="BB19" s="92">
        <v>0</v>
      </c>
      <c r="BC19" s="92">
        <v>0</v>
      </c>
      <c r="BD19" s="92">
        <v>0</v>
      </c>
      <c r="BE19" s="92">
        <v>0</v>
      </c>
      <c r="BF19" s="92">
        <v>0</v>
      </c>
      <c r="BG19" s="92">
        <v>0</v>
      </c>
      <c r="BH19" s="92">
        <v>0</v>
      </c>
      <c r="BI19" s="92">
        <v>0</v>
      </c>
      <c r="BJ19" s="92">
        <v>0</v>
      </c>
      <c r="BK19" s="92">
        <v>0</v>
      </c>
      <c r="BL19" s="92">
        <v>0</v>
      </c>
      <c r="BM19" s="92">
        <v>0</v>
      </c>
      <c r="BN19" s="92">
        <v>0</v>
      </c>
      <c r="BO19" s="92">
        <v>0</v>
      </c>
      <c r="BP19" s="92">
        <v>0</v>
      </c>
      <c r="BQ19" s="92">
        <v>0</v>
      </c>
      <c r="BR19" s="92">
        <v>0</v>
      </c>
      <c r="BS19" s="92">
        <v>0</v>
      </c>
      <c r="BT19" s="92">
        <v>0</v>
      </c>
      <c r="BU19" s="92">
        <v>1155834</v>
      </c>
      <c r="BV19" s="92">
        <v>0</v>
      </c>
      <c r="BW19" s="92">
        <v>0</v>
      </c>
      <c r="BX19" s="92">
        <v>0</v>
      </c>
      <c r="BY19" s="92">
        <v>0</v>
      </c>
      <c r="BZ19" s="92">
        <v>0</v>
      </c>
      <c r="CA19" s="92">
        <v>0</v>
      </c>
      <c r="CB19" s="92">
        <v>0</v>
      </c>
      <c r="CC19" s="92">
        <v>0</v>
      </c>
      <c r="CD19" s="92">
        <v>0</v>
      </c>
      <c r="CE19" s="92">
        <v>0</v>
      </c>
      <c r="CF19" s="92">
        <v>0</v>
      </c>
      <c r="CG19" s="92">
        <v>377</v>
      </c>
      <c r="CH19" s="92">
        <v>0</v>
      </c>
      <c r="CI19" s="92">
        <v>0</v>
      </c>
      <c r="CJ19" s="92">
        <v>0</v>
      </c>
      <c r="CK19" s="92">
        <v>0</v>
      </c>
      <c r="CL19" s="92">
        <v>0</v>
      </c>
      <c r="CM19" s="92">
        <v>0</v>
      </c>
      <c r="CN19" s="92">
        <v>0</v>
      </c>
      <c r="CO19" s="92">
        <v>0</v>
      </c>
      <c r="CP19" s="92">
        <v>0</v>
      </c>
      <c r="CQ19" s="92">
        <v>0</v>
      </c>
      <c r="CR19" s="92">
        <v>0</v>
      </c>
      <c r="CS19" s="92">
        <v>0</v>
      </c>
      <c r="CT19" s="92">
        <v>0</v>
      </c>
      <c r="CU19" s="92">
        <v>0</v>
      </c>
      <c r="CV19" s="92">
        <v>0</v>
      </c>
      <c r="CW19" s="92">
        <v>0</v>
      </c>
      <c r="CX19" s="92">
        <v>0</v>
      </c>
      <c r="CY19" s="92">
        <v>0</v>
      </c>
      <c r="CZ19" s="92">
        <v>0</v>
      </c>
      <c r="DA19" s="92">
        <v>0</v>
      </c>
      <c r="DB19" s="92">
        <v>0</v>
      </c>
      <c r="DC19" s="92">
        <v>0</v>
      </c>
      <c r="DD19" s="92">
        <v>0</v>
      </c>
      <c r="DE19" s="92">
        <v>0</v>
      </c>
      <c r="DF19" s="92">
        <v>0</v>
      </c>
      <c r="DG19" s="92">
        <v>0</v>
      </c>
      <c r="DH19" s="92">
        <v>0</v>
      </c>
      <c r="DI19" s="92">
        <v>0</v>
      </c>
      <c r="DJ19" s="92">
        <v>0</v>
      </c>
      <c r="DK19" s="92">
        <v>0</v>
      </c>
      <c r="DL19" s="92">
        <v>0</v>
      </c>
      <c r="DM19" s="92">
        <v>0</v>
      </c>
      <c r="DN19" s="92">
        <v>0</v>
      </c>
      <c r="DO19" s="92">
        <v>0</v>
      </c>
      <c r="DP19" s="92">
        <v>0</v>
      </c>
      <c r="DQ19" s="92">
        <v>365772</v>
      </c>
      <c r="DR19" s="92">
        <v>0</v>
      </c>
      <c r="DS19" s="92">
        <v>0</v>
      </c>
      <c r="DT19" s="92">
        <v>0</v>
      </c>
      <c r="DU19" s="92">
        <v>0</v>
      </c>
      <c r="DV19" s="92">
        <v>0</v>
      </c>
      <c r="DW19" s="92">
        <v>11161</v>
      </c>
      <c r="DX19" s="92">
        <v>0</v>
      </c>
      <c r="DY19" s="92">
        <v>0</v>
      </c>
      <c r="DZ19" s="92">
        <v>0</v>
      </c>
      <c r="EA19" s="92">
        <v>0</v>
      </c>
      <c r="EB19" s="92">
        <v>0</v>
      </c>
      <c r="EC19" s="92">
        <v>0</v>
      </c>
      <c r="ED19" s="92">
        <v>0</v>
      </c>
      <c r="EE19" s="92">
        <v>0</v>
      </c>
      <c r="EF19" s="92">
        <v>0</v>
      </c>
      <c r="EG19" s="92">
        <v>0</v>
      </c>
      <c r="EH19" s="92">
        <v>0</v>
      </c>
      <c r="EI19" s="92">
        <v>0</v>
      </c>
      <c r="EJ19" s="92">
        <v>0</v>
      </c>
      <c r="EK19" s="92">
        <v>0</v>
      </c>
      <c r="EL19" s="92">
        <v>0</v>
      </c>
      <c r="EM19" s="92">
        <v>0</v>
      </c>
      <c r="EN19" s="92">
        <v>0</v>
      </c>
      <c r="EO19" s="92">
        <v>5825</v>
      </c>
      <c r="EP19" s="92">
        <v>0</v>
      </c>
      <c r="EQ19" s="92">
        <v>0</v>
      </c>
      <c r="ER19" s="92">
        <v>0</v>
      </c>
      <c r="ES19" s="92">
        <v>0</v>
      </c>
      <c r="ET19" s="92">
        <v>0</v>
      </c>
      <c r="EU19" s="92">
        <v>3000</v>
      </c>
      <c r="EV19" s="92">
        <v>5633</v>
      </c>
      <c r="EW19" s="92">
        <v>0</v>
      </c>
      <c r="EX19" s="92">
        <v>0</v>
      </c>
      <c r="EY19" s="92">
        <v>0</v>
      </c>
      <c r="EZ19" s="92">
        <v>0</v>
      </c>
      <c r="FA19" s="92">
        <v>0</v>
      </c>
      <c r="FB19" s="92">
        <v>0</v>
      </c>
      <c r="FC19" s="92">
        <v>0</v>
      </c>
      <c r="FD19" s="92">
        <v>0</v>
      </c>
      <c r="FE19" s="92">
        <v>0</v>
      </c>
      <c r="FF19" s="92">
        <v>0</v>
      </c>
      <c r="FG19" s="92">
        <v>0</v>
      </c>
      <c r="FH19" s="92">
        <v>0</v>
      </c>
      <c r="FI19" s="92">
        <v>0</v>
      </c>
      <c r="FJ19" s="92">
        <v>0</v>
      </c>
      <c r="FK19" s="92">
        <v>0</v>
      </c>
      <c r="FL19" s="92">
        <v>0</v>
      </c>
      <c r="FM19" s="92">
        <v>0</v>
      </c>
      <c r="FN19" s="92">
        <v>0</v>
      </c>
      <c r="FO19" s="92">
        <v>0</v>
      </c>
      <c r="FP19" s="92">
        <v>0</v>
      </c>
      <c r="FQ19" s="92">
        <v>0</v>
      </c>
      <c r="FR19" s="92">
        <v>0</v>
      </c>
      <c r="FS19" s="92">
        <v>0</v>
      </c>
      <c r="FT19" s="92">
        <v>0</v>
      </c>
      <c r="FU19" s="92">
        <v>0</v>
      </c>
      <c r="FV19" s="92">
        <v>0</v>
      </c>
      <c r="FW19" s="92">
        <v>0</v>
      </c>
      <c r="FX19" s="92">
        <v>0</v>
      </c>
      <c r="FY19" s="92">
        <v>0</v>
      </c>
      <c r="FZ19" s="92">
        <v>0</v>
      </c>
      <c r="GA19" s="92">
        <v>0</v>
      </c>
      <c r="GB19" s="92">
        <v>0</v>
      </c>
      <c r="GC19" s="92">
        <v>0</v>
      </c>
      <c r="GD19" s="92">
        <v>1881512</v>
      </c>
      <c r="GE19" s="92">
        <v>1766137</v>
      </c>
      <c r="GF19" s="92">
        <v>49975722</v>
      </c>
      <c r="GG19" s="47" t="s">
        <v>311</v>
      </c>
      <c r="GH19" s="47" t="s">
        <v>312</v>
      </c>
      <c r="GI19" s="93">
        <v>9798459761</v>
      </c>
      <c r="GJ19" s="47" t="s">
        <v>313</v>
      </c>
      <c r="GK19" s="47" t="s">
        <v>341</v>
      </c>
      <c r="GL19" s="47" t="s">
        <v>342</v>
      </c>
      <c r="GM19" s="93">
        <v>2545195433</v>
      </c>
      <c r="GN19" s="47" t="s">
        <v>343</v>
      </c>
      <c r="GO19" s="92" cm="1">
        <f t="array" ref="GO19">IFERROR(_xlfn.IFS(ResearchInput[[#This Row],[Type]]="HRI",SUMIFS('FTSE | FTFE'!$P$8:$P$77,'FTSE | FTFE'!$H$8:$H$77,A19),ResearchInput[[#This Row],[Type]]="UNIV",SUMIFS('FTSE | FTFE'!$P$104:$P$139,'FTSE | FTFE'!$H$104:$H$139,A19),OR(ResearchInput[[#This Row],[Type]]="TSTC",ResearchInput[[#This Row],[Type]]="LSC"),SUMIFS('FTSE | FTFE'!$O$88:$O$96,'FTSE | FTFE'!$H$88:$H$96,A19),ResearchInput[[#This Row],[Type]]="AHM",SUMIFS(Hidden!$H$43:$H$46,Hidden!$G$42:$G$45,A19)),"N/A")</f>
        <v>1811</v>
      </c>
      <c r="GP19" s="92" cm="1">
        <f t="array" ref="GP19">IFERROR(_xlfn.IFS(ResearchInput[[#This Row],[Type]]="HRI",SUMIFS('FTSE | FTFE'!$Q$8:$Q$77,'FTSE | FTFE'!$H$8:$H$77,A19),ResearchInput[[#This Row],[Type]]="UNIV",SUMIFS('FTSE | FTFE'!$Q$104:$Q$139,'FTSE | FTFE'!$H$104:$H$139,A19),OR(ResearchInput[[#This Row],[Type]]="TSTC",ResearchInput[[#This Row],[Type]]="LSC"),SUMIFS('FTSE | FTFE'!$P$88:$P$96,'FTSE | FTFE'!$H$88:$H$96,A19)),"N/A")</f>
        <v>63</v>
      </c>
      <c r="GQ19" s="92">
        <v>0</v>
      </c>
      <c r="GR19" s="92">
        <f>SUM(ResearchInput[[#This Row],[Fed.Comp]],ResearchInput[[#This Row],[Fed.Eng]],ResearchInput[[#This Row],[Fed.Geo]],ResearchInput[[#This Row],[Fed.Life]],ResearchInput[[#This Row],[Fed.Math]],ResearchInput[[#This Row],[Fed.Phys]],ResearchInput[[#This Row],[Fed.Psyc]],ResearchInput[[#This Row],[Fed.Soc]],ResearchInput[[#This Row],[Fed.Othr]],ResearchInput[[#This Row],[Fed.Non]])</f>
        <v>1527431</v>
      </c>
      <c r="GS19" s="92">
        <f>SUM(ResearchInput[[#This Row],[St.Comp]],ResearchInput[[#This Row],[St.Eng]],ResearchInput[[#This Row],[St.Geo]],ResearchInput[[#This Row],[St.Life]],ResearchInput[[#This Row],[St.Math]],ResearchInput[[#This Row],[St.Phys]],ResearchInput[[#This Row],[St.Psyc]],ResearchInput[[#This Row],[St.Soc]],ResearchInput[[#This Row],[St.Othr]],ResearchInput[[#This Row],[St.Non]])</f>
        <v>0</v>
      </c>
      <c r="GT19" s="92">
        <f>SUM(ResearchInput[[#This Row],[St.C&amp;G.Comp]],ResearchInput[[#This Row],[St.C&amp;G.Eng]],ResearchInput[[#This Row],[St.C&amp;G.Geo]],ResearchInput[[#This Row],[St.C&amp;G.Life]],ResearchInput[[#This Row],[St.C&amp;G.Math]],ResearchInput[[#This Row],[St.C&amp;G.Phys]],ResearchInput[[#This Row],[St.C&amp;G.Psyc]],ResearchInput[[#This Row],[St.C&amp;G.Soc]],ResearchInput[[#This Row],[St.C&amp;G.Othr]],ResearchInput[[#This Row],[St.C&amp;G.Non]])</f>
        <v>0</v>
      </c>
      <c r="GU19" s="92">
        <f>SUM(ResearchInput[[#This Row],[St.All.Comp]],ResearchInput[[#This Row],[St.All.Eng]],ResearchInput[[#This Row],[St.All.Geo]],ResearchInput[[#This Row],[St.All.Life]],ResearchInput[[#This Row],[St.All.Math]],ResearchInput[[#This Row],[St.All.Phys]],ResearchInput[[#This Row],[St.All.Psyc]],ResearchInput[[#This Row],[St.All.Soc]],ResearchInput[[#This Row],[St.All.Othr]],ResearchInput[[#This Row],[St.All.Non]])</f>
        <v>0</v>
      </c>
      <c r="GV19" s="92">
        <f>SUM(ResearchInput[[#This Row],[Inst.Comp]],ResearchInput[[#This Row],[Inst.Eng]],ResearchInput[[#This Row],[Inst.Geo]],ResearchInput[[#This Row],[Inst.Life]],ResearchInput[[#This Row],[Inst.Math]],ResearchInput[[#This Row],[Inst.Phys]],ResearchInput[[#This Row],[Inst.Psyc]],ResearchInput[[#This Row],[Inst.Soc]],ResearchInput[[#This Row],[Inst.Othr]],ResearchInput[[#This Row],[Inst.Non]])</f>
        <v>377</v>
      </c>
      <c r="GW19" s="92">
        <f>SUM(ResearchInput[[#This Row],[P4P.Comp]],ResearchInput[[#This Row],[P4P.Eng]],ResearchInput[[#This Row],[P4P.Geo]],ResearchInput[[#This Row],[P4P.Life]],ResearchInput[[#This Row],[P4P.Math]],ResearchInput[[#This Row],[P4P.Phys]],ResearchInput[[#This Row],[P4P.Psyc]],ResearchInput[[#This Row],[P4P.Soc]],ResearchInput[[#This Row],[P4P.Othr]],ResearchInput[[#This Row],[P4P.Non]])</f>
        <v>0</v>
      </c>
      <c r="GX19" s="92">
        <f>SUM(ResearchInput[[#This Row],[PNP.Comp]],ResearchInput[[#This Row],[PNP.Eng]],ResearchInput[[#This Row],[PNP.Geo]],ResearchInput[[#This Row],[PNP.Life]],ResearchInput[[#This Row],[PNP.Math]],ResearchInput[[#This Row],[PNP.Phys]],ResearchInput[[#This Row],[PNP.Psyc]],ResearchInput[[#This Row],[PNP.Soc]],ResearchInput[[#This Row],[PNP.Othr]],ResearchInput[[#This Row],[PNP.Non]])</f>
        <v>14161</v>
      </c>
      <c r="GY19" s="92">
        <f>SUM(ResearchInput[[#This Row],[P.All.Comp]],ResearchInput[[#This Row],[P.All.Eng]],ResearchInput[[#This Row],[P.All.Geo]],ResearchInput[[#This Row],[P.All.Life]],ResearchInput[[#This Row],[P.All.Math]],ResearchInput[[#This Row],[P.All.Phys]],ResearchInput[[#This Row],[P.All.Psyc]],ResearchInput[[#This Row],[P.All.Soc]],ResearchInput[[#This Row],[P.All.Othr]],ResearchInput[[#This Row],[P.All.Non]])</f>
        <v>5633</v>
      </c>
    </row>
    <row r="20" spans="1:207" s="47" customFormat="1" ht="27" customHeight="1" x14ac:dyDescent="0.25">
      <c r="A20" s="34" t="s">
        <v>176</v>
      </c>
      <c r="B20" s="34" t="s">
        <v>671</v>
      </c>
      <c r="C20" s="35" t="s">
        <v>674</v>
      </c>
      <c r="D20" s="35" t="s">
        <v>673</v>
      </c>
      <c r="E20" s="94">
        <v>207</v>
      </c>
      <c r="F20" s="35" t="s">
        <v>714</v>
      </c>
      <c r="G20" s="35" t="s">
        <v>691</v>
      </c>
      <c r="H20" s="96">
        <v>11161</v>
      </c>
      <c r="I20" s="92">
        <v>16831023</v>
      </c>
      <c r="J20" s="92">
        <v>9151812</v>
      </c>
      <c r="K20" s="92">
        <v>5523800</v>
      </c>
      <c r="L20" s="92">
        <v>131939</v>
      </c>
      <c r="M20" s="92">
        <v>4807972</v>
      </c>
      <c r="N20" s="92">
        <v>686539</v>
      </c>
      <c r="O20" s="92">
        <v>6578410</v>
      </c>
      <c r="P20" s="92">
        <v>112170</v>
      </c>
      <c r="Q20" s="92">
        <v>-39641</v>
      </c>
      <c r="R20" s="92">
        <v>-1093227</v>
      </c>
      <c r="S20" s="92">
        <v>-5987</v>
      </c>
      <c r="T20" s="92">
        <v>0</v>
      </c>
      <c r="U20" s="92">
        <v>-67606</v>
      </c>
      <c r="V20" s="92">
        <v>0</v>
      </c>
      <c r="W20" s="92">
        <v>-10606</v>
      </c>
      <c r="X20" s="92">
        <v>-127</v>
      </c>
      <c r="Y20" s="92">
        <v>-1136604</v>
      </c>
      <c r="Z20" s="92">
        <v>0</v>
      </c>
      <c r="AA20" s="92">
        <v>0</v>
      </c>
      <c r="AB20" s="92">
        <v>0</v>
      </c>
      <c r="AC20" s="92">
        <v>0</v>
      </c>
      <c r="AD20" s="92">
        <v>0</v>
      </c>
      <c r="AE20" s="92">
        <v>-239392</v>
      </c>
      <c r="AF20" s="92">
        <v>0</v>
      </c>
      <c r="AG20" s="92">
        <v>4034981</v>
      </c>
      <c r="AH20" s="92">
        <v>0</v>
      </c>
      <c r="AI20" s="92">
        <v>768961</v>
      </c>
      <c r="AJ20" s="92">
        <v>121585</v>
      </c>
      <c r="AK20" s="92">
        <v>0</v>
      </c>
      <c r="AL20" s="92">
        <v>203079</v>
      </c>
      <c r="AM20" s="92">
        <v>448237</v>
      </c>
      <c r="AN20" s="92">
        <v>661</v>
      </c>
      <c r="AO20" s="92">
        <v>506909</v>
      </c>
      <c r="AP20" s="92">
        <v>1427559</v>
      </c>
      <c r="AQ20" s="92">
        <v>58004</v>
      </c>
      <c r="AR20" s="92">
        <v>0</v>
      </c>
      <c r="AS20" s="92">
        <v>200571</v>
      </c>
      <c r="AT20" s="92">
        <v>12362</v>
      </c>
      <c r="AU20" s="92">
        <v>589441</v>
      </c>
      <c r="AV20" s="92">
        <v>0</v>
      </c>
      <c r="AW20" s="92">
        <v>0</v>
      </c>
      <c r="AX20" s="92">
        <v>0</v>
      </c>
      <c r="AY20" s="92">
        <v>0</v>
      </c>
      <c r="AZ20" s="92">
        <v>0</v>
      </c>
      <c r="BA20" s="92">
        <v>0</v>
      </c>
      <c r="BB20" s="92">
        <v>0</v>
      </c>
      <c r="BC20" s="92">
        <v>0</v>
      </c>
      <c r="BD20" s="92">
        <v>0</v>
      </c>
      <c r="BE20" s="92">
        <v>110206</v>
      </c>
      <c r="BF20" s="92">
        <v>0</v>
      </c>
      <c r="BG20" s="92">
        <v>0</v>
      </c>
      <c r="BH20" s="92">
        <v>0</v>
      </c>
      <c r="BI20" s="92">
        <v>806</v>
      </c>
      <c r="BJ20" s="92">
        <v>0</v>
      </c>
      <c r="BK20" s="92">
        <v>0</v>
      </c>
      <c r="BL20" s="92">
        <v>0</v>
      </c>
      <c r="BM20" s="92">
        <v>0</v>
      </c>
      <c r="BN20" s="92">
        <v>0</v>
      </c>
      <c r="BO20" s="92">
        <v>0</v>
      </c>
      <c r="BP20" s="92">
        <v>0</v>
      </c>
      <c r="BQ20" s="92">
        <v>0</v>
      </c>
      <c r="BR20" s="92">
        <v>0</v>
      </c>
      <c r="BS20" s="92">
        <v>0</v>
      </c>
      <c r="BT20" s="92">
        <v>0</v>
      </c>
      <c r="BU20" s="92">
        <v>973006</v>
      </c>
      <c r="BV20" s="92">
        <v>16719</v>
      </c>
      <c r="BW20" s="92">
        <v>118621</v>
      </c>
      <c r="BX20" s="92">
        <v>0</v>
      </c>
      <c r="BY20" s="92">
        <v>64114</v>
      </c>
      <c r="BZ20" s="92">
        <v>0</v>
      </c>
      <c r="CA20" s="92">
        <v>547735</v>
      </c>
      <c r="CB20" s="92">
        <v>6413</v>
      </c>
      <c r="CC20" s="92">
        <v>3872278</v>
      </c>
      <c r="CD20" s="92">
        <v>5544789</v>
      </c>
      <c r="CE20" s="92">
        <v>766021</v>
      </c>
      <c r="CF20" s="92">
        <v>0</v>
      </c>
      <c r="CG20" s="92">
        <v>507925</v>
      </c>
      <c r="CH20" s="92">
        <v>99679</v>
      </c>
      <c r="CI20" s="92">
        <v>0</v>
      </c>
      <c r="CJ20" s="92">
        <v>0</v>
      </c>
      <c r="CK20" s="92">
        <v>8256032</v>
      </c>
      <c r="CL20" s="92">
        <v>921732</v>
      </c>
      <c r="CM20" s="92">
        <v>4513824</v>
      </c>
      <c r="CN20" s="92">
        <v>253524</v>
      </c>
      <c r="CO20" s="92">
        <v>1231618</v>
      </c>
      <c r="CP20" s="92">
        <v>374286</v>
      </c>
      <c r="CQ20" s="92">
        <v>5214165</v>
      </c>
      <c r="CR20" s="92">
        <v>40835</v>
      </c>
      <c r="CS20" s="92">
        <v>3146021</v>
      </c>
      <c r="CT20" s="92">
        <v>201928</v>
      </c>
      <c r="CU20" s="92">
        <v>725794</v>
      </c>
      <c r="CV20" s="92">
        <v>0</v>
      </c>
      <c r="CW20" s="92">
        <v>298237</v>
      </c>
      <c r="CX20" s="92">
        <v>412718</v>
      </c>
      <c r="CY20" s="92">
        <v>578587</v>
      </c>
      <c r="CZ20" s="92">
        <v>48765</v>
      </c>
      <c r="DA20" s="92">
        <v>828705</v>
      </c>
      <c r="DB20" s="92">
        <v>85428</v>
      </c>
      <c r="DC20" s="92">
        <v>0</v>
      </c>
      <c r="DD20" s="92">
        <v>0</v>
      </c>
      <c r="DE20" s="92">
        <v>19733</v>
      </c>
      <c r="DF20" s="92">
        <v>0</v>
      </c>
      <c r="DG20" s="92">
        <v>0</v>
      </c>
      <c r="DH20" s="92">
        <v>0</v>
      </c>
      <c r="DI20" s="92">
        <v>970691</v>
      </c>
      <c r="DJ20" s="92">
        <v>7636</v>
      </c>
      <c r="DK20" s="92">
        <v>0</v>
      </c>
      <c r="DL20" s="92">
        <v>0</v>
      </c>
      <c r="DM20" s="92">
        <v>81975</v>
      </c>
      <c r="DN20" s="92">
        <v>620</v>
      </c>
      <c r="DO20" s="92">
        <v>90954</v>
      </c>
      <c r="DP20" s="92">
        <v>0</v>
      </c>
      <c r="DQ20" s="92">
        <v>35665</v>
      </c>
      <c r="DR20" s="92">
        <v>3743</v>
      </c>
      <c r="DS20" s="92">
        <v>0</v>
      </c>
      <c r="DT20" s="92">
        <v>0</v>
      </c>
      <c r="DU20" s="92">
        <v>0</v>
      </c>
      <c r="DV20" s="92">
        <v>0</v>
      </c>
      <c r="DW20" s="92">
        <v>0</v>
      </c>
      <c r="DX20" s="92">
        <v>0</v>
      </c>
      <c r="DY20" s="92">
        <v>312409</v>
      </c>
      <c r="DZ20" s="92">
        <v>750</v>
      </c>
      <c r="EA20" s="92">
        <v>12148</v>
      </c>
      <c r="EB20" s="92">
        <v>0</v>
      </c>
      <c r="EC20" s="92">
        <v>31083</v>
      </c>
      <c r="ED20" s="92">
        <v>7087</v>
      </c>
      <c r="EE20" s="92">
        <v>536354</v>
      </c>
      <c r="EF20" s="92">
        <v>0</v>
      </c>
      <c r="EG20" s="92">
        <v>81071</v>
      </c>
      <c r="EH20" s="92">
        <v>264174</v>
      </c>
      <c r="EI20" s="92">
        <v>115087</v>
      </c>
      <c r="EJ20" s="92">
        <v>0</v>
      </c>
      <c r="EK20" s="92">
        <v>1454552</v>
      </c>
      <c r="EL20" s="92">
        <v>0</v>
      </c>
      <c r="EM20" s="92">
        <v>197740</v>
      </c>
      <c r="EN20" s="92">
        <v>16691</v>
      </c>
      <c r="EO20" s="92">
        <v>1830996</v>
      </c>
      <c r="EP20" s="92">
        <v>2439245</v>
      </c>
      <c r="EQ20" s="92">
        <v>93283</v>
      </c>
      <c r="ER20" s="92">
        <v>0</v>
      </c>
      <c r="ES20" s="92">
        <v>1252506</v>
      </c>
      <c r="ET20" s="92">
        <v>7590</v>
      </c>
      <c r="EU20" s="92">
        <v>200555</v>
      </c>
      <c r="EV20" s="92">
        <v>0</v>
      </c>
      <c r="EW20" s="92">
        <v>27756</v>
      </c>
      <c r="EX20" s="92">
        <v>30139</v>
      </c>
      <c r="EY20" s="92">
        <v>-3655</v>
      </c>
      <c r="EZ20" s="92">
        <v>0</v>
      </c>
      <c r="FA20" s="92">
        <v>22855</v>
      </c>
      <c r="FB20" s="92">
        <v>0</v>
      </c>
      <c r="FC20" s="92">
        <v>0</v>
      </c>
      <c r="FD20" s="92">
        <v>41077</v>
      </c>
      <c r="FE20" s="92">
        <v>0</v>
      </c>
      <c r="FF20" s="92">
        <v>0</v>
      </c>
      <c r="FG20" s="92">
        <v>0</v>
      </c>
      <c r="FH20" s="92">
        <v>0</v>
      </c>
      <c r="FI20" s="92">
        <v>0</v>
      </c>
      <c r="FJ20" s="92">
        <v>0</v>
      </c>
      <c r="FK20" s="92">
        <v>0</v>
      </c>
      <c r="FL20" s="92">
        <v>0</v>
      </c>
      <c r="FM20" s="92">
        <v>0</v>
      </c>
      <c r="FN20" s="92">
        <v>0</v>
      </c>
      <c r="FO20" s="92">
        <v>0</v>
      </c>
      <c r="FP20" s="92">
        <v>0</v>
      </c>
      <c r="FQ20" s="92">
        <v>0</v>
      </c>
      <c r="FR20" s="92">
        <v>0</v>
      </c>
      <c r="FS20" s="92">
        <v>0</v>
      </c>
      <c r="FT20" s="92">
        <v>0</v>
      </c>
      <c r="FU20" s="92">
        <v>0</v>
      </c>
      <c r="FV20" s="92">
        <v>0</v>
      </c>
      <c r="FW20" s="92">
        <v>0</v>
      </c>
      <c r="FX20" s="92">
        <v>0</v>
      </c>
      <c r="FY20" s="92">
        <v>0</v>
      </c>
      <c r="FZ20" s="92">
        <v>0</v>
      </c>
      <c r="GA20" s="92">
        <v>0</v>
      </c>
      <c r="GB20" s="92">
        <v>0</v>
      </c>
      <c r="GC20" s="92">
        <v>0</v>
      </c>
      <c r="GD20" s="92">
        <v>43823665</v>
      </c>
      <c r="GE20" s="92">
        <v>45478751</v>
      </c>
      <c r="GF20" s="92">
        <v>221917571</v>
      </c>
      <c r="GG20" s="47" t="s">
        <v>311</v>
      </c>
      <c r="GH20" s="47" t="s">
        <v>312</v>
      </c>
      <c r="GI20" s="93">
        <v>9798459761</v>
      </c>
      <c r="GJ20" s="47" t="s">
        <v>313</v>
      </c>
      <c r="GK20" s="47" t="s">
        <v>323</v>
      </c>
      <c r="GL20" s="47" t="s">
        <v>324</v>
      </c>
      <c r="GM20" s="93">
        <v>3618255571</v>
      </c>
      <c r="GN20" s="47" t="s">
        <v>325</v>
      </c>
      <c r="GO20" s="92" cm="1">
        <f t="array" ref="GO20">IFERROR(_xlfn.IFS(ResearchInput[[#This Row],[Type]]="HRI",SUMIFS('FTSE | FTFE'!$P$8:$P$77,'FTSE | FTFE'!$H$8:$H$77,A20),ResearchInput[[#This Row],[Type]]="UNIV",SUMIFS('FTSE | FTFE'!$P$104:$P$139,'FTSE | FTFE'!$H$104:$H$139,A20),OR(ResearchInput[[#This Row],[Type]]="TSTC",ResearchInput[[#This Row],[Type]]="LSC"),SUMIFS('FTSE | FTFE'!$O$88:$O$96,'FTSE | FTFE'!$H$88:$H$96,A20),ResearchInput[[#This Row],[Type]]="AHM",SUMIFS(Hidden!$H$43:$H$46,Hidden!$G$42:$G$45,A20)),"N/A")</f>
        <v>9531</v>
      </c>
      <c r="GP20" s="92" cm="1">
        <f t="array" ref="GP20">IFERROR(_xlfn.IFS(ResearchInput[[#This Row],[Type]]="HRI",SUMIFS('FTSE | FTFE'!$Q$8:$Q$77,'FTSE | FTFE'!$H$8:$H$77,A20),ResearchInput[[#This Row],[Type]]="UNIV",SUMIFS('FTSE | FTFE'!$Q$104:$Q$139,'FTSE | FTFE'!$H$104:$H$139,A20),OR(ResearchInput[[#This Row],[Type]]="TSTC",ResearchInput[[#This Row],[Type]]="LSC"),SUMIFS('FTSE | FTFE'!$P$88:$P$96,'FTSE | FTFE'!$H$88:$H$96,A20)),"N/A")</f>
        <v>153</v>
      </c>
      <c r="GQ20" s="92">
        <v>0</v>
      </c>
      <c r="GR20" s="92">
        <f>SUM(ResearchInput[[#This Row],[Fed.Comp]],ResearchInput[[#This Row],[Fed.Eng]],ResearchInput[[#This Row],[Fed.Geo]],ResearchInput[[#This Row],[Fed.Life]],ResearchInput[[#This Row],[Fed.Math]],ResearchInput[[#This Row],[Fed.Phys]],ResearchInput[[#This Row],[Fed.Psyc]],ResearchInput[[#This Row],[Fed.Soc]],ResearchInput[[#This Row],[Fed.Othr]],ResearchInput[[#This Row],[Fed.Non]])</f>
        <v>20306874</v>
      </c>
      <c r="GS20" s="92">
        <f>SUM(ResearchInput[[#This Row],[St.Comp]],ResearchInput[[#This Row],[St.Eng]],ResearchInput[[#This Row],[St.Geo]],ResearchInput[[#This Row],[St.Life]],ResearchInput[[#This Row],[St.Math]],ResearchInput[[#This Row],[St.Phys]],ResearchInput[[#This Row],[St.Psyc]],ResearchInput[[#This Row],[St.Soc]],ResearchInput[[#This Row],[St.Othr]],ResearchInput[[#This Row],[St.Non]])</f>
        <v>9486144</v>
      </c>
      <c r="GT20" s="92">
        <f>SUM(ResearchInput[[#This Row],[St.C&amp;G.Comp]],ResearchInput[[#This Row],[St.C&amp;G.Eng]],ResearchInput[[#This Row],[St.C&amp;G.Geo]],ResearchInput[[#This Row],[St.C&amp;G.Life]],ResearchInput[[#This Row],[St.C&amp;G.Math]],ResearchInput[[#This Row],[St.C&amp;G.Phys]],ResearchInput[[#This Row],[St.C&amp;G.Psyc]],ResearchInput[[#This Row],[St.C&amp;G.Soc]],ResearchInput[[#This Row],[St.C&amp;G.Othr]],ResearchInput[[#This Row],[St.C&amp;G.Non]])</f>
        <v>6344778</v>
      </c>
      <c r="GU20" s="92">
        <f>SUM(ResearchInput[[#This Row],[St.All.Comp]],ResearchInput[[#This Row],[St.All.Eng]],ResearchInput[[#This Row],[St.All.Geo]],ResearchInput[[#This Row],[St.All.Life]],ResearchInput[[#This Row],[St.All.Math]],ResearchInput[[#This Row],[St.All.Phys]],ResearchInput[[#This Row],[St.All.Psyc]],ResearchInput[[#This Row],[St.All.Soc]],ResearchInput[[#This Row],[St.All.Othr]],ResearchInput[[#This Row],[St.All.Non]])</f>
        <v>253524</v>
      </c>
      <c r="GV20" s="92">
        <f>SUM(ResearchInput[[#This Row],[Inst.Comp]],ResearchInput[[#This Row],[Inst.Eng]],ResearchInput[[#This Row],[Inst.Geo]],ResearchInput[[#This Row],[Inst.Life]],ResearchInput[[#This Row],[Inst.Math]],ResearchInput[[#This Row],[Inst.Phys]],ResearchInput[[#This Row],[Inst.Psyc]],ResearchInput[[#This Row],[Inst.Soc]],ResearchInput[[#This Row],[Inst.Othr]],ResearchInput[[#This Row],[Inst.Non]])</f>
        <v>4941743</v>
      </c>
      <c r="GW20" s="92">
        <f>SUM(ResearchInput[[#This Row],[P4P.Comp]],ResearchInput[[#This Row],[P4P.Eng]],ResearchInput[[#This Row],[P4P.Geo]],ResearchInput[[#This Row],[P4P.Life]],ResearchInput[[#This Row],[P4P.Math]],ResearchInput[[#This Row],[P4P.Phys]],ResearchInput[[#This Row],[P4P.Psyc]],ResearchInput[[#This Row],[P4P.Soc]],ResearchInput[[#This Row],[P4P.Othr]],ResearchInput[[#This Row],[P4P.Non]])</f>
        <v>901980</v>
      </c>
      <c r="GX20" s="92">
        <f>SUM(ResearchInput[[#This Row],[PNP.Comp]],ResearchInput[[#This Row],[PNP.Eng]],ResearchInput[[#This Row],[PNP.Geo]],ResearchInput[[#This Row],[PNP.Life]],ResearchInput[[#This Row],[PNP.Math]],ResearchInput[[#This Row],[PNP.Phys]],ResearchInput[[#This Row],[PNP.Psyc]],ResearchInput[[#This Row],[PNP.Soc]],ResearchInput[[#This Row],[PNP.Othr]],ResearchInput[[#This Row],[PNP.Non]])</f>
        <v>7366090</v>
      </c>
      <c r="GY20" s="92">
        <f>SUM(ResearchInput[[#This Row],[P.All.Comp]],ResearchInput[[#This Row],[P.All.Eng]],ResearchInput[[#This Row],[P.All.Geo]],ResearchInput[[#This Row],[P.All.Life]],ResearchInput[[#This Row],[P.All.Math]],ResearchInput[[#This Row],[P.All.Phys]],ResearchInput[[#This Row],[P.All.Psyc]],ResearchInput[[#This Row],[P.All.Soc]],ResearchInput[[#This Row],[P.All.Othr]],ResearchInput[[#This Row],[P.All.Non]])</f>
        <v>112704</v>
      </c>
    </row>
    <row r="21" spans="1:207" s="47" customFormat="1" ht="27" customHeight="1" x14ac:dyDescent="0.25">
      <c r="A21" s="34" t="s">
        <v>177</v>
      </c>
      <c r="B21" s="34" t="s">
        <v>671</v>
      </c>
      <c r="C21" s="35" t="s">
        <v>674</v>
      </c>
      <c r="D21" s="35" t="s">
        <v>673</v>
      </c>
      <c r="E21" s="94">
        <v>208</v>
      </c>
      <c r="F21" s="35" t="s">
        <v>714</v>
      </c>
      <c r="G21" s="35" t="s">
        <v>691</v>
      </c>
      <c r="H21" s="96">
        <v>3639</v>
      </c>
      <c r="I21" s="92">
        <v>15186991</v>
      </c>
      <c r="J21" s="92">
        <v>7832406</v>
      </c>
      <c r="K21" s="92">
        <v>1019551</v>
      </c>
      <c r="L21" s="92">
        <v>0</v>
      </c>
      <c r="M21" s="92">
        <v>1905342</v>
      </c>
      <c r="N21" s="92">
        <v>791098</v>
      </c>
      <c r="O21" s="92">
        <v>5722592</v>
      </c>
      <c r="P21" s="92">
        <v>0</v>
      </c>
      <c r="Q21" s="92">
        <v>0</v>
      </c>
      <c r="R21" s="92">
        <v>0</v>
      </c>
      <c r="S21" s="92">
        <v>0</v>
      </c>
      <c r="T21" s="92">
        <v>0</v>
      </c>
      <c r="U21" s="92">
        <v>0</v>
      </c>
      <c r="V21" s="92">
        <v>0</v>
      </c>
      <c r="W21" s="92">
        <v>0</v>
      </c>
      <c r="X21" s="92">
        <v>0</v>
      </c>
      <c r="Y21" s="92">
        <v>-1282263</v>
      </c>
      <c r="Z21" s="92">
        <v>-37850</v>
      </c>
      <c r="AA21" s="92">
        <v>0</v>
      </c>
      <c r="AB21" s="92">
        <v>0</v>
      </c>
      <c r="AC21" s="92">
        <v>0</v>
      </c>
      <c r="AD21" s="92">
        <v>0</v>
      </c>
      <c r="AE21" s="92">
        <v>0</v>
      </c>
      <c r="AF21" s="92">
        <v>0</v>
      </c>
      <c r="AG21" s="92">
        <v>1972206</v>
      </c>
      <c r="AH21" s="92">
        <v>418743</v>
      </c>
      <c r="AI21" s="92">
        <v>324755</v>
      </c>
      <c r="AJ21" s="92">
        <v>0</v>
      </c>
      <c r="AK21" s="92">
        <v>0</v>
      </c>
      <c r="AL21" s="92">
        <v>61879</v>
      </c>
      <c r="AM21" s="92">
        <v>91350</v>
      </c>
      <c r="AN21" s="92">
        <v>0</v>
      </c>
      <c r="AO21" s="92">
        <v>570872</v>
      </c>
      <c r="AP21" s="92">
        <v>289496</v>
      </c>
      <c r="AQ21" s="92">
        <v>129709</v>
      </c>
      <c r="AR21" s="92">
        <v>0</v>
      </c>
      <c r="AS21" s="92">
        <v>136170</v>
      </c>
      <c r="AT21" s="92">
        <v>130750</v>
      </c>
      <c r="AU21" s="92">
        <v>240999</v>
      </c>
      <c r="AV21" s="92">
        <v>0</v>
      </c>
      <c r="AW21" s="92">
        <v>0</v>
      </c>
      <c r="AX21" s="92">
        <v>0</v>
      </c>
      <c r="AY21" s="92">
        <v>0</v>
      </c>
      <c r="AZ21" s="92">
        <v>0</v>
      </c>
      <c r="BA21" s="92">
        <v>0</v>
      </c>
      <c r="BB21" s="92">
        <v>0</v>
      </c>
      <c r="BC21" s="92">
        <v>0</v>
      </c>
      <c r="BD21" s="92">
        <v>0</v>
      </c>
      <c r="BE21" s="92">
        <v>0</v>
      </c>
      <c r="BF21" s="92">
        <v>0</v>
      </c>
      <c r="BG21" s="92">
        <v>0</v>
      </c>
      <c r="BH21" s="92">
        <v>0</v>
      </c>
      <c r="BI21" s="92">
        <v>405</v>
      </c>
      <c r="BJ21" s="92">
        <v>0</v>
      </c>
      <c r="BK21" s="92">
        <v>0</v>
      </c>
      <c r="BL21" s="92">
        <v>0</v>
      </c>
      <c r="BM21" s="92">
        <v>0</v>
      </c>
      <c r="BN21" s="92">
        <v>0</v>
      </c>
      <c r="BO21" s="92">
        <v>0</v>
      </c>
      <c r="BP21" s="92">
        <v>0</v>
      </c>
      <c r="BQ21" s="92">
        <v>0</v>
      </c>
      <c r="BR21" s="92">
        <v>0</v>
      </c>
      <c r="BS21" s="92">
        <v>0</v>
      </c>
      <c r="BT21" s="92">
        <v>0</v>
      </c>
      <c r="BU21" s="92">
        <v>238802</v>
      </c>
      <c r="BV21" s="92">
        <v>29968</v>
      </c>
      <c r="BW21" s="92">
        <v>23234</v>
      </c>
      <c r="BX21" s="92">
        <v>0</v>
      </c>
      <c r="BY21" s="92">
        <v>0</v>
      </c>
      <c r="BZ21" s="92">
        <v>0</v>
      </c>
      <c r="CA21" s="92">
        <v>0</v>
      </c>
      <c r="CB21" s="92">
        <v>0</v>
      </c>
      <c r="CC21" s="92">
        <v>4083957</v>
      </c>
      <c r="CD21" s="92">
        <v>1049879</v>
      </c>
      <c r="CE21" s="92">
        <v>116638</v>
      </c>
      <c r="CF21" s="92">
        <v>0</v>
      </c>
      <c r="CG21" s="92">
        <v>254246</v>
      </c>
      <c r="CH21" s="92">
        <v>37901</v>
      </c>
      <c r="CI21" s="92">
        <v>199876</v>
      </c>
      <c r="CJ21" s="92">
        <v>0</v>
      </c>
      <c r="CK21" s="92">
        <v>0</v>
      </c>
      <c r="CL21" s="92">
        <v>0</v>
      </c>
      <c r="CM21" s="92">
        <v>0</v>
      </c>
      <c r="CN21" s="92">
        <v>0</v>
      </c>
      <c r="CO21" s="92">
        <v>0</v>
      </c>
      <c r="CP21" s="92">
        <v>0</v>
      </c>
      <c r="CQ21" s="92">
        <v>0</v>
      </c>
      <c r="CR21" s="92">
        <v>0</v>
      </c>
      <c r="CS21" s="92">
        <v>9759221</v>
      </c>
      <c r="CT21" s="92">
        <v>5185698</v>
      </c>
      <c r="CU21" s="92">
        <v>1268132</v>
      </c>
      <c r="CV21" s="92">
        <v>0</v>
      </c>
      <c r="CW21" s="92">
        <v>1140791</v>
      </c>
      <c r="CX21" s="92">
        <v>836874</v>
      </c>
      <c r="CY21" s="92">
        <v>5748601</v>
      </c>
      <c r="CZ21" s="92">
        <v>0</v>
      </c>
      <c r="DA21" s="92">
        <v>0</v>
      </c>
      <c r="DB21" s="92">
        <v>0</v>
      </c>
      <c r="DC21" s="92">
        <v>0</v>
      </c>
      <c r="DD21" s="92">
        <v>0</v>
      </c>
      <c r="DE21" s="92">
        <v>0</v>
      </c>
      <c r="DF21" s="92">
        <v>0</v>
      </c>
      <c r="DG21" s="92">
        <v>0</v>
      </c>
      <c r="DH21" s="92">
        <v>0</v>
      </c>
      <c r="DI21" s="92">
        <v>131176</v>
      </c>
      <c r="DJ21" s="92">
        <v>45912</v>
      </c>
      <c r="DK21" s="92">
        <v>53497</v>
      </c>
      <c r="DL21" s="92">
        <v>0</v>
      </c>
      <c r="DM21" s="92">
        <v>10996</v>
      </c>
      <c r="DN21" s="92">
        <v>0</v>
      </c>
      <c r="DO21" s="92">
        <v>60160</v>
      </c>
      <c r="DP21" s="92">
        <v>0</v>
      </c>
      <c r="DQ21" s="92">
        <v>0</v>
      </c>
      <c r="DR21" s="92">
        <v>2692</v>
      </c>
      <c r="DS21" s="92">
        <v>0</v>
      </c>
      <c r="DT21" s="92">
        <v>0</v>
      </c>
      <c r="DU21" s="92">
        <v>1765</v>
      </c>
      <c r="DV21" s="92">
        <v>0</v>
      </c>
      <c r="DW21" s="92">
        <v>0</v>
      </c>
      <c r="DX21" s="92">
        <v>0</v>
      </c>
      <c r="DY21" s="92">
        <v>0</v>
      </c>
      <c r="DZ21" s="92">
        <v>0</v>
      </c>
      <c r="EA21" s="92">
        <v>0</v>
      </c>
      <c r="EB21" s="92">
        <v>0</v>
      </c>
      <c r="EC21" s="92">
        <v>0</v>
      </c>
      <c r="ED21" s="92">
        <v>0</v>
      </c>
      <c r="EE21" s="92">
        <v>0</v>
      </c>
      <c r="EF21" s="92">
        <v>0</v>
      </c>
      <c r="EG21" s="92">
        <v>0</v>
      </c>
      <c r="EH21" s="92">
        <v>9992</v>
      </c>
      <c r="EI21" s="92">
        <v>0</v>
      </c>
      <c r="EJ21" s="92">
        <v>0</v>
      </c>
      <c r="EK21" s="92">
        <v>44825</v>
      </c>
      <c r="EL21" s="92">
        <v>0</v>
      </c>
      <c r="EM21" s="92">
        <v>0</v>
      </c>
      <c r="EN21" s="92">
        <v>0</v>
      </c>
      <c r="EO21" s="92">
        <v>2234650</v>
      </c>
      <c r="EP21" s="92">
        <v>2178654</v>
      </c>
      <c r="EQ21" s="92">
        <v>12514</v>
      </c>
      <c r="ER21" s="92">
        <v>0</v>
      </c>
      <c r="ES21" s="92">
        <v>589294</v>
      </c>
      <c r="ET21" s="92">
        <v>108952</v>
      </c>
      <c r="EU21" s="92">
        <v>46304</v>
      </c>
      <c r="EV21" s="92">
        <v>0</v>
      </c>
      <c r="EW21" s="92">
        <v>0</v>
      </c>
      <c r="EX21" s="92">
        <v>0</v>
      </c>
      <c r="EY21" s="92">
        <v>0</v>
      </c>
      <c r="EZ21" s="92">
        <v>0</v>
      </c>
      <c r="FA21" s="92">
        <v>0</v>
      </c>
      <c r="FB21" s="92">
        <v>0</v>
      </c>
      <c r="FC21" s="92">
        <v>0</v>
      </c>
      <c r="FD21" s="92">
        <v>0</v>
      </c>
      <c r="FE21" s="92">
        <v>0</v>
      </c>
      <c r="FF21" s="92">
        <v>0</v>
      </c>
      <c r="FG21" s="92">
        <v>0</v>
      </c>
      <c r="FH21" s="92">
        <v>0</v>
      </c>
      <c r="FI21" s="92">
        <v>0</v>
      </c>
      <c r="FJ21" s="92">
        <v>0</v>
      </c>
      <c r="FK21" s="92">
        <v>0</v>
      </c>
      <c r="FL21" s="92">
        <v>0</v>
      </c>
      <c r="FM21" s="92">
        <v>0</v>
      </c>
      <c r="FN21" s="92">
        <v>0</v>
      </c>
      <c r="FO21" s="92">
        <v>0</v>
      </c>
      <c r="FP21" s="92">
        <v>0</v>
      </c>
      <c r="FQ21" s="92">
        <v>0</v>
      </c>
      <c r="FR21" s="92">
        <v>0</v>
      </c>
      <c r="FS21" s="92">
        <v>0</v>
      </c>
      <c r="FT21" s="92">
        <v>0</v>
      </c>
      <c r="FU21" s="92">
        <v>0</v>
      </c>
      <c r="FV21" s="92">
        <v>0</v>
      </c>
      <c r="FW21" s="92">
        <v>0</v>
      </c>
      <c r="FX21" s="92">
        <v>0</v>
      </c>
      <c r="FY21" s="92">
        <v>0</v>
      </c>
      <c r="FZ21" s="92">
        <v>0</v>
      </c>
      <c r="GA21" s="92">
        <v>0</v>
      </c>
      <c r="GB21" s="92">
        <v>0</v>
      </c>
      <c r="GC21" s="92">
        <v>0</v>
      </c>
      <c r="GD21" s="92">
        <v>32457980</v>
      </c>
      <c r="GE21" s="92">
        <v>32635863</v>
      </c>
      <c r="GF21" s="92">
        <v>154365724</v>
      </c>
      <c r="GG21" s="47" t="s">
        <v>326</v>
      </c>
      <c r="GH21" s="47" t="s">
        <v>327</v>
      </c>
      <c r="GI21" s="93">
        <v>3615934965</v>
      </c>
      <c r="GJ21" s="47" t="s">
        <v>328</v>
      </c>
      <c r="GK21" s="47" t="s">
        <v>329</v>
      </c>
      <c r="GL21" s="47" t="s">
        <v>330</v>
      </c>
      <c r="GM21" s="93">
        <v>3615932520</v>
      </c>
      <c r="GN21" s="47" t="s">
        <v>331</v>
      </c>
      <c r="GO21" s="92" cm="1">
        <f t="array" ref="GO21">IFERROR(_xlfn.IFS(ResearchInput[[#This Row],[Type]]="HRI",SUMIFS('FTSE | FTFE'!$P$8:$P$77,'FTSE | FTFE'!$H$8:$H$77,A21),ResearchInput[[#This Row],[Type]]="UNIV",SUMIFS('FTSE | FTFE'!$P$104:$P$139,'FTSE | FTFE'!$H$104:$H$139,A21),OR(ResearchInput[[#This Row],[Type]]="TSTC",ResearchInput[[#This Row],[Type]]="LSC"),SUMIFS('FTSE | FTFE'!$O$88:$O$96,'FTSE | FTFE'!$H$88:$H$96,A21),ResearchInput[[#This Row],[Type]]="AHM",SUMIFS(Hidden!$H$43:$H$46,Hidden!$G$42:$G$45,A21)),"N/A")</f>
        <v>5640</v>
      </c>
      <c r="GP21" s="92" cm="1">
        <f t="array" ref="GP21">IFERROR(_xlfn.IFS(ResearchInput[[#This Row],[Type]]="HRI",SUMIFS('FTSE | FTFE'!$Q$8:$Q$77,'FTSE | FTFE'!$H$8:$H$77,A21),ResearchInput[[#This Row],[Type]]="UNIV",SUMIFS('FTSE | FTFE'!$Q$104:$Q$139,'FTSE | FTFE'!$H$104:$H$139,A21),OR(ResearchInput[[#This Row],[Type]]="TSTC",ResearchInput[[#This Row],[Type]]="LSC"),SUMIFS('FTSE | FTFE'!$P$88:$P$96,'FTSE | FTFE'!$H$88:$H$96,A21)),"N/A")</f>
        <v>202</v>
      </c>
      <c r="GQ21" s="92">
        <v>0</v>
      </c>
      <c r="GR21" s="92">
        <f>SUM(ResearchInput[[#This Row],[Fed.Comp]],ResearchInput[[#This Row],[Fed.Eng]],ResearchInput[[#This Row],[Fed.Geo]],ResearchInput[[#This Row],[Fed.Life]],ResearchInput[[#This Row],[Fed.Math]],ResearchInput[[#This Row],[Fed.Phys]],ResearchInput[[#This Row],[Fed.Psyc]],ResearchInput[[#This Row],[Fed.Soc]],ResearchInput[[#This Row],[Fed.Othr]],ResearchInput[[#This Row],[Fed.Non]])</f>
        <v>16447806</v>
      </c>
      <c r="GS21" s="92">
        <f>SUM(ResearchInput[[#This Row],[St.Comp]],ResearchInput[[#This Row],[St.Eng]],ResearchInput[[#This Row],[St.Geo]],ResearchInput[[#This Row],[St.Life]],ResearchInput[[#This Row],[St.Math]],ResearchInput[[#This Row],[St.Phys]],ResearchInput[[#This Row],[St.Psyc]],ResearchInput[[#This Row],[St.Soc]],ResearchInput[[#This Row],[St.Othr]],ResearchInput[[#This Row],[St.Non]])</f>
        <v>8502795</v>
      </c>
      <c r="GT21" s="92">
        <f>SUM(ResearchInput[[#This Row],[St.C&amp;G.Comp]],ResearchInput[[#This Row],[St.C&amp;G.Eng]],ResearchInput[[#This Row],[St.C&amp;G.Geo]],ResearchInput[[#This Row],[St.C&amp;G.Life]],ResearchInput[[#This Row],[St.C&amp;G.Math]],ResearchInput[[#This Row],[St.C&amp;G.Phys]],ResearchInput[[#This Row],[St.C&amp;G.Psyc]],ResearchInput[[#This Row],[St.C&amp;G.Soc]],ResearchInput[[#This Row],[St.C&amp;G.Othr]],ResearchInput[[#This Row],[St.C&amp;G.Non]])</f>
        <v>1474015</v>
      </c>
      <c r="GU21" s="92">
        <f>SUM(ResearchInput[[#This Row],[St.All.Comp]],ResearchInput[[#This Row],[St.All.Eng]],ResearchInput[[#This Row],[St.All.Geo]],ResearchInput[[#This Row],[St.All.Life]],ResearchInput[[#This Row],[St.All.Math]],ResearchInput[[#This Row],[St.All.Phys]],ResearchInput[[#This Row],[St.All.Psyc]],ResearchInput[[#This Row],[St.All.Soc]],ResearchInput[[#This Row],[St.All.Othr]],ResearchInput[[#This Row],[St.All.Non]])</f>
        <v>0</v>
      </c>
      <c r="GV21" s="92">
        <f>SUM(ResearchInput[[#This Row],[Inst.Comp]],ResearchInput[[#This Row],[Inst.Eng]],ResearchInput[[#This Row],[Inst.Geo]],ResearchInput[[#This Row],[Inst.Life]],ResearchInput[[#This Row],[Inst.Math]],ResearchInput[[#This Row],[Inst.Phys]],ResearchInput[[#This Row],[Inst.Psyc]],ResearchInput[[#This Row],[Inst.Soc]],ResearchInput[[#This Row],[Inst.Othr]],ResearchInput[[#This Row],[Inst.Non]])</f>
        <v>2041917</v>
      </c>
      <c r="GW21" s="92">
        <f>SUM(ResearchInput[[#This Row],[P4P.Comp]],ResearchInput[[#This Row],[P4P.Eng]],ResearchInput[[#This Row],[P4P.Geo]],ResearchInput[[#This Row],[P4P.Life]],ResearchInput[[#This Row],[P4P.Math]],ResearchInput[[#This Row],[P4P.Phys]],ResearchInput[[#This Row],[P4P.Psyc]],ResearchInput[[#This Row],[P4P.Soc]],ResearchInput[[#This Row],[P4P.Othr]],ResearchInput[[#This Row],[P4P.Non]])</f>
        <v>983727</v>
      </c>
      <c r="GX21" s="92">
        <f>SUM(ResearchInput[[#This Row],[PNP.Comp]],ResearchInput[[#This Row],[PNP.Eng]],ResearchInput[[#This Row],[PNP.Geo]],ResearchInput[[#This Row],[PNP.Life]],ResearchInput[[#This Row],[PNP.Math]],ResearchInput[[#This Row],[PNP.Phys]],ResearchInput[[#This Row],[PNP.Psyc]],ResearchInput[[#This Row],[PNP.Soc]],ResearchInput[[#This Row],[PNP.Othr]],ResearchInput[[#This Row],[PNP.Non]])</f>
        <v>6054941</v>
      </c>
      <c r="GY21" s="92">
        <f>SUM(ResearchInput[[#This Row],[P.All.Comp]],ResearchInput[[#This Row],[P.All.Eng]],ResearchInput[[#This Row],[P.All.Geo]],ResearchInput[[#This Row],[P.All.Life]],ResearchInput[[#This Row],[P.All.Math]],ResearchInput[[#This Row],[P.All.Phys]],ResearchInput[[#This Row],[P.All.Psyc]],ResearchInput[[#This Row],[P.All.Soc]],ResearchInput[[#This Row],[P.All.Othr]],ResearchInput[[#This Row],[P.All.Non]])</f>
        <v>0</v>
      </c>
    </row>
    <row r="22" spans="1:207" s="47" customFormat="1" ht="27" customHeight="1" x14ac:dyDescent="0.25">
      <c r="A22" s="34" t="s">
        <v>183</v>
      </c>
      <c r="B22" s="34" t="s">
        <v>671</v>
      </c>
      <c r="C22" s="35" t="s">
        <v>674</v>
      </c>
      <c r="D22" s="35" t="s">
        <v>673</v>
      </c>
      <c r="E22" s="94">
        <v>209</v>
      </c>
      <c r="F22" s="35" t="s">
        <v>714</v>
      </c>
      <c r="G22" s="35" t="s">
        <v>690</v>
      </c>
      <c r="H22" s="96">
        <v>42485</v>
      </c>
      <c r="I22" s="92">
        <v>1333221</v>
      </c>
      <c r="J22" s="92">
        <v>29960</v>
      </c>
      <c r="K22" s="92">
        <v>419488</v>
      </c>
      <c r="L22" s="92">
        <v>59706</v>
      </c>
      <c r="M22" s="92">
        <v>2474830</v>
      </c>
      <c r="N22" s="92">
        <v>117650</v>
      </c>
      <c r="O22" s="92">
        <v>189866</v>
      </c>
      <c r="P22" s="92">
        <v>103013</v>
      </c>
      <c r="Q22" s="92">
        <v>0</v>
      </c>
      <c r="R22" s="92">
        <v>0</v>
      </c>
      <c r="S22" s="92">
        <v>0</v>
      </c>
      <c r="T22" s="92">
        <v>0</v>
      </c>
      <c r="U22" s="92">
        <v>-391998</v>
      </c>
      <c r="V22" s="92">
        <v>0</v>
      </c>
      <c r="W22" s="92">
        <v>0</v>
      </c>
      <c r="X22" s="92">
        <v>-16764</v>
      </c>
      <c r="Y22" s="92">
        <v>0</v>
      </c>
      <c r="Z22" s="92">
        <v>0</v>
      </c>
      <c r="AA22" s="92">
        <v>-82116</v>
      </c>
      <c r="AB22" s="92">
        <v>0</v>
      </c>
      <c r="AC22" s="92">
        <v>0</v>
      </c>
      <c r="AD22" s="92">
        <v>0</v>
      </c>
      <c r="AE22" s="92">
        <v>0</v>
      </c>
      <c r="AF22" s="92">
        <v>0</v>
      </c>
      <c r="AG22" s="92">
        <v>432348</v>
      </c>
      <c r="AH22" s="92">
        <v>3812</v>
      </c>
      <c r="AI22" s="92">
        <v>6372</v>
      </c>
      <c r="AJ22" s="92">
        <v>13159</v>
      </c>
      <c r="AK22" s="92">
        <v>0</v>
      </c>
      <c r="AL22" s="92">
        <v>25883</v>
      </c>
      <c r="AM22" s="92">
        <v>3259</v>
      </c>
      <c r="AN22" s="92">
        <v>73615</v>
      </c>
      <c r="AO22" s="92">
        <v>8400</v>
      </c>
      <c r="AP22" s="92">
        <v>0</v>
      </c>
      <c r="AQ22" s="92">
        <v>0</v>
      </c>
      <c r="AR22" s="92">
        <v>0</v>
      </c>
      <c r="AS22" s="92">
        <v>0</v>
      </c>
      <c r="AT22" s="92">
        <v>0</v>
      </c>
      <c r="AU22" s="92">
        <v>0</v>
      </c>
      <c r="AV22" s="92">
        <v>175065</v>
      </c>
      <c r="AW22" s="92">
        <v>0</v>
      </c>
      <c r="AX22" s="92">
        <v>0</v>
      </c>
      <c r="AY22" s="92">
        <v>0</v>
      </c>
      <c r="AZ22" s="92">
        <v>0</v>
      </c>
      <c r="BA22" s="92">
        <v>0</v>
      </c>
      <c r="BB22" s="92">
        <v>0</v>
      </c>
      <c r="BC22" s="92">
        <v>0</v>
      </c>
      <c r="BD22" s="92">
        <v>0</v>
      </c>
      <c r="BE22" s="92">
        <v>0</v>
      </c>
      <c r="BF22" s="92">
        <v>0</v>
      </c>
      <c r="BG22" s="92">
        <v>0</v>
      </c>
      <c r="BH22" s="92">
        <v>0</v>
      </c>
      <c r="BI22" s="92">
        <v>0</v>
      </c>
      <c r="BJ22" s="92">
        <v>0</v>
      </c>
      <c r="BK22" s="92">
        <v>0</v>
      </c>
      <c r="BL22" s="92">
        <v>0</v>
      </c>
      <c r="BM22" s="92">
        <v>0</v>
      </c>
      <c r="BN22" s="92">
        <v>0</v>
      </c>
      <c r="BO22" s="92">
        <v>0</v>
      </c>
      <c r="BP22" s="92">
        <v>0</v>
      </c>
      <c r="BQ22" s="92">
        <v>0</v>
      </c>
      <c r="BR22" s="92">
        <v>0</v>
      </c>
      <c r="BS22" s="92">
        <v>0</v>
      </c>
      <c r="BT22" s="92">
        <v>0</v>
      </c>
      <c r="BU22" s="92">
        <v>248780</v>
      </c>
      <c r="BV22" s="92">
        <v>0</v>
      </c>
      <c r="BW22" s="92">
        <v>234171</v>
      </c>
      <c r="BX22" s="92">
        <v>0</v>
      </c>
      <c r="BY22" s="92">
        <v>0</v>
      </c>
      <c r="BZ22" s="92">
        <v>0</v>
      </c>
      <c r="CA22" s="92">
        <v>0</v>
      </c>
      <c r="CB22" s="92">
        <v>0</v>
      </c>
      <c r="CC22" s="92">
        <v>0</v>
      </c>
      <c r="CD22" s="92">
        <v>0</v>
      </c>
      <c r="CE22" s="92">
        <v>0</v>
      </c>
      <c r="CF22" s="92">
        <v>0</v>
      </c>
      <c r="CG22" s="92">
        <v>0</v>
      </c>
      <c r="CH22" s="92">
        <v>0</v>
      </c>
      <c r="CI22" s="92">
        <v>0</v>
      </c>
      <c r="CJ22" s="92">
        <v>0</v>
      </c>
      <c r="CK22" s="92">
        <v>5491</v>
      </c>
      <c r="CL22" s="92">
        <v>0</v>
      </c>
      <c r="CM22" s="92">
        <v>12883</v>
      </c>
      <c r="CN22" s="92">
        <v>0</v>
      </c>
      <c r="CO22" s="92">
        <v>0</v>
      </c>
      <c r="CP22" s="92">
        <v>0</v>
      </c>
      <c r="CQ22" s="92">
        <v>0</v>
      </c>
      <c r="CR22" s="92">
        <v>0</v>
      </c>
      <c r="CS22" s="92">
        <v>420287</v>
      </c>
      <c r="CT22" s="92">
        <v>0</v>
      </c>
      <c r="CU22" s="92">
        <v>18405</v>
      </c>
      <c r="CV22" s="92">
        <v>0</v>
      </c>
      <c r="CW22" s="92">
        <v>7748</v>
      </c>
      <c r="CX22" s="92">
        <v>0</v>
      </c>
      <c r="CY22" s="92">
        <v>0</v>
      </c>
      <c r="CZ22" s="92">
        <v>33</v>
      </c>
      <c r="DA22" s="92">
        <v>59061</v>
      </c>
      <c r="DB22" s="92">
        <v>0</v>
      </c>
      <c r="DC22" s="92">
        <v>0</v>
      </c>
      <c r="DD22" s="92">
        <v>0</v>
      </c>
      <c r="DE22" s="92">
        <v>0</v>
      </c>
      <c r="DF22" s="92">
        <v>0</v>
      </c>
      <c r="DG22" s="92">
        <v>0</v>
      </c>
      <c r="DH22" s="92">
        <v>0</v>
      </c>
      <c r="DI22" s="92">
        <v>0</v>
      </c>
      <c r="DJ22" s="92">
        <v>0</v>
      </c>
      <c r="DK22" s="92">
        <v>0</v>
      </c>
      <c r="DL22" s="92">
        <v>0</v>
      </c>
      <c r="DM22" s="92">
        <v>0</v>
      </c>
      <c r="DN22" s="92">
        <v>0</v>
      </c>
      <c r="DO22" s="92">
        <v>0</v>
      </c>
      <c r="DP22" s="92">
        <v>0</v>
      </c>
      <c r="DQ22" s="92">
        <v>192008</v>
      </c>
      <c r="DR22" s="92">
        <v>2347</v>
      </c>
      <c r="DS22" s="92">
        <v>23468</v>
      </c>
      <c r="DT22" s="92">
        <v>0</v>
      </c>
      <c r="DU22" s="92">
        <v>0</v>
      </c>
      <c r="DV22" s="92">
        <v>0</v>
      </c>
      <c r="DW22" s="92">
        <v>1750</v>
      </c>
      <c r="DX22" s="92">
        <v>0</v>
      </c>
      <c r="DY22" s="92">
        <v>131116</v>
      </c>
      <c r="DZ22" s="92">
        <v>0</v>
      </c>
      <c r="EA22" s="92">
        <v>0</v>
      </c>
      <c r="EB22" s="92">
        <v>0</v>
      </c>
      <c r="EC22" s="92">
        <v>0</v>
      </c>
      <c r="ED22" s="92">
        <v>0</v>
      </c>
      <c r="EE22" s="92">
        <v>0</v>
      </c>
      <c r="EF22" s="92">
        <v>0</v>
      </c>
      <c r="EG22" s="92">
        <v>14134</v>
      </c>
      <c r="EH22" s="92">
        <v>0</v>
      </c>
      <c r="EI22" s="92">
        <v>38120</v>
      </c>
      <c r="EJ22" s="92">
        <v>0</v>
      </c>
      <c r="EK22" s="92">
        <v>2034444</v>
      </c>
      <c r="EL22" s="92">
        <v>0</v>
      </c>
      <c r="EM22" s="92">
        <v>9649</v>
      </c>
      <c r="EN22" s="92">
        <v>73582</v>
      </c>
      <c r="EO22" s="92">
        <v>703092</v>
      </c>
      <c r="EP22" s="92">
        <v>31425</v>
      </c>
      <c r="EQ22" s="92">
        <v>16697</v>
      </c>
      <c r="ER22" s="92">
        <v>72865</v>
      </c>
      <c r="ES22" s="92">
        <v>40640</v>
      </c>
      <c r="ET22" s="92">
        <v>143533</v>
      </c>
      <c r="EU22" s="92">
        <v>181726</v>
      </c>
      <c r="EV22" s="92">
        <v>261314</v>
      </c>
      <c r="EW22" s="92">
        <v>0</v>
      </c>
      <c r="EX22" s="92">
        <v>0</v>
      </c>
      <c r="EY22" s="92">
        <v>0</v>
      </c>
      <c r="EZ22" s="92">
        <v>0</v>
      </c>
      <c r="FA22" s="92">
        <v>0</v>
      </c>
      <c r="FB22" s="92">
        <v>0</v>
      </c>
      <c r="FC22" s="92">
        <v>0</v>
      </c>
      <c r="FD22" s="92">
        <v>0</v>
      </c>
      <c r="FE22" s="92">
        <v>0</v>
      </c>
      <c r="FF22" s="92">
        <v>0</v>
      </c>
      <c r="FG22" s="92">
        <v>0</v>
      </c>
      <c r="FH22" s="92">
        <v>0</v>
      </c>
      <c r="FI22" s="92">
        <v>0</v>
      </c>
      <c r="FJ22" s="92">
        <v>0</v>
      </c>
      <c r="FK22" s="92">
        <v>0</v>
      </c>
      <c r="FL22" s="92">
        <v>0</v>
      </c>
      <c r="FM22" s="92">
        <v>0</v>
      </c>
      <c r="FN22" s="92">
        <v>0</v>
      </c>
      <c r="FO22" s="92">
        <v>0</v>
      </c>
      <c r="FP22" s="92">
        <v>0</v>
      </c>
      <c r="FQ22" s="92">
        <v>0</v>
      </c>
      <c r="FR22" s="92">
        <v>0</v>
      </c>
      <c r="FS22" s="92">
        <v>0</v>
      </c>
      <c r="FT22" s="92">
        <v>0</v>
      </c>
      <c r="FU22" s="92">
        <v>0</v>
      </c>
      <c r="FV22" s="92">
        <v>0</v>
      </c>
      <c r="FW22" s="92">
        <v>0</v>
      </c>
      <c r="FX22" s="92">
        <v>0</v>
      </c>
      <c r="FY22" s="92">
        <v>0</v>
      </c>
      <c r="FZ22" s="92">
        <v>0</v>
      </c>
      <c r="GA22" s="92">
        <v>0</v>
      </c>
      <c r="GB22" s="92">
        <v>0</v>
      </c>
      <c r="GC22" s="92">
        <v>0</v>
      </c>
      <c r="GD22" s="92">
        <v>4727734</v>
      </c>
      <c r="GE22" s="92">
        <v>4829083</v>
      </c>
      <c r="GF22" s="92">
        <v>107699150</v>
      </c>
      <c r="GG22" s="47" t="s">
        <v>311</v>
      </c>
      <c r="GH22" s="47" t="s">
        <v>312</v>
      </c>
      <c r="GI22" s="93">
        <v>9798459761</v>
      </c>
      <c r="GJ22" s="47" t="s">
        <v>313</v>
      </c>
      <c r="GK22" s="47" t="s">
        <v>344</v>
      </c>
      <c r="GL22" s="47" t="s">
        <v>345</v>
      </c>
      <c r="GM22" s="93">
        <v>2107842011</v>
      </c>
      <c r="GN22" s="47" t="s">
        <v>346</v>
      </c>
      <c r="GO22" s="92" cm="1">
        <f t="array" ref="GO22">IFERROR(_xlfn.IFS(ResearchInput[[#This Row],[Type]]="HRI",SUMIFS('FTSE | FTFE'!$P$8:$P$77,'FTSE | FTFE'!$H$8:$H$77,A22),ResearchInput[[#This Row],[Type]]="UNIV",SUMIFS('FTSE | FTFE'!$P$104:$P$139,'FTSE | FTFE'!$H$104:$H$139,A22),OR(ResearchInput[[#This Row],[Type]]="TSTC",ResearchInput[[#This Row],[Type]]="LSC"),SUMIFS('FTSE | FTFE'!$O$88:$O$96,'FTSE | FTFE'!$H$88:$H$96,A22),ResearchInput[[#This Row],[Type]]="AHM",SUMIFS(Hidden!$H$43:$H$46,Hidden!$G$42:$G$45,A22)),"N/A")</f>
        <v>5683</v>
      </c>
      <c r="GP22" s="92" cm="1">
        <f t="array" ref="GP22">IFERROR(_xlfn.IFS(ResearchInput[[#This Row],[Type]]="HRI",SUMIFS('FTSE | FTFE'!$Q$8:$Q$77,'FTSE | FTFE'!$H$8:$H$77,A22),ResearchInput[[#This Row],[Type]]="UNIV",SUMIFS('FTSE | FTFE'!$Q$104:$Q$139,'FTSE | FTFE'!$H$104:$H$139,A22),OR(ResearchInput[[#This Row],[Type]]="TSTC",ResearchInput[[#This Row],[Type]]="LSC"),SUMIFS('FTSE | FTFE'!$P$88:$P$96,'FTSE | FTFE'!$H$88:$H$96,A22)),"N/A")</f>
        <v>134</v>
      </c>
      <c r="GQ22" s="92">
        <v>0</v>
      </c>
      <c r="GR22" s="92">
        <f>SUM(ResearchInput[[#This Row],[Fed.Comp]],ResearchInput[[#This Row],[Fed.Eng]],ResearchInput[[#This Row],[Fed.Geo]],ResearchInput[[#This Row],[Fed.Life]],ResearchInput[[#This Row],[Fed.Math]],ResearchInput[[#This Row],[Fed.Phys]],ResearchInput[[#This Row],[Fed.Psyc]],ResearchInput[[#This Row],[Fed.Soc]],ResearchInput[[#This Row],[Fed.Othr]],ResearchInput[[#This Row],[Fed.Non]])</f>
        <v>1773969</v>
      </c>
      <c r="GS22" s="92">
        <f>SUM(ResearchInput[[#This Row],[St.Comp]],ResearchInput[[#This Row],[St.Eng]],ResearchInput[[#This Row],[St.Geo]],ResearchInput[[#This Row],[St.Life]],ResearchInput[[#This Row],[St.Math]],ResearchInput[[#This Row],[St.Phys]],ResearchInput[[#This Row],[St.Psyc]],ResearchInput[[#This Row],[St.Soc]],ResearchInput[[#This Row],[St.Othr]],ResearchInput[[#This Row],[St.Non]])</f>
        <v>33772</v>
      </c>
      <c r="GT22" s="92">
        <f>SUM(ResearchInput[[#This Row],[St.C&amp;G.Comp]],ResearchInput[[#This Row],[St.C&amp;G.Eng]],ResearchInput[[#This Row],[St.C&amp;G.Geo]],ResearchInput[[#This Row],[St.C&amp;G.Life]],ResearchInput[[#This Row],[St.C&amp;G.Math]],ResearchInput[[#This Row],[St.C&amp;G.Phys]],ResearchInput[[#This Row],[St.C&amp;G.Psyc]],ResearchInput[[#This Row],[St.C&amp;G.Soc]],ResearchInput[[#This Row],[St.C&amp;G.Othr]],ResearchInput[[#This Row],[St.C&amp;G.Non]])</f>
        <v>343744</v>
      </c>
      <c r="GU22" s="92">
        <f>SUM(ResearchInput[[#This Row],[St.All.Comp]],ResearchInput[[#This Row],[St.All.Eng]],ResearchInput[[#This Row],[St.All.Geo]],ResearchInput[[#This Row],[St.All.Life]],ResearchInput[[#This Row],[St.All.Math]],ResearchInput[[#This Row],[St.All.Phys]],ResearchInput[[#This Row],[St.All.Psyc]],ResearchInput[[#This Row],[St.All.Soc]],ResearchInput[[#This Row],[St.All.Othr]],ResearchInput[[#This Row],[St.All.Non]])</f>
        <v>72865</v>
      </c>
      <c r="GV22" s="92">
        <f>SUM(ResearchInput[[#This Row],[Inst.Comp]],ResearchInput[[#This Row],[Inst.Eng]],ResearchInput[[#This Row],[Inst.Geo]],ResearchInput[[#This Row],[Inst.Life]],ResearchInput[[#This Row],[Inst.Math]],ResearchInput[[#This Row],[Inst.Phys]],ResearchInput[[#This Row],[Inst.Psyc]],ResearchInput[[#This Row],[Inst.Soc]],ResearchInput[[#This Row],[Inst.Othr]],ResearchInput[[#This Row],[Inst.Non]])</f>
        <v>2082832</v>
      </c>
      <c r="GW22" s="92">
        <f>SUM(ResearchInput[[#This Row],[P4P.Comp]],ResearchInput[[#This Row],[P4P.Eng]],ResearchInput[[#This Row],[P4P.Geo]],ResearchInput[[#This Row],[P4P.Life]],ResearchInput[[#This Row],[P4P.Math]],ResearchInput[[#This Row],[P4P.Phys]],ResearchInput[[#This Row],[P4P.Psyc]],ResearchInput[[#This Row],[P4P.Soc]],ResearchInput[[#This Row],[P4P.Othr]],ResearchInput[[#This Row],[P4P.Non]])</f>
        <v>143533</v>
      </c>
      <c r="GX22" s="92">
        <f>SUM(ResearchInput[[#This Row],[PNP.Comp]],ResearchInput[[#This Row],[PNP.Eng]],ResearchInput[[#This Row],[PNP.Geo]],ResearchInput[[#This Row],[PNP.Life]],ResearchInput[[#This Row],[PNP.Math]],ResearchInput[[#This Row],[PNP.Phys]],ResearchInput[[#This Row],[PNP.Psyc]],ResearchInput[[#This Row],[PNP.Soc]],ResearchInput[[#This Row],[PNP.Othr]],ResearchInput[[#This Row],[PNP.Non]])</f>
        <v>193125</v>
      </c>
      <c r="GY22" s="92">
        <f>SUM(ResearchInput[[#This Row],[P.All.Comp]],ResearchInput[[#This Row],[P.All.Eng]],ResearchInput[[#This Row],[P.All.Geo]],ResearchInput[[#This Row],[P.All.Life]],ResearchInput[[#This Row],[P.All.Math]],ResearchInput[[#This Row],[P.All.Phys]],ResearchInput[[#This Row],[P.All.Psyc]],ResearchInput[[#This Row],[P.All.Soc]],ResearchInput[[#This Row],[P.All.Othr]],ResearchInput[[#This Row],[P.All.Non]])</f>
        <v>334929</v>
      </c>
    </row>
    <row r="23" spans="1:207" s="47" customFormat="1" ht="27" customHeight="1" x14ac:dyDescent="0.25">
      <c r="A23" s="34" t="s">
        <v>178</v>
      </c>
      <c r="B23" s="34" t="s">
        <v>671</v>
      </c>
      <c r="C23" s="35" t="s">
        <v>674</v>
      </c>
      <c r="D23" s="35" t="s">
        <v>673</v>
      </c>
      <c r="E23" s="94">
        <v>210</v>
      </c>
      <c r="F23" s="91" t="s">
        <v>716</v>
      </c>
      <c r="G23" s="35" t="s">
        <v>692</v>
      </c>
      <c r="H23" s="96">
        <v>9651</v>
      </c>
      <c r="I23" s="92">
        <v>5314718</v>
      </c>
      <c r="J23" s="92">
        <v>1039682</v>
      </c>
      <c r="K23" s="92">
        <v>16617</v>
      </c>
      <c r="L23" s="92">
        <v>0</v>
      </c>
      <c r="M23" s="92">
        <v>1091604</v>
      </c>
      <c r="N23" s="92">
        <v>187227</v>
      </c>
      <c r="O23" s="92">
        <v>1067833</v>
      </c>
      <c r="P23" s="92">
        <v>0</v>
      </c>
      <c r="Q23" s="92">
        <v>0</v>
      </c>
      <c r="R23" s="92">
        <v>0</v>
      </c>
      <c r="S23" s="92">
        <v>0</v>
      </c>
      <c r="T23" s="92">
        <v>0</v>
      </c>
      <c r="U23" s="92">
        <v>0</v>
      </c>
      <c r="V23" s="92">
        <v>0</v>
      </c>
      <c r="W23" s="92">
        <v>0</v>
      </c>
      <c r="X23" s="92">
        <v>0</v>
      </c>
      <c r="Y23" s="92">
        <v>0</v>
      </c>
      <c r="Z23" s="92">
        <v>0</v>
      </c>
      <c r="AA23" s="92">
        <v>0</v>
      </c>
      <c r="AB23" s="92">
        <v>0</v>
      </c>
      <c r="AC23" s="92">
        <v>0</v>
      </c>
      <c r="AD23" s="92">
        <v>0</v>
      </c>
      <c r="AE23" s="92">
        <v>0</v>
      </c>
      <c r="AF23" s="92">
        <v>0</v>
      </c>
      <c r="AG23" s="92">
        <v>632480</v>
      </c>
      <c r="AH23" s="92">
        <v>0</v>
      </c>
      <c r="AI23" s="92">
        <v>0</v>
      </c>
      <c r="AJ23" s="92">
        <v>0</v>
      </c>
      <c r="AK23" s="92">
        <v>0</v>
      </c>
      <c r="AL23" s="92">
        <v>0</v>
      </c>
      <c r="AM23" s="92">
        <v>12145</v>
      </c>
      <c r="AN23" s="92">
        <v>0</v>
      </c>
      <c r="AO23" s="92">
        <v>323176</v>
      </c>
      <c r="AP23" s="92">
        <v>817527</v>
      </c>
      <c r="AQ23" s="92">
        <v>0</v>
      </c>
      <c r="AR23" s="92">
        <v>0</v>
      </c>
      <c r="AS23" s="92">
        <v>79929</v>
      </c>
      <c r="AT23" s="92">
        <v>0</v>
      </c>
      <c r="AU23" s="92">
        <v>84549</v>
      </c>
      <c r="AV23" s="92">
        <v>0</v>
      </c>
      <c r="AW23" s="92">
        <v>0</v>
      </c>
      <c r="AX23" s="92">
        <v>0</v>
      </c>
      <c r="AY23" s="92">
        <v>0</v>
      </c>
      <c r="AZ23" s="92">
        <v>0</v>
      </c>
      <c r="BA23" s="92">
        <v>0</v>
      </c>
      <c r="BB23" s="92">
        <v>0</v>
      </c>
      <c r="BC23" s="92">
        <v>0</v>
      </c>
      <c r="BD23" s="92">
        <v>0</v>
      </c>
      <c r="BE23" s="92">
        <v>83689</v>
      </c>
      <c r="BF23" s="92">
        <v>0</v>
      </c>
      <c r="BG23" s="92">
        <v>0</v>
      </c>
      <c r="BH23" s="92">
        <v>0</v>
      </c>
      <c r="BI23" s="92">
        <v>12766</v>
      </c>
      <c r="BJ23" s="92">
        <v>0</v>
      </c>
      <c r="BK23" s="92">
        <v>0</v>
      </c>
      <c r="BL23" s="92">
        <v>0</v>
      </c>
      <c r="BM23" s="92">
        <v>0</v>
      </c>
      <c r="BN23" s="92">
        <v>0</v>
      </c>
      <c r="BO23" s="92">
        <v>0</v>
      </c>
      <c r="BP23" s="92">
        <v>0</v>
      </c>
      <c r="BQ23" s="92">
        <v>0</v>
      </c>
      <c r="BR23" s="92">
        <v>0</v>
      </c>
      <c r="BS23" s="92">
        <v>0</v>
      </c>
      <c r="BT23" s="92">
        <v>0</v>
      </c>
      <c r="BU23" s="92">
        <v>0</v>
      </c>
      <c r="BV23" s="92">
        <v>0</v>
      </c>
      <c r="BW23" s="92">
        <v>0</v>
      </c>
      <c r="BX23" s="92">
        <v>0</v>
      </c>
      <c r="BY23" s="92">
        <v>0</v>
      </c>
      <c r="BZ23" s="92">
        <v>0</v>
      </c>
      <c r="CA23" s="92">
        <v>0</v>
      </c>
      <c r="CB23" s="92">
        <v>0</v>
      </c>
      <c r="CC23" s="92">
        <v>1441340</v>
      </c>
      <c r="CD23" s="92">
        <v>719741</v>
      </c>
      <c r="CE23" s="92">
        <v>0</v>
      </c>
      <c r="CF23" s="92">
        <v>0</v>
      </c>
      <c r="CG23" s="92">
        <v>138788</v>
      </c>
      <c r="CH23" s="92">
        <v>1686</v>
      </c>
      <c r="CI23" s="92">
        <v>38216</v>
      </c>
      <c r="CJ23" s="92">
        <v>0</v>
      </c>
      <c r="CK23" s="92">
        <v>10764</v>
      </c>
      <c r="CL23" s="92">
        <v>161681</v>
      </c>
      <c r="CM23" s="92">
        <v>0</v>
      </c>
      <c r="CN23" s="92">
        <v>0</v>
      </c>
      <c r="CO23" s="92">
        <v>26053</v>
      </c>
      <c r="CP23" s="92">
        <v>0</v>
      </c>
      <c r="CQ23" s="92">
        <v>0</v>
      </c>
      <c r="CR23" s="92">
        <v>0</v>
      </c>
      <c r="CS23" s="92">
        <v>877949</v>
      </c>
      <c r="CT23" s="92">
        <v>133866</v>
      </c>
      <c r="CU23" s="92">
        <v>0</v>
      </c>
      <c r="CV23" s="92">
        <v>0</v>
      </c>
      <c r="CW23" s="92">
        <v>192655</v>
      </c>
      <c r="CX23" s="92">
        <v>0</v>
      </c>
      <c r="CY23" s="92">
        <v>136275</v>
      </c>
      <c r="CZ23" s="92">
        <v>0</v>
      </c>
      <c r="DA23" s="92">
        <v>0</v>
      </c>
      <c r="DB23" s="92">
        <v>6962</v>
      </c>
      <c r="DC23" s="92">
        <v>0</v>
      </c>
      <c r="DD23" s="92">
        <v>0</v>
      </c>
      <c r="DE23" s="92">
        <v>18233</v>
      </c>
      <c r="DF23" s="92">
        <v>0</v>
      </c>
      <c r="DG23" s="92">
        <v>0</v>
      </c>
      <c r="DH23" s="92">
        <v>0</v>
      </c>
      <c r="DI23" s="92">
        <v>17466</v>
      </c>
      <c r="DJ23" s="92">
        <v>0</v>
      </c>
      <c r="DK23" s="92">
        <v>0</v>
      </c>
      <c r="DL23" s="92">
        <v>0</v>
      </c>
      <c r="DM23" s="92">
        <v>27279</v>
      </c>
      <c r="DN23" s="92">
        <v>0</v>
      </c>
      <c r="DO23" s="92">
        <v>0</v>
      </c>
      <c r="DP23" s="92">
        <v>0</v>
      </c>
      <c r="DQ23" s="92">
        <v>659220</v>
      </c>
      <c r="DR23" s="92">
        <v>41224</v>
      </c>
      <c r="DS23" s="92">
        <v>0</v>
      </c>
      <c r="DT23" s="92">
        <v>0</v>
      </c>
      <c r="DU23" s="92">
        <v>88074</v>
      </c>
      <c r="DV23" s="92">
        <v>0</v>
      </c>
      <c r="DW23" s="92">
        <v>0</v>
      </c>
      <c r="DX23" s="92">
        <v>0</v>
      </c>
      <c r="DY23" s="92">
        <v>152623</v>
      </c>
      <c r="DZ23" s="92">
        <v>1616</v>
      </c>
      <c r="EA23" s="92">
        <v>1982</v>
      </c>
      <c r="EB23" s="92">
        <v>0</v>
      </c>
      <c r="EC23" s="92">
        <v>57176</v>
      </c>
      <c r="ED23" s="92">
        <v>0</v>
      </c>
      <c r="EE23" s="92">
        <v>2663</v>
      </c>
      <c r="EF23" s="92">
        <v>0</v>
      </c>
      <c r="EG23" s="92">
        <v>1591245</v>
      </c>
      <c r="EH23" s="92">
        <v>752448</v>
      </c>
      <c r="EI23" s="92">
        <v>0</v>
      </c>
      <c r="EJ23" s="92">
        <v>0</v>
      </c>
      <c r="EK23" s="92">
        <v>480684</v>
      </c>
      <c r="EL23" s="92">
        <v>0</v>
      </c>
      <c r="EM23" s="92">
        <v>760759</v>
      </c>
      <c r="EN23" s="92">
        <v>0</v>
      </c>
      <c r="EO23" s="92">
        <v>1603456</v>
      </c>
      <c r="EP23" s="92">
        <v>39671</v>
      </c>
      <c r="EQ23" s="92">
        <v>14635</v>
      </c>
      <c r="ER23" s="92">
        <v>0</v>
      </c>
      <c r="ES23" s="92">
        <v>155357</v>
      </c>
      <c r="ET23" s="92">
        <v>185541</v>
      </c>
      <c r="EU23" s="92">
        <v>226614</v>
      </c>
      <c r="EV23" s="92">
        <v>0</v>
      </c>
      <c r="EW23" s="92">
        <v>0</v>
      </c>
      <c r="EX23" s="92">
        <v>0</v>
      </c>
      <c r="EY23" s="92">
        <v>0</v>
      </c>
      <c r="EZ23" s="92">
        <v>0</v>
      </c>
      <c r="FA23" s="92">
        <v>0</v>
      </c>
      <c r="FB23" s="92">
        <v>0</v>
      </c>
      <c r="FC23" s="92">
        <v>0</v>
      </c>
      <c r="FD23" s="92">
        <v>0</v>
      </c>
      <c r="FE23" s="92">
        <v>0</v>
      </c>
      <c r="FF23" s="92">
        <v>0</v>
      </c>
      <c r="FG23" s="92">
        <v>0</v>
      </c>
      <c r="FH23" s="92">
        <v>0</v>
      </c>
      <c r="FI23" s="92">
        <v>0</v>
      </c>
      <c r="FJ23" s="92">
        <v>0</v>
      </c>
      <c r="FK23" s="92">
        <v>0</v>
      </c>
      <c r="FL23" s="92">
        <v>0</v>
      </c>
      <c r="FM23" s="92">
        <v>0</v>
      </c>
      <c r="FN23" s="92">
        <v>0</v>
      </c>
      <c r="FO23" s="92">
        <v>0</v>
      </c>
      <c r="FP23" s="92">
        <v>0</v>
      </c>
      <c r="FQ23" s="92">
        <v>0</v>
      </c>
      <c r="FR23" s="92">
        <v>0</v>
      </c>
      <c r="FS23" s="92">
        <v>0</v>
      </c>
      <c r="FT23" s="92">
        <v>0</v>
      </c>
      <c r="FU23" s="92">
        <v>0</v>
      </c>
      <c r="FV23" s="92">
        <v>0</v>
      </c>
      <c r="FW23" s="92">
        <v>0</v>
      </c>
      <c r="FX23" s="92">
        <v>0</v>
      </c>
      <c r="FY23" s="92">
        <v>0</v>
      </c>
      <c r="FZ23" s="92">
        <v>0</v>
      </c>
      <c r="GA23" s="92">
        <v>0</v>
      </c>
      <c r="GB23" s="92">
        <v>0</v>
      </c>
      <c r="GC23" s="92">
        <v>0</v>
      </c>
      <c r="GD23" s="92">
        <v>8717681</v>
      </c>
      <c r="GE23" s="92">
        <v>10022862</v>
      </c>
      <c r="GF23" s="92">
        <v>152080266</v>
      </c>
      <c r="GG23" s="47" t="s">
        <v>311</v>
      </c>
      <c r="GH23" s="47" t="s">
        <v>312</v>
      </c>
      <c r="GI23" s="93">
        <v>9798459761</v>
      </c>
      <c r="GJ23" s="47" t="s">
        <v>313</v>
      </c>
      <c r="GK23" s="47" t="s">
        <v>332</v>
      </c>
      <c r="GL23" s="47" t="s">
        <v>333</v>
      </c>
      <c r="GM23" s="93">
        <v>9563262433</v>
      </c>
      <c r="GN23" s="47" t="s">
        <v>334</v>
      </c>
      <c r="GO23" s="92" cm="1">
        <f t="array" ref="GO23">IFERROR(_xlfn.IFS(ResearchInput[[#This Row],[Type]]="HRI",SUMIFS('FTSE | FTFE'!$P$8:$P$77,'FTSE | FTFE'!$H$8:$H$77,A23),ResearchInput[[#This Row],[Type]]="UNIV",SUMIFS('FTSE | FTFE'!$P$104:$P$139,'FTSE | FTFE'!$H$104:$H$139,A23),OR(ResearchInput[[#This Row],[Type]]="TSTC",ResearchInput[[#This Row],[Type]]="LSC"),SUMIFS('FTSE | FTFE'!$O$88:$O$96,'FTSE | FTFE'!$H$88:$H$96,A23),ResearchInput[[#This Row],[Type]]="AHM",SUMIFS(Hidden!$H$43:$H$46,Hidden!$G$42:$G$45,A23)),"N/A")</f>
        <v>7562</v>
      </c>
      <c r="GP23" s="92" cm="1">
        <f t="array" ref="GP23">IFERROR(_xlfn.IFS(ResearchInput[[#This Row],[Type]]="HRI",SUMIFS('FTSE | FTFE'!$Q$8:$Q$77,'FTSE | FTFE'!$H$8:$H$77,A23),ResearchInput[[#This Row],[Type]]="UNIV",SUMIFS('FTSE | FTFE'!$Q$104:$Q$139,'FTSE | FTFE'!$H$104:$H$139,A23),OR(ResearchInput[[#This Row],[Type]]="TSTC",ResearchInput[[#This Row],[Type]]="LSC"),SUMIFS('FTSE | FTFE'!$P$88:$P$96,'FTSE | FTFE'!$H$88:$H$96,A23)),"N/A")</f>
        <v>142</v>
      </c>
      <c r="GQ23" s="92">
        <v>0</v>
      </c>
      <c r="GR23" s="92">
        <f>SUM(ResearchInput[[#This Row],[Fed.Comp]],ResearchInput[[#This Row],[Fed.Eng]],ResearchInput[[#This Row],[Fed.Geo]],ResearchInput[[#This Row],[Fed.Life]],ResearchInput[[#This Row],[Fed.Math]],ResearchInput[[#This Row],[Fed.Phys]],ResearchInput[[#This Row],[Fed.Psyc]],ResearchInput[[#This Row],[Fed.Soc]],ResearchInput[[#This Row],[Fed.Othr]],ResearchInput[[#This Row],[Fed.Non]])</f>
        <v>6354063</v>
      </c>
      <c r="GS23" s="92">
        <f>SUM(ResearchInput[[#This Row],[St.Comp]],ResearchInput[[#This Row],[St.Eng]],ResearchInput[[#This Row],[St.Geo]],ResearchInput[[#This Row],[St.Life]],ResearchInput[[#This Row],[St.Math]],ResearchInput[[#This Row],[St.Phys]],ResearchInput[[#This Row],[St.Psyc]],ResearchInput[[#This Row],[St.Soc]],ResearchInput[[#This Row],[St.Othr]],ResearchInput[[#This Row],[St.Non]])</f>
        <v>1857209</v>
      </c>
      <c r="GT23" s="92">
        <f>SUM(ResearchInput[[#This Row],[St.C&amp;G.Comp]],ResearchInput[[#This Row],[St.C&amp;G.Eng]],ResearchInput[[#This Row],[St.C&amp;G.Geo]],ResearchInput[[#This Row],[St.C&amp;G.Life]],ResearchInput[[#This Row],[St.C&amp;G.Math]],ResearchInput[[#This Row],[St.C&amp;G.Phys]],ResearchInput[[#This Row],[St.C&amp;G.Psyc]],ResearchInput[[#This Row],[St.C&amp;G.Soc]],ResearchInput[[#This Row],[St.C&amp;G.Othr]],ResearchInput[[#This Row],[St.C&amp;G.Non]])</f>
        <v>16617</v>
      </c>
      <c r="GU23" s="92">
        <f>SUM(ResearchInput[[#This Row],[St.All.Comp]],ResearchInput[[#This Row],[St.All.Eng]],ResearchInput[[#This Row],[St.All.Geo]],ResearchInput[[#This Row],[St.All.Life]],ResearchInput[[#This Row],[St.All.Math]],ResearchInput[[#This Row],[St.All.Phys]],ResearchInput[[#This Row],[St.All.Psyc]],ResearchInput[[#This Row],[St.All.Soc]],ResearchInput[[#This Row],[St.All.Othr]],ResearchInput[[#This Row],[St.All.Non]])</f>
        <v>0</v>
      </c>
      <c r="GV23" s="92">
        <f>SUM(ResearchInput[[#This Row],[Inst.Comp]],ResearchInput[[#This Row],[Inst.Eng]],ResearchInput[[#This Row],[Inst.Geo]],ResearchInput[[#This Row],[Inst.Life]],ResearchInput[[#This Row],[Inst.Math]],ResearchInput[[#This Row],[Inst.Phys]],ResearchInput[[#This Row],[Inst.Psyc]],ResearchInput[[#This Row],[Inst.Soc]],ResearchInput[[#This Row],[Inst.Othr]],ResearchInput[[#This Row],[Inst.Non]])</f>
        <v>1184299</v>
      </c>
      <c r="GW23" s="92">
        <f>SUM(ResearchInput[[#This Row],[P4P.Comp]],ResearchInput[[#This Row],[P4P.Eng]],ResearchInput[[#This Row],[P4P.Geo]],ResearchInput[[#This Row],[P4P.Life]],ResearchInput[[#This Row],[P4P.Math]],ResearchInput[[#This Row],[P4P.Phys]],ResearchInput[[#This Row],[P4P.Psyc]],ResearchInput[[#This Row],[P4P.Soc]],ResearchInput[[#This Row],[P4P.Othr]],ResearchInput[[#This Row],[P4P.Non]])</f>
        <v>187227</v>
      </c>
      <c r="GX23" s="92">
        <f>SUM(ResearchInput[[#This Row],[PNP.Comp]],ResearchInput[[#This Row],[PNP.Eng]],ResearchInput[[#This Row],[PNP.Geo]],ResearchInput[[#This Row],[PNP.Life]],ResearchInput[[#This Row],[PNP.Math]],ResearchInput[[#This Row],[PNP.Phys]],ResearchInput[[#This Row],[PNP.Psyc]],ResearchInput[[#This Row],[PNP.Soc]],ResearchInput[[#This Row],[PNP.Othr]],ResearchInput[[#This Row],[PNP.Non]])</f>
        <v>1164527</v>
      </c>
      <c r="GY23" s="92">
        <f>SUM(ResearchInput[[#This Row],[P.All.Comp]],ResearchInput[[#This Row],[P.All.Eng]],ResearchInput[[#This Row],[P.All.Geo]],ResearchInput[[#This Row],[P.All.Life]],ResearchInput[[#This Row],[P.All.Math]],ResearchInput[[#This Row],[P.All.Phys]],ResearchInput[[#This Row],[P.All.Psyc]],ResearchInput[[#This Row],[P.All.Soc]],ResearchInput[[#This Row],[P.All.Othr]],ResearchInput[[#This Row],[P.All.Non]])</f>
        <v>0</v>
      </c>
    </row>
    <row r="24" spans="1:207" s="47" customFormat="1" ht="27" customHeight="1" x14ac:dyDescent="0.25">
      <c r="A24" s="34" t="s">
        <v>180</v>
      </c>
      <c r="B24" s="34" t="s">
        <v>671</v>
      </c>
      <c r="C24" s="35" t="s">
        <v>674</v>
      </c>
      <c r="D24" s="35" t="s">
        <v>673</v>
      </c>
      <c r="E24" s="94">
        <v>211</v>
      </c>
      <c r="F24" s="35" t="s">
        <v>714</v>
      </c>
      <c r="G24" s="35" t="s">
        <v>691</v>
      </c>
      <c r="H24" s="96">
        <v>3565</v>
      </c>
      <c r="I24" s="92">
        <v>2703979</v>
      </c>
      <c r="J24" s="92">
        <v>2528378</v>
      </c>
      <c r="K24" s="92">
        <v>0</v>
      </c>
      <c r="L24" s="92">
        <v>0</v>
      </c>
      <c r="M24" s="92">
        <v>1236662</v>
      </c>
      <c r="N24" s="92">
        <v>350</v>
      </c>
      <c r="O24" s="92">
        <v>64030</v>
      </c>
      <c r="P24" s="92">
        <v>-4027</v>
      </c>
      <c r="Q24" s="92">
        <v>-726988</v>
      </c>
      <c r="R24" s="92">
        <v>-1502686</v>
      </c>
      <c r="S24" s="92">
        <v>0</v>
      </c>
      <c r="T24" s="92">
        <v>0</v>
      </c>
      <c r="U24" s="92">
        <v>-160891</v>
      </c>
      <c r="V24" s="92">
        <v>0</v>
      </c>
      <c r="W24" s="92">
        <v>0</v>
      </c>
      <c r="X24" s="92">
        <v>0</v>
      </c>
      <c r="Y24" s="92">
        <v>-67763</v>
      </c>
      <c r="Z24" s="92">
        <v>0</v>
      </c>
      <c r="AA24" s="92">
        <v>0</v>
      </c>
      <c r="AB24" s="92">
        <v>0</v>
      </c>
      <c r="AC24" s="92">
        <v>0</v>
      </c>
      <c r="AD24" s="92">
        <v>0</v>
      </c>
      <c r="AE24" s="92">
        <v>0</v>
      </c>
      <c r="AF24" s="92">
        <v>0</v>
      </c>
      <c r="AG24" s="92">
        <v>266677</v>
      </c>
      <c r="AH24" s="92">
        <v>14221</v>
      </c>
      <c r="AI24" s="92">
        <v>0</v>
      </c>
      <c r="AJ24" s="92">
        <v>0</v>
      </c>
      <c r="AK24" s="92">
        <v>-948</v>
      </c>
      <c r="AL24" s="92">
        <v>0</v>
      </c>
      <c r="AM24" s="92">
        <v>0</v>
      </c>
      <c r="AN24" s="92">
        <v>4027</v>
      </c>
      <c r="AO24" s="92">
        <v>131850</v>
      </c>
      <c r="AP24" s="92">
        <v>5495</v>
      </c>
      <c r="AQ24" s="92">
        <v>0</v>
      </c>
      <c r="AR24" s="92">
        <v>0</v>
      </c>
      <c r="AS24" s="92">
        <v>15495</v>
      </c>
      <c r="AT24" s="92">
        <v>0</v>
      </c>
      <c r="AU24" s="92">
        <v>0</v>
      </c>
      <c r="AV24" s="92">
        <v>0</v>
      </c>
      <c r="AW24" s="92">
        <v>0</v>
      </c>
      <c r="AX24" s="92">
        <v>0</v>
      </c>
      <c r="AY24" s="92">
        <v>0</v>
      </c>
      <c r="AZ24" s="92">
        <v>0</v>
      </c>
      <c r="BA24" s="92">
        <v>0</v>
      </c>
      <c r="BB24" s="92">
        <v>0</v>
      </c>
      <c r="BC24" s="92">
        <v>0</v>
      </c>
      <c r="BD24" s="92">
        <v>0</v>
      </c>
      <c r="BE24" s="92">
        <v>41086</v>
      </c>
      <c r="BF24" s="92">
        <v>0</v>
      </c>
      <c r="BG24" s="92">
        <v>0</v>
      </c>
      <c r="BH24" s="92">
        <v>0</v>
      </c>
      <c r="BI24" s="92">
        <v>0</v>
      </c>
      <c r="BJ24" s="92">
        <v>0</v>
      </c>
      <c r="BK24" s="92">
        <v>0</v>
      </c>
      <c r="BL24" s="92">
        <v>0</v>
      </c>
      <c r="BM24" s="92">
        <v>0</v>
      </c>
      <c r="BN24" s="92">
        <v>0</v>
      </c>
      <c r="BO24" s="92">
        <v>0</v>
      </c>
      <c r="BP24" s="92">
        <v>0</v>
      </c>
      <c r="BQ24" s="92">
        <v>0</v>
      </c>
      <c r="BR24" s="92">
        <v>0</v>
      </c>
      <c r="BS24" s="92">
        <v>0</v>
      </c>
      <c r="BT24" s="92">
        <v>0</v>
      </c>
      <c r="BU24" s="92">
        <v>623248</v>
      </c>
      <c r="BV24" s="92">
        <v>11641</v>
      </c>
      <c r="BW24" s="92">
        <v>0</v>
      </c>
      <c r="BX24" s="92">
        <v>0</v>
      </c>
      <c r="BY24" s="92">
        <v>16269</v>
      </c>
      <c r="BZ24" s="92">
        <v>0</v>
      </c>
      <c r="CA24" s="92">
        <v>0</v>
      </c>
      <c r="CB24" s="92">
        <v>0</v>
      </c>
      <c r="CC24" s="92">
        <v>0</v>
      </c>
      <c r="CD24" s="92">
        <v>17495</v>
      </c>
      <c r="CE24" s="92">
        <v>0</v>
      </c>
      <c r="CF24" s="92">
        <v>0</v>
      </c>
      <c r="CG24" s="92">
        <v>33632</v>
      </c>
      <c r="CH24" s="92">
        <v>0</v>
      </c>
      <c r="CI24" s="92">
        <v>0</v>
      </c>
      <c r="CJ24" s="92">
        <v>0</v>
      </c>
      <c r="CK24" s="92">
        <v>0</v>
      </c>
      <c r="CL24" s="92">
        <v>0</v>
      </c>
      <c r="CM24" s="92">
        <v>0</v>
      </c>
      <c r="CN24" s="92">
        <v>0</v>
      </c>
      <c r="CO24" s="92">
        <v>0</v>
      </c>
      <c r="CP24" s="92">
        <v>0</v>
      </c>
      <c r="CQ24" s="92">
        <v>0</v>
      </c>
      <c r="CR24" s="92">
        <v>0</v>
      </c>
      <c r="CS24" s="92">
        <v>471572</v>
      </c>
      <c r="CT24" s="92">
        <v>177629</v>
      </c>
      <c r="CU24" s="92">
        <v>0</v>
      </c>
      <c r="CV24" s="92">
        <v>0</v>
      </c>
      <c r="CW24" s="92">
        <v>655838</v>
      </c>
      <c r="CX24" s="92">
        <v>0</v>
      </c>
      <c r="CY24" s="92">
        <v>56497</v>
      </c>
      <c r="CZ24" s="92">
        <v>0</v>
      </c>
      <c r="DA24" s="92">
        <v>137253</v>
      </c>
      <c r="DB24" s="92">
        <v>105934</v>
      </c>
      <c r="DC24" s="92">
        <v>0</v>
      </c>
      <c r="DD24" s="92">
        <v>0</v>
      </c>
      <c r="DE24" s="92">
        <v>4753</v>
      </c>
      <c r="DF24" s="92">
        <v>0</v>
      </c>
      <c r="DG24" s="92">
        <v>7127</v>
      </c>
      <c r="DH24" s="92">
        <v>0</v>
      </c>
      <c r="DI24" s="92">
        <v>564108</v>
      </c>
      <c r="DJ24" s="92">
        <v>265394</v>
      </c>
      <c r="DK24" s="92">
        <v>0</v>
      </c>
      <c r="DL24" s="92">
        <v>0</v>
      </c>
      <c r="DM24" s="92">
        <v>81361</v>
      </c>
      <c r="DN24" s="92">
        <v>0</v>
      </c>
      <c r="DO24" s="92">
        <v>0</v>
      </c>
      <c r="DP24" s="92">
        <v>0</v>
      </c>
      <c r="DQ24" s="92">
        <v>0</v>
      </c>
      <c r="DR24" s="92">
        <v>8889</v>
      </c>
      <c r="DS24" s="92">
        <v>0</v>
      </c>
      <c r="DT24" s="92">
        <v>0</v>
      </c>
      <c r="DU24" s="92">
        <v>30700</v>
      </c>
      <c r="DV24" s="92">
        <v>0</v>
      </c>
      <c r="DW24" s="92">
        <v>0</v>
      </c>
      <c r="DX24" s="92">
        <v>0</v>
      </c>
      <c r="DY24" s="92">
        <v>234278</v>
      </c>
      <c r="DZ24" s="92">
        <v>9583</v>
      </c>
      <c r="EA24" s="92">
        <v>0</v>
      </c>
      <c r="EB24" s="92">
        <v>0</v>
      </c>
      <c r="EC24" s="92">
        <v>7105</v>
      </c>
      <c r="ED24" s="92">
        <v>0</v>
      </c>
      <c r="EE24" s="92">
        <v>0</v>
      </c>
      <c r="EF24" s="92">
        <v>0</v>
      </c>
      <c r="EG24" s="92">
        <v>0</v>
      </c>
      <c r="EH24" s="92">
        <v>79645</v>
      </c>
      <c r="EI24" s="92">
        <v>0</v>
      </c>
      <c r="EJ24" s="92">
        <v>0</v>
      </c>
      <c r="EK24" s="92">
        <v>7744</v>
      </c>
      <c r="EL24" s="92">
        <v>0</v>
      </c>
      <c r="EM24" s="92">
        <v>0</v>
      </c>
      <c r="EN24" s="92">
        <v>0</v>
      </c>
      <c r="EO24" s="92">
        <v>318382</v>
      </c>
      <c r="EP24" s="92">
        <v>369198</v>
      </c>
      <c r="EQ24" s="92">
        <v>0</v>
      </c>
      <c r="ER24" s="92">
        <v>0</v>
      </c>
      <c r="ES24" s="92">
        <v>252916</v>
      </c>
      <c r="ET24" s="92">
        <v>350</v>
      </c>
      <c r="EU24" s="92">
        <v>406</v>
      </c>
      <c r="EV24" s="92">
        <v>0</v>
      </c>
      <c r="EW24" s="92">
        <v>0</v>
      </c>
      <c r="EX24" s="92">
        <v>0</v>
      </c>
      <c r="EY24" s="92">
        <v>0</v>
      </c>
      <c r="EZ24" s="92">
        <v>0</v>
      </c>
      <c r="FA24" s="92">
        <v>0</v>
      </c>
      <c r="FB24" s="92">
        <v>0</v>
      </c>
      <c r="FC24" s="92">
        <v>0</v>
      </c>
      <c r="FD24" s="92">
        <v>0</v>
      </c>
      <c r="FE24" s="92">
        <v>0</v>
      </c>
      <c r="FF24" s="92">
        <v>0</v>
      </c>
      <c r="FG24" s="92">
        <v>0</v>
      </c>
      <c r="FH24" s="92">
        <v>0</v>
      </c>
      <c r="FI24" s="92">
        <v>0</v>
      </c>
      <c r="FJ24" s="92">
        <v>0</v>
      </c>
      <c r="FK24" s="92">
        <v>0</v>
      </c>
      <c r="FL24" s="92">
        <v>0</v>
      </c>
      <c r="FM24" s="92">
        <v>0</v>
      </c>
      <c r="FN24" s="92">
        <v>0</v>
      </c>
      <c r="FO24" s="92">
        <v>0</v>
      </c>
      <c r="FP24" s="92">
        <v>0</v>
      </c>
      <c r="FQ24" s="92">
        <v>0</v>
      </c>
      <c r="FR24" s="92">
        <v>0</v>
      </c>
      <c r="FS24" s="92">
        <v>0</v>
      </c>
      <c r="FT24" s="92">
        <v>0</v>
      </c>
      <c r="FU24" s="92">
        <v>0</v>
      </c>
      <c r="FV24" s="92">
        <v>0</v>
      </c>
      <c r="FW24" s="92">
        <v>0</v>
      </c>
      <c r="FX24" s="92">
        <v>0</v>
      </c>
      <c r="FY24" s="92">
        <v>0</v>
      </c>
      <c r="FZ24" s="92">
        <v>0</v>
      </c>
      <c r="GA24" s="92">
        <v>0</v>
      </c>
      <c r="GB24" s="92">
        <v>0</v>
      </c>
      <c r="GC24" s="92">
        <v>0</v>
      </c>
      <c r="GD24" s="92">
        <v>6529372</v>
      </c>
      <c r="GE24" s="92">
        <v>6614449</v>
      </c>
      <c r="GF24" s="92">
        <v>165256970</v>
      </c>
      <c r="GG24" s="47" t="s">
        <v>311</v>
      </c>
      <c r="GH24" s="47" t="s">
        <v>312</v>
      </c>
      <c r="GI24" s="93">
        <v>9798459761</v>
      </c>
      <c r="GJ24" s="47" t="s">
        <v>313</v>
      </c>
      <c r="GK24" s="47" t="s">
        <v>335</v>
      </c>
      <c r="GL24" s="47" t="s">
        <v>336</v>
      </c>
      <c r="GM24" s="93">
        <v>9034686019</v>
      </c>
      <c r="GN24" s="47" t="s">
        <v>337</v>
      </c>
      <c r="GO24" s="92" cm="1">
        <f t="array" ref="GO24">IFERROR(_xlfn.IFS(ResearchInput[[#This Row],[Type]]="HRI",SUMIFS('FTSE | FTFE'!$P$8:$P$77,'FTSE | FTFE'!$H$8:$H$77,A24),ResearchInput[[#This Row],[Type]]="UNIV",SUMIFS('FTSE | FTFE'!$P$104:$P$139,'FTSE | FTFE'!$H$104:$H$139,A24),OR(ResearchInput[[#This Row],[Type]]="TSTC",ResearchInput[[#This Row],[Type]]="LSC"),SUMIFS('FTSE | FTFE'!$O$88:$O$96,'FTSE | FTFE'!$H$88:$H$96,A24),ResearchInput[[#This Row],[Type]]="AHM",SUMIFS(Hidden!$H$43:$H$46,Hidden!$G$42:$G$45,A24)),"N/A")</f>
        <v>10094</v>
      </c>
      <c r="GP24" s="92" cm="1">
        <f t="array" ref="GP24">IFERROR(_xlfn.IFS(ResearchInput[[#This Row],[Type]]="HRI",SUMIFS('FTSE | FTFE'!$Q$8:$Q$77,'FTSE | FTFE'!$H$8:$H$77,A24),ResearchInput[[#This Row],[Type]]="UNIV",SUMIFS('FTSE | FTFE'!$Q$104:$Q$139,'FTSE | FTFE'!$H$104:$H$139,A24),OR(ResearchInput[[#This Row],[Type]]="TSTC",ResearchInput[[#This Row],[Type]]="LSC"),SUMIFS('FTSE | FTFE'!$P$88:$P$96,'FTSE | FTFE'!$H$88:$H$96,A24)),"N/A")</f>
        <v>184</v>
      </c>
      <c r="GQ24" s="92">
        <v>0</v>
      </c>
      <c r="GR24" s="92">
        <f>SUM(ResearchInput[[#This Row],[Fed.Comp]],ResearchInput[[#This Row],[Fed.Eng]],ResearchInput[[#This Row],[Fed.Geo]],ResearchInput[[#This Row],[Fed.Life]],ResearchInput[[#This Row],[Fed.Math]],ResearchInput[[#This Row],[Fed.Phys]],ResearchInput[[#This Row],[Fed.Psyc]],ResearchInput[[#This Row],[Fed.Soc]],ResearchInput[[#This Row],[Fed.Othr]],ResearchInput[[#This Row],[Fed.Non]])</f>
        <v>2348841</v>
      </c>
      <c r="GS24" s="92">
        <f>SUM(ResearchInput[[#This Row],[St.Comp]],ResearchInput[[#This Row],[St.Eng]],ResearchInput[[#This Row],[St.Geo]],ResearchInput[[#This Row],[St.Life]],ResearchInput[[#This Row],[St.Math]],ResearchInput[[#This Row],[St.Phys]],ResearchInput[[#This Row],[St.Psyc]],ResearchInput[[#This Row],[St.Soc]],ResearchInput[[#This Row],[St.Othr]],ResearchInput[[#This Row],[St.Non]])</f>
        <v>1045408</v>
      </c>
      <c r="GT24" s="92">
        <f>SUM(ResearchInput[[#This Row],[St.C&amp;G.Comp]],ResearchInput[[#This Row],[St.C&amp;G.Eng]],ResearchInput[[#This Row],[St.C&amp;G.Geo]],ResearchInput[[#This Row],[St.C&amp;G.Life]],ResearchInput[[#This Row],[St.C&amp;G.Math]],ResearchInput[[#This Row],[St.C&amp;G.Phys]],ResearchInput[[#This Row],[St.C&amp;G.Psyc]],ResearchInput[[#This Row],[St.C&amp;G.Soc]],ResearchInput[[#This Row],[St.C&amp;G.Othr]],ResearchInput[[#This Row],[St.C&amp;G.Non]])</f>
        <v>0</v>
      </c>
      <c r="GU24" s="92">
        <f>SUM(ResearchInput[[#This Row],[St.All.Comp]],ResearchInput[[#This Row],[St.All.Eng]],ResearchInput[[#This Row],[St.All.Geo]],ResearchInput[[#This Row],[St.All.Life]],ResearchInput[[#This Row],[St.All.Math]],ResearchInput[[#This Row],[St.All.Phys]],ResearchInput[[#This Row],[St.All.Psyc]],ResearchInput[[#This Row],[St.All.Soc]],ResearchInput[[#This Row],[St.All.Othr]],ResearchInput[[#This Row],[St.All.Non]])</f>
        <v>0</v>
      </c>
      <c r="GV24" s="92">
        <f>SUM(ResearchInput[[#This Row],[Inst.Comp]],ResearchInput[[#This Row],[Inst.Eng]],ResearchInput[[#This Row],[Inst.Geo]],ResearchInput[[#This Row],[Inst.Life]],ResearchInput[[#This Row],[Inst.Math]],ResearchInput[[#This Row],[Inst.Phys]],ResearchInput[[#This Row],[Inst.Psyc]],ResearchInput[[#This Row],[Inst.Soc]],ResearchInput[[#This Row],[Inst.Othr]],ResearchInput[[#This Row],[Inst.Non]])</f>
        <v>1090318</v>
      </c>
      <c r="GW24" s="92">
        <f>SUM(ResearchInput[[#This Row],[P4P.Comp]],ResearchInput[[#This Row],[P4P.Eng]],ResearchInput[[#This Row],[P4P.Geo]],ResearchInput[[#This Row],[P4P.Life]],ResearchInput[[#This Row],[P4P.Math]],ResearchInput[[#This Row],[P4P.Phys]],ResearchInput[[#This Row],[P4P.Psyc]],ResearchInput[[#This Row],[P4P.Soc]],ResearchInput[[#This Row],[P4P.Othr]],ResearchInput[[#This Row],[P4P.Non]])</f>
        <v>350</v>
      </c>
      <c r="GX24" s="92">
        <f>SUM(ResearchInput[[#This Row],[PNP.Comp]],ResearchInput[[#This Row],[PNP.Eng]],ResearchInput[[#This Row],[PNP.Geo]],ResearchInput[[#This Row],[PNP.Life]],ResearchInput[[#This Row],[PNP.Math]],ResearchInput[[#This Row],[PNP.Phys]],ResearchInput[[#This Row],[PNP.Psyc]],ResearchInput[[#This Row],[PNP.Soc]],ResearchInput[[#This Row],[PNP.Othr]],ResearchInput[[#This Row],[PNP.Non]])</f>
        <v>64030</v>
      </c>
      <c r="GY24" s="92">
        <f>SUM(ResearchInput[[#This Row],[P.All.Comp]],ResearchInput[[#This Row],[P.All.Eng]],ResearchInput[[#This Row],[P.All.Geo]],ResearchInput[[#This Row],[P.All.Life]],ResearchInput[[#This Row],[P.All.Math]],ResearchInput[[#This Row],[P.All.Phys]],ResearchInput[[#This Row],[P.All.Psyc]],ResearchInput[[#This Row],[P.All.Soc]],ResearchInput[[#This Row],[P.All.Othr]],ResearchInput[[#This Row],[P.All.Non]])</f>
        <v>0</v>
      </c>
    </row>
    <row r="25" spans="1:207" s="47" customFormat="1" ht="27" customHeight="1" x14ac:dyDescent="0.25">
      <c r="A25" s="34" t="s">
        <v>179</v>
      </c>
      <c r="B25" s="34" t="s">
        <v>671</v>
      </c>
      <c r="C25" s="35" t="s">
        <v>689</v>
      </c>
      <c r="D25" s="35" t="s">
        <v>673</v>
      </c>
      <c r="E25" s="94">
        <v>211</v>
      </c>
      <c r="F25" s="35" t="s">
        <v>714</v>
      </c>
      <c r="G25" s="35" t="s">
        <v>692</v>
      </c>
      <c r="H25" s="96">
        <v>3665</v>
      </c>
      <c r="I25" s="92">
        <v>1517832</v>
      </c>
      <c r="J25" s="92">
        <v>8277799</v>
      </c>
      <c r="K25" s="92">
        <v>139156</v>
      </c>
      <c r="L25" s="92">
        <v>0</v>
      </c>
      <c r="M25" s="92">
        <v>1449262</v>
      </c>
      <c r="N25" s="92">
        <v>919654</v>
      </c>
      <c r="O25" s="92">
        <v>71042</v>
      </c>
      <c r="P25" s="92">
        <v>0</v>
      </c>
      <c r="Q25" s="92">
        <v>0</v>
      </c>
      <c r="R25" s="92">
        <v>0</v>
      </c>
      <c r="S25" s="92">
        <v>0</v>
      </c>
      <c r="T25" s="92">
        <v>0</v>
      </c>
      <c r="U25" s="92">
        <v>0</v>
      </c>
      <c r="V25" s="92">
        <v>0</v>
      </c>
      <c r="W25" s="92">
        <v>0</v>
      </c>
      <c r="X25" s="92">
        <v>0</v>
      </c>
      <c r="Y25" s="92">
        <v>-278282</v>
      </c>
      <c r="Z25" s="92">
        <v>0</v>
      </c>
      <c r="AA25" s="92">
        <v>-75557</v>
      </c>
      <c r="AB25" s="92">
        <v>0</v>
      </c>
      <c r="AC25" s="92">
        <v>0</v>
      </c>
      <c r="AD25" s="92">
        <v>0</v>
      </c>
      <c r="AE25" s="92">
        <v>0</v>
      </c>
      <c r="AF25" s="92">
        <v>0</v>
      </c>
      <c r="AG25" s="92">
        <v>332192</v>
      </c>
      <c r="AH25" s="92">
        <v>0</v>
      </c>
      <c r="AI25" s="92">
        <v>46716</v>
      </c>
      <c r="AJ25" s="92">
        <v>0</v>
      </c>
      <c r="AK25" s="92">
        <v>0</v>
      </c>
      <c r="AL25" s="92">
        <v>116332</v>
      </c>
      <c r="AM25" s="92">
        <v>9552</v>
      </c>
      <c r="AN25" s="92">
        <v>0</v>
      </c>
      <c r="AO25" s="92">
        <v>18983</v>
      </c>
      <c r="AP25" s="92">
        <v>597192</v>
      </c>
      <c r="AQ25" s="92">
        <v>5000</v>
      </c>
      <c r="AR25" s="92">
        <v>0</v>
      </c>
      <c r="AS25" s="92">
        <v>84867</v>
      </c>
      <c r="AT25" s="92">
        <v>0</v>
      </c>
      <c r="AU25" s="92">
        <v>73804</v>
      </c>
      <c r="AV25" s="92">
        <v>0</v>
      </c>
      <c r="AW25" s="92">
        <v>0</v>
      </c>
      <c r="AX25" s="92">
        <v>0</v>
      </c>
      <c r="AY25" s="92">
        <v>0</v>
      </c>
      <c r="AZ25" s="92">
        <v>0</v>
      </c>
      <c r="BA25" s="92">
        <v>0</v>
      </c>
      <c r="BB25" s="92">
        <v>0</v>
      </c>
      <c r="BC25" s="92">
        <v>0</v>
      </c>
      <c r="BD25" s="92">
        <v>0</v>
      </c>
      <c r="BE25" s="92">
        <v>315207</v>
      </c>
      <c r="BF25" s="92">
        <v>0</v>
      </c>
      <c r="BG25" s="92">
        <v>0</v>
      </c>
      <c r="BH25" s="92">
        <v>0</v>
      </c>
      <c r="BI25" s="92">
        <v>39102</v>
      </c>
      <c r="BJ25" s="92">
        <v>0</v>
      </c>
      <c r="BK25" s="92">
        <v>0</v>
      </c>
      <c r="BL25" s="92">
        <v>0</v>
      </c>
      <c r="BM25" s="92">
        <v>0</v>
      </c>
      <c r="BN25" s="92">
        <v>0</v>
      </c>
      <c r="BO25" s="92">
        <v>0</v>
      </c>
      <c r="BP25" s="92">
        <v>0</v>
      </c>
      <c r="BQ25" s="92">
        <v>0</v>
      </c>
      <c r="BR25" s="92">
        <v>0</v>
      </c>
      <c r="BS25" s="92">
        <v>0</v>
      </c>
      <c r="BT25" s="92">
        <v>0</v>
      </c>
      <c r="BU25" s="92">
        <v>151206</v>
      </c>
      <c r="BV25" s="92">
        <v>0</v>
      </c>
      <c r="BW25" s="92">
        <v>0</v>
      </c>
      <c r="BX25" s="92">
        <v>0</v>
      </c>
      <c r="BY25" s="92">
        <v>0</v>
      </c>
      <c r="BZ25" s="92">
        <v>0</v>
      </c>
      <c r="CA25" s="92">
        <v>0</v>
      </c>
      <c r="CB25" s="92">
        <v>0</v>
      </c>
      <c r="CC25" s="92">
        <v>1160119</v>
      </c>
      <c r="CD25" s="92">
        <v>0</v>
      </c>
      <c r="CE25" s="92">
        <v>8600</v>
      </c>
      <c r="CF25" s="92">
        <v>0</v>
      </c>
      <c r="CG25" s="92">
        <v>262605</v>
      </c>
      <c r="CH25" s="92">
        <v>462916</v>
      </c>
      <c r="CI25" s="92">
        <v>0</v>
      </c>
      <c r="CJ25" s="92">
        <v>0</v>
      </c>
      <c r="CK25" s="92">
        <v>40798</v>
      </c>
      <c r="CL25" s="92">
        <v>0</v>
      </c>
      <c r="CM25" s="92">
        <v>90405</v>
      </c>
      <c r="CN25" s="92">
        <v>0</v>
      </c>
      <c r="CO25" s="92">
        <v>31268</v>
      </c>
      <c r="CP25" s="92">
        <v>0</v>
      </c>
      <c r="CQ25" s="92">
        <v>0</v>
      </c>
      <c r="CR25" s="92">
        <v>0</v>
      </c>
      <c r="CS25" s="92">
        <v>121160</v>
      </c>
      <c r="CT25" s="92">
        <v>8822804</v>
      </c>
      <c r="CU25" s="92">
        <v>16310</v>
      </c>
      <c r="CV25" s="92">
        <v>0</v>
      </c>
      <c r="CW25" s="92">
        <v>1005484</v>
      </c>
      <c r="CX25" s="92">
        <v>447514</v>
      </c>
      <c r="CY25" s="92">
        <v>79382</v>
      </c>
      <c r="CZ25" s="92">
        <v>0</v>
      </c>
      <c r="DA25" s="92">
        <v>13674</v>
      </c>
      <c r="DB25" s="92">
        <v>0</v>
      </c>
      <c r="DC25" s="92">
        <v>0</v>
      </c>
      <c r="DD25" s="92">
        <v>0</v>
      </c>
      <c r="DE25" s="92">
        <v>0</v>
      </c>
      <c r="DF25" s="92">
        <v>0</v>
      </c>
      <c r="DG25" s="92">
        <v>75016</v>
      </c>
      <c r="DH25" s="92">
        <v>0</v>
      </c>
      <c r="DI25" s="92">
        <v>70500</v>
      </c>
      <c r="DJ25" s="92">
        <v>0</v>
      </c>
      <c r="DK25" s="92">
        <v>0</v>
      </c>
      <c r="DL25" s="92">
        <v>0</v>
      </c>
      <c r="DM25" s="92">
        <v>0</v>
      </c>
      <c r="DN25" s="92">
        <v>53632</v>
      </c>
      <c r="DO25" s="92">
        <v>0</v>
      </c>
      <c r="DP25" s="92">
        <v>0</v>
      </c>
      <c r="DQ25" s="92">
        <v>0</v>
      </c>
      <c r="DR25" s="92">
        <v>0</v>
      </c>
      <c r="DS25" s="92">
        <v>0</v>
      </c>
      <c r="DT25" s="92">
        <v>0</v>
      </c>
      <c r="DU25" s="92">
        <v>0</v>
      </c>
      <c r="DV25" s="92">
        <v>0</v>
      </c>
      <c r="DW25" s="92">
        <v>0</v>
      </c>
      <c r="DX25" s="92">
        <v>0</v>
      </c>
      <c r="DY25" s="92">
        <v>0</v>
      </c>
      <c r="DZ25" s="92">
        <v>0</v>
      </c>
      <c r="EA25" s="92">
        <v>0</v>
      </c>
      <c r="EB25" s="92">
        <v>0</v>
      </c>
      <c r="EC25" s="92">
        <v>0</v>
      </c>
      <c r="ED25" s="92">
        <v>0</v>
      </c>
      <c r="EE25" s="92">
        <v>0</v>
      </c>
      <c r="EF25" s="92">
        <v>0</v>
      </c>
      <c r="EG25" s="92">
        <v>0</v>
      </c>
      <c r="EH25" s="92">
        <v>52187</v>
      </c>
      <c r="EI25" s="92">
        <v>0</v>
      </c>
      <c r="EJ25" s="92">
        <v>0</v>
      </c>
      <c r="EK25" s="92">
        <v>90206</v>
      </c>
      <c r="EL25" s="92">
        <v>0</v>
      </c>
      <c r="EM25" s="92">
        <v>0</v>
      </c>
      <c r="EN25" s="92">
        <v>0</v>
      </c>
      <c r="EO25" s="92">
        <v>348475</v>
      </c>
      <c r="EP25" s="92">
        <v>0</v>
      </c>
      <c r="EQ25" s="92">
        <v>0</v>
      </c>
      <c r="ER25" s="92">
        <v>0</v>
      </c>
      <c r="ES25" s="92">
        <v>183668</v>
      </c>
      <c r="ET25" s="92">
        <v>71924</v>
      </c>
      <c r="EU25" s="92">
        <v>0</v>
      </c>
      <c r="EV25" s="92">
        <v>0</v>
      </c>
      <c r="EW25" s="92">
        <v>0</v>
      </c>
      <c r="EX25" s="92">
        <v>0</v>
      </c>
      <c r="EY25" s="92">
        <v>0</v>
      </c>
      <c r="EZ25" s="92">
        <v>0</v>
      </c>
      <c r="FA25" s="92">
        <v>0</v>
      </c>
      <c r="FB25" s="92">
        <v>0</v>
      </c>
      <c r="FC25" s="92">
        <v>0</v>
      </c>
      <c r="FD25" s="92">
        <v>0</v>
      </c>
      <c r="FE25" s="92">
        <v>0</v>
      </c>
      <c r="FF25" s="92">
        <v>0</v>
      </c>
      <c r="FG25" s="92">
        <v>0</v>
      </c>
      <c r="FH25" s="92">
        <v>0</v>
      </c>
      <c r="FI25" s="92">
        <v>0</v>
      </c>
      <c r="FJ25" s="92">
        <v>0</v>
      </c>
      <c r="FK25" s="92">
        <v>0</v>
      </c>
      <c r="FL25" s="92">
        <v>0</v>
      </c>
      <c r="FM25" s="92">
        <v>0</v>
      </c>
      <c r="FN25" s="92">
        <v>0</v>
      </c>
      <c r="FO25" s="92">
        <v>0</v>
      </c>
      <c r="FP25" s="92">
        <v>0</v>
      </c>
      <c r="FQ25" s="92">
        <v>0</v>
      </c>
      <c r="FR25" s="92">
        <v>0</v>
      </c>
      <c r="FS25" s="92">
        <v>0</v>
      </c>
      <c r="FT25" s="92">
        <v>0</v>
      </c>
      <c r="FU25" s="92">
        <v>0</v>
      </c>
      <c r="FV25" s="92">
        <v>0</v>
      </c>
      <c r="FW25" s="92">
        <v>0</v>
      </c>
      <c r="FX25" s="92">
        <v>0</v>
      </c>
      <c r="FY25" s="92">
        <v>0</v>
      </c>
      <c r="FZ25" s="92">
        <v>0</v>
      </c>
      <c r="GA25" s="92">
        <v>0</v>
      </c>
      <c r="GB25" s="92">
        <v>0</v>
      </c>
      <c r="GC25" s="92">
        <v>0</v>
      </c>
      <c r="GD25" s="92">
        <v>12374745</v>
      </c>
      <c r="GE25" s="92">
        <v>13116147</v>
      </c>
      <c r="GF25" s="92">
        <v>145783716</v>
      </c>
      <c r="GG25" s="47" t="s">
        <v>311</v>
      </c>
      <c r="GH25" s="47" t="s">
        <v>312</v>
      </c>
      <c r="GI25" s="93">
        <v>9798459761</v>
      </c>
      <c r="GJ25" s="47" t="s">
        <v>313</v>
      </c>
      <c r="GK25" s="185" t="s">
        <v>1010</v>
      </c>
      <c r="GM25" s="93" t="s">
        <v>1010</v>
      </c>
      <c r="GN25" s="185" t="s">
        <v>1010</v>
      </c>
      <c r="GO25" s="92" cm="1">
        <f t="array" ref="GO25">IFERROR(_xlfn.IFS(ResearchInput[[#This Row],[Type]]="HRI",SUMIFS('FTSE | FTFE'!$P$8:$P$77,'FTSE | FTFE'!$H$8:$H$77,A25),ResearchInput[[#This Row],[Type]]="UNIV",SUMIFS('FTSE | FTFE'!$P$104:$P$139,'FTSE | FTFE'!$H$104:$H$139,A25),OR(ResearchInput[[#This Row],[Type]]="TSTC",ResearchInput[[#This Row],[Type]]="LSC"),SUMIFS('FTSE | FTFE'!$O$88:$O$96,'FTSE | FTFE'!$H$88:$H$96,A25),ResearchInput[[#This Row],[Type]]="AHM",SUMIFS(Hidden!$H$43:$H$46,Hidden!$G$42:$G$45,A25)),"N/A")</f>
        <v>7338</v>
      </c>
      <c r="GP25" s="92" cm="1">
        <f t="array" ref="GP25">IFERROR(_xlfn.IFS(ResearchInput[[#This Row],[Type]]="HRI",SUMIFS('FTSE | FTFE'!$Q$8:$Q$77,'FTSE | FTFE'!$H$8:$H$77,A25),ResearchInput[[#This Row],[Type]]="UNIV",SUMIFS('FTSE | FTFE'!$Q$104:$Q$139,'FTSE | FTFE'!$H$104:$H$139,A25),OR(ResearchInput[[#This Row],[Type]]="TSTC",ResearchInput[[#This Row],[Type]]="LSC"),SUMIFS('FTSE | FTFE'!$P$88:$P$96,'FTSE | FTFE'!$H$88:$H$96,A25)),"N/A")</f>
        <v>149</v>
      </c>
      <c r="GQ25" s="92">
        <v>0</v>
      </c>
      <c r="GR25" s="92">
        <f>SUM(ResearchInput[[#This Row],[Fed.Comp]],ResearchInput[[#This Row],[Fed.Eng]],ResearchInput[[#This Row],[Fed.Geo]],ResearchInput[[#This Row],[Fed.Life]],ResearchInput[[#This Row],[Fed.Math]],ResearchInput[[#This Row],[Fed.Phys]],ResearchInput[[#This Row],[Fed.Psyc]],ResearchInput[[#This Row],[Fed.Soc]],ResearchInput[[#This Row],[Fed.Othr]],ResearchInput[[#This Row],[Fed.Non]])</f>
        <v>1905932</v>
      </c>
      <c r="GS25" s="92">
        <f>SUM(ResearchInput[[#This Row],[St.Comp]],ResearchInput[[#This Row],[St.Eng]],ResearchInput[[#This Row],[St.Geo]],ResearchInput[[#This Row],[St.Life]],ResearchInput[[#This Row],[St.Math]],ResearchInput[[#This Row],[St.Phys]],ResearchInput[[#This Row],[St.Psyc]],ResearchInput[[#This Row],[St.Soc]],ResearchInput[[#This Row],[St.Othr]],ResearchInput[[#This Row],[St.Non]])</f>
        <v>8874991</v>
      </c>
      <c r="GT25" s="92">
        <f>SUM(ResearchInput[[#This Row],[St.C&amp;G.Comp]],ResearchInput[[#This Row],[St.C&amp;G.Eng]],ResearchInput[[#This Row],[St.C&amp;G.Geo]],ResearchInput[[#This Row],[St.C&amp;G.Life]],ResearchInput[[#This Row],[St.C&amp;G.Math]],ResearchInput[[#This Row],[St.C&amp;G.Phys]],ResearchInput[[#This Row],[St.C&amp;G.Psyc]],ResearchInput[[#This Row],[St.C&amp;G.Soc]],ResearchInput[[#This Row],[St.C&amp;G.Othr]],ResearchInput[[#This Row],[St.C&amp;G.Non]])</f>
        <v>115315</v>
      </c>
      <c r="GU25" s="92">
        <f>SUM(ResearchInput[[#This Row],[St.All.Comp]],ResearchInput[[#This Row],[St.All.Eng]],ResearchInput[[#This Row],[St.All.Geo]],ResearchInput[[#This Row],[St.All.Life]],ResearchInput[[#This Row],[St.All.Math]],ResearchInput[[#This Row],[St.All.Phys]],ResearchInput[[#This Row],[St.All.Psyc]],ResearchInput[[#This Row],[St.All.Soc]],ResearchInput[[#This Row],[St.All.Othr]],ResearchInput[[#This Row],[St.All.Non]])</f>
        <v>0</v>
      </c>
      <c r="GV25" s="92">
        <f>SUM(ResearchInput[[#This Row],[Inst.Comp]],ResearchInput[[#This Row],[Inst.Eng]],ResearchInput[[#This Row],[Inst.Geo]],ResearchInput[[#This Row],[Inst.Life]],ResearchInput[[#This Row],[Inst.Math]],ResearchInput[[#This Row],[Inst.Phys]],ResearchInput[[#This Row],[Inst.Psyc]],ResearchInput[[#This Row],[Inst.Soc]],ResearchInput[[#This Row],[Inst.Othr]],ResearchInput[[#This Row],[Inst.Non]])</f>
        <v>1573231</v>
      </c>
      <c r="GW25" s="92">
        <f>SUM(ResearchInput[[#This Row],[P4P.Comp]],ResearchInput[[#This Row],[P4P.Eng]],ResearchInput[[#This Row],[P4P.Geo]],ResearchInput[[#This Row],[P4P.Life]],ResearchInput[[#This Row],[P4P.Math]],ResearchInput[[#This Row],[P4P.Phys]],ResearchInput[[#This Row],[P4P.Psyc]],ResearchInput[[#This Row],[P4P.Soc]],ResearchInput[[#This Row],[P4P.Othr]],ResearchInput[[#This Row],[P4P.Non]])</f>
        <v>1035986</v>
      </c>
      <c r="GX25" s="92">
        <f>SUM(ResearchInput[[#This Row],[PNP.Comp]],ResearchInput[[#This Row],[PNP.Eng]],ResearchInput[[#This Row],[PNP.Geo]],ResearchInput[[#This Row],[PNP.Life]],ResearchInput[[#This Row],[PNP.Math]],ResearchInput[[#This Row],[PNP.Phys]],ResearchInput[[#This Row],[PNP.Psyc]],ResearchInput[[#This Row],[PNP.Soc]],ResearchInput[[#This Row],[PNP.Othr]],ResearchInput[[#This Row],[PNP.Non]])</f>
        <v>154398</v>
      </c>
      <c r="GY25" s="92">
        <f>SUM(ResearchInput[[#This Row],[P.All.Comp]],ResearchInput[[#This Row],[P.All.Eng]],ResearchInput[[#This Row],[P.All.Geo]],ResearchInput[[#This Row],[P.All.Life]],ResearchInput[[#This Row],[P.All.Math]],ResearchInput[[#This Row],[P.All.Phys]],ResearchInput[[#This Row],[P.All.Psyc]],ResearchInput[[#This Row],[P.All.Soc]],ResearchInput[[#This Row],[P.All.Othr]],ResearchInput[[#This Row],[P.All.Non]])</f>
        <v>0</v>
      </c>
    </row>
    <row r="26" spans="1:207" s="47" customFormat="1" ht="27" customHeight="1" x14ac:dyDescent="0.25">
      <c r="A26" s="34" t="s">
        <v>181</v>
      </c>
      <c r="B26" s="34" t="s">
        <v>671</v>
      </c>
      <c r="C26" s="35" t="s">
        <v>674</v>
      </c>
      <c r="D26" s="35" t="s">
        <v>673</v>
      </c>
      <c r="E26" s="94">
        <v>212</v>
      </c>
      <c r="F26" s="35" t="s">
        <v>714</v>
      </c>
      <c r="G26" s="35" t="s">
        <v>690</v>
      </c>
      <c r="H26" s="96">
        <v>29269</v>
      </c>
      <c r="I26" s="92">
        <v>0</v>
      </c>
      <c r="J26" s="92">
        <v>530</v>
      </c>
      <c r="K26" s="92">
        <v>20940</v>
      </c>
      <c r="L26" s="92">
        <v>0</v>
      </c>
      <c r="M26" s="92">
        <v>8798</v>
      </c>
      <c r="N26" s="92">
        <v>0</v>
      </c>
      <c r="O26" s="92">
        <v>12033</v>
      </c>
      <c r="P26" s="92">
        <v>0</v>
      </c>
      <c r="Q26" s="92">
        <v>0</v>
      </c>
      <c r="R26" s="92">
        <v>0</v>
      </c>
      <c r="S26" s="92">
        <v>0</v>
      </c>
      <c r="T26" s="92">
        <v>0</v>
      </c>
      <c r="U26" s="92">
        <v>0</v>
      </c>
      <c r="V26" s="92">
        <v>0</v>
      </c>
      <c r="W26" s="92">
        <v>0</v>
      </c>
      <c r="X26" s="92">
        <v>0</v>
      </c>
      <c r="Y26" s="92">
        <v>0</v>
      </c>
      <c r="Z26" s="92">
        <v>0</v>
      </c>
      <c r="AA26" s="92">
        <v>0</v>
      </c>
      <c r="AB26" s="92">
        <v>0</v>
      </c>
      <c r="AC26" s="92">
        <v>0</v>
      </c>
      <c r="AD26" s="92">
        <v>0</v>
      </c>
      <c r="AE26" s="92">
        <v>0</v>
      </c>
      <c r="AF26" s="92">
        <v>0</v>
      </c>
      <c r="AG26" s="92">
        <v>0</v>
      </c>
      <c r="AH26" s="92">
        <v>0</v>
      </c>
      <c r="AI26" s="92">
        <v>0</v>
      </c>
      <c r="AJ26" s="92">
        <v>0</v>
      </c>
      <c r="AK26" s="92">
        <v>0</v>
      </c>
      <c r="AL26" s="92">
        <v>0</v>
      </c>
      <c r="AM26" s="92">
        <v>0</v>
      </c>
      <c r="AN26" s="92">
        <v>0</v>
      </c>
      <c r="AO26" s="92">
        <v>0</v>
      </c>
      <c r="AP26" s="92">
        <v>0</v>
      </c>
      <c r="AQ26" s="92">
        <v>0</v>
      </c>
      <c r="AR26" s="92">
        <v>0</v>
      </c>
      <c r="AS26" s="92">
        <v>0</v>
      </c>
      <c r="AT26" s="92">
        <v>0</v>
      </c>
      <c r="AU26" s="92">
        <v>75000</v>
      </c>
      <c r="AV26" s="92">
        <v>0</v>
      </c>
      <c r="AW26" s="92">
        <v>0</v>
      </c>
      <c r="AX26" s="92">
        <v>0</v>
      </c>
      <c r="AY26" s="92">
        <v>0</v>
      </c>
      <c r="AZ26" s="92">
        <v>0</v>
      </c>
      <c r="BA26" s="92">
        <v>0</v>
      </c>
      <c r="BB26" s="92">
        <v>0</v>
      </c>
      <c r="BC26" s="92">
        <v>0</v>
      </c>
      <c r="BD26" s="92">
        <v>0</v>
      </c>
      <c r="BE26" s="92">
        <v>0</v>
      </c>
      <c r="BF26" s="92">
        <v>0</v>
      </c>
      <c r="BG26" s="92">
        <v>0</v>
      </c>
      <c r="BH26" s="92">
        <v>0</v>
      </c>
      <c r="BI26" s="92">
        <v>0</v>
      </c>
      <c r="BJ26" s="92">
        <v>0</v>
      </c>
      <c r="BK26" s="92">
        <v>0</v>
      </c>
      <c r="BL26" s="92">
        <v>0</v>
      </c>
      <c r="BM26" s="92">
        <v>0</v>
      </c>
      <c r="BN26" s="92">
        <v>0</v>
      </c>
      <c r="BO26" s="92">
        <v>0</v>
      </c>
      <c r="BP26" s="92">
        <v>0</v>
      </c>
      <c r="BQ26" s="92">
        <v>0</v>
      </c>
      <c r="BR26" s="92">
        <v>0</v>
      </c>
      <c r="BS26" s="92">
        <v>0</v>
      </c>
      <c r="BT26" s="92">
        <v>0</v>
      </c>
      <c r="BU26" s="92">
        <v>0</v>
      </c>
      <c r="BV26" s="92">
        <v>0</v>
      </c>
      <c r="BW26" s="92">
        <v>0</v>
      </c>
      <c r="BX26" s="92">
        <v>0</v>
      </c>
      <c r="BY26" s="92">
        <v>0</v>
      </c>
      <c r="BZ26" s="92">
        <v>0</v>
      </c>
      <c r="CA26" s="92">
        <v>0</v>
      </c>
      <c r="CB26" s="92">
        <v>0</v>
      </c>
      <c r="CC26" s="92">
        <v>0</v>
      </c>
      <c r="CD26" s="92">
        <v>530</v>
      </c>
      <c r="CE26" s="92">
        <v>20940</v>
      </c>
      <c r="CF26" s="92">
        <v>0</v>
      </c>
      <c r="CG26" s="92">
        <v>6470</v>
      </c>
      <c r="CH26" s="92">
        <v>0</v>
      </c>
      <c r="CI26" s="92">
        <v>0</v>
      </c>
      <c r="CJ26" s="92">
        <v>0</v>
      </c>
      <c r="CK26" s="92">
        <v>0</v>
      </c>
      <c r="CL26" s="92">
        <v>0</v>
      </c>
      <c r="CM26" s="92">
        <v>0</v>
      </c>
      <c r="CN26" s="92">
        <v>0</v>
      </c>
      <c r="CO26" s="92">
        <v>0</v>
      </c>
      <c r="CP26" s="92">
        <v>0</v>
      </c>
      <c r="CQ26" s="92">
        <v>0</v>
      </c>
      <c r="CR26" s="92">
        <v>0</v>
      </c>
      <c r="CS26" s="92">
        <v>0</v>
      </c>
      <c r="CT26" s="92">
        <v>0</v>
      </c>
      <c r="CU26" s="92">
        <v>0</v>
      </c>
      <c r="CV26" s="92">
        <v>0</v>
      </c>
      <c r="CW26" s="92">
        <v>839</v>
      </c>
      <c r="CX26" s="92">
        <v>0</v>
      </c>
      <c r="CY26" s="92">
        <v>0</v>
      </c>
      <c r="CZ26" s="92">
        <v>0</v>
      </c>
      <c r="DA26" s="92">
        <v>0</v>
      </c>
      <c r="DB26" s="92">
        <v>0</v>
      </c>
      <c r="DC26" s="92">
        <v>0</v>
      </c>
      <c r="DD26" s="92">
        <v>0</v>
      </c>
      <c r="DE26" s="92">
        <v>0</v>
      </c>
      <c r="DF26" s="92">
        <v>0</v>
      </c>
      <c r="DG26" s="92">
        <v>0</v>
      </c>
      <c r="DH26" s="92">
        <v>0</v>
      </c>
      <c r="DI26" s="92">
        <v>0</v>
      </c>
      <c r="DJ26" s="92">
        <v>0</v>
      </c>
      <c r="DK26" s="92">
        <v>0</v>
      </c>
      <c r="DL26" s="92">
        <v>0</v>
      </c>
      <c r="DM26" s="92">
        <v>0</v>
      </c>
      <c r="DN26" s="92">
        <v>0</v>
      </c>
      <c r="DO26" s="92">
        <v>87033</v>
      </c>
      <c r="DP26" s="92">
        <v>0</v>
      </c>
      <c r="DQ26" s="92">
        <v>0</v>
      </c>
      <c r="DR26" s="92">
        <v>0</v>
      </c>
      <c r="DS26" s="92">
        <v>0</v>
      </c>
      <c r="DT26" s="92">
        <v>0</v>
      </c>
      <c r="DU26" s="92">
        <v>0</v>
      </c>
      <c r="DV26" s="92">
        <v>0</v>
      </c>
      <c r="DW26" s="92">
        <v>0</v>
      </c>
      <c r="DX26" s="92">
        <v>0</v>
      </c>
      <c r="DY26" s="92">
        <v>0</v>
      </c>
      <c r="DZ26" s="92">
        <v>0</v>
      </c>
      <c r="EA26" s="92">
        <v>0</v>
      </c>
      <c r="EB26" s="92">
        <v>0</v>
      </c>
      <c r="EC26" s="92">
        <v>1489</v>
      </c>
      <c r="ED26" s="92">
        <v>0</v>
      </c>
      <c r="EE26" s="92">
        <v>0</v>
      </c>
      <c r="EF26" s="92">
        <v>0</v>
      </c>
      <c r="EG26" s="92">
        <v>0</v>
      </c>
      <c r="EH26" s="92">
        <v>0</v>
      </c>
      <c r="EI26" s="92">
        <v>0</v>
      </c>
      <c r="EJ26" s="92">
        <v>0</v>
      </c>
      <c r="EK26" s="92">
        <v>0</v>
      </c>
      <c r="EL26" s="92">
        <v>0</v>
      </c>
      <c r="EM26" s="92">
        <v>0</v>
      </c>
      <c r="EN26" s="92">
        <v>0</v>
      </c>
      <c r="EO26" s="92">
        <v>0</v>
      </c>
      <c r="EP26" s="92">
        <v>0</v>
      </c>
      <c r="EQ26" s="92">
        <v>0</v>
      </c>
      <c r="ER26" s="92">
        <v>0</v>
      </c>
      <c r="ES26" s="92">
        <v>0</v>
      </c>
      <c r="ET26" s="92">
        <v>0</v>
      </c>
      <c r="EU26" s="92">
        <v>0</v>
      </c>
      <c r="EV26" s="92">
        <v>0</v>
      </c>
      <c r="EW26" s="92">
        <v>0</v>
      </c>
      <c r="EX26" s="92">
        <v>0</v>
      </c>
      <c r="EY26" s="92">
        <v>0</v>
      </c>
      <c r="EZ26" s="92">
        <v>0</v>
      </c>
      <c r="FA26" s="92">
        <v>0</v>
      </c>
      <c r="FB26" s="92">
        <v>0</v>
      </c>
      <c r="FC26" s="92">
        <v>0</v>
      </c>
      <c r="FD26" s="92">
        <v>0</v>
      </c>
      <c r="FE26" s="92">
        <v>0</v>
      </c>
      <c r="FF26" s="92">
        <v>0</v>
      </c>
      <c r="FG26" s="92">
        <v>0</v>
      </c>
      <c r="FH26" s="92">
        <v>0</v>
      </c>
      <c r="FI26" s="92">
        <v>0</v>
      </c>
      <c r="FJ26" s="92">
        <v>0</v>
      </c>
      <c r="FK26" s="92">
        <v>0</v>
      </c>
      <c r="FL26" s="92">
        <v>0</v>
      </c>
      <c r="FM26" s="92">
        <v>0</v>
      </c>
      <c r="FN26" s="92">
        <v>0</v>
      </c>
      <c r="FO26" s="92">
        <v>0</v>
      </c>
      <c r="FP26" s="92">
        <v>0</v>
      </c>
      <c r="FQ26" s="92">
        <v>0</v>
      </c>
      <c r="FR26" s="92">
        <v>0</v>
      </c>
      <c r="FS26" s="92">
        <v>0</v>
      </c>
      <c r="FT26" s="92">
        <v>0</v>
      </c>
      <c r="FU26" s="92">
        <v>0</v>
      </c>
      <c r="FV26" s="92">
        <v>0</v>
      </c>
      <c r="FW26" s="92">
        <v>0</v>
      </c>
      <c r="FX26" s="92">
        <v>0</v>
      </c>
      <c r="FY26" s="92">
        <v>0</v>
      </c>
      <c r="FZ26" s="92">
        <v>0</v>
      </c>
      <c r="GA26" s="92">
        <v>0</v>
      </c>
      <c r="GB26" s="92">
        <v>0</v>
      </c>
      <c r="GC26" s="92">
        <v>0</v>
      </c>
      <c r="GD26" s="92">
        <v>42301</v>
      </c>
      <c r="GE26" s="92">
        <v>117301</v>
      </c>
      <c r="GF26" s="92">
        <v>51098957</v>
      </c>
      <c r="GG26" s="47" t="s">
        <v>311</v>
      </c>
      <c r="GH26" s="47" t="s">
        <v>312</v>
      </c>
      <c r="GI26" s="93">
        <v>9798459761</v>
      </c>
      <c r="GJ26" s="47" t="s">
        <v>313</v>
      </c>
      <c r="GK26" s="47" t="s">
        <v>338</v>
      </c>
      <c r="GL26" s="47" t="s">
        <v>339</v>
      </c>
      <c r="GM26" s="93">
        <v>9032233110</v>
      </c>
      <c r="GN26" s="47" t="s">
        <v>340</v>
      </c>
      <c r="GO26" s="92" cm="1">
        <f t="array" ref="GO26">IFERROR(_xlfn.IFS(ResearchInput[[#This Row],[Type]]="HRI",SUMIFS('FTSE | FTFE'!$P$8:$P$77,'FTSE | FTFE'!$H$8:$H$77,A26),ResearchInput[[#This Row],[Type]]="UNIV",SUMIFS('FTSE | FTFE'!$P$104:$P$139,'FTSE | FTFE'!$H$104:$H$139,A26),OR(ResearchInput[[#This Row],[Type]]="TSTC",ResearchInput[[#This Row],[Type]]="LSC"),SUMIFS('FTSE | FTFE'!$O$88:$O$96,'FTSE | FTFE'!$H$88:$H$96,A26),ResearchInput[[#This Row],[Type]]="AHM",SUMIFS(Hidden!$H$43:$H$46,Hidden!$G$42:$G$45,A26)),"N/A")</f>
        <v>1699</v>
      </c>
      <c r="GP26" s="92" cm="1">
        <f t="array" ref="GP26">IFERROR(_xlfn.IFS(ResearchInput[[#This Row],[Type]]="HRI",SUMIFS('FTSE | FTFE'!$Q$8:$Q$77,'FTSE | FTFE'!$H$8:$H$77,A26),ResearchInput[[#This Row],[Type]]="UNIV",SUMIFS('FTSE | FTFE'!$Q$104:$Q$139,'FTSE | FTFE'!$H$104:$H$139,A26),OR(ResearchInput[[#This Row],[Type]]="TSTC",ResearchInput[[#This Row],[Type]]="LSC"),SUMIFS('FTSE | FTFE'!$P$88:$P$96,'FTSE | FTFE'!$H$88:$H$96,A26)),"N/A")</f>
        <v>68</v>
      </c>
      <c r="GQ26" s="92">
        <v>0</v>
      </c>
      <c r="GR26" s="92">
        <f>SUM(ResearchInput[[#This Row],[Fed.Comp]],ResearchInput[[#This Row],[Fed.Eng]],ResearchInput[[#This Row],[Fed.Geo]],ResearchInput[[#This Row],[Fed.Life]],ResearchInput[[#This Row],[Fed.Math]],ResearchInput[[#This Row],[Fed.Phys]],ResearchInput[[#This Row],[Fed.Psyc]],ResearchInput[[#This Row],[Fed.Soc]],ResearchInput[[#This Row],[Fed.Othr]],ResearchInput[[#This Row],[Fed.Non]])</f>
        <v>0</v>
      </c>
      <c r="GS26" s="92">
        <f>SUM(ResearchInput[[#This Row],[St.Comp]],ResearchInput[[#This Row],[St.Eng]],ResearchInput[[#This Row],[St.Geo]],ResearchInput[[#This Row],[St.Life]],ResearchInput[[#This Row],[St.Math]],ResearchInput[[#This Row],[St.Phys]],ResearchInput[[#This Row],[St.Psyc]],ResearchInput[[#This Row],[St.Soc]],ResearchInput[[#This Row],[St.Othr]],ResearchInput[[#This Row],[St.Non]])</f>
        <v>530</v>
      </c>
      <c r="GT26" s="92">
        <f>SUM(ResearchInput[[#This Row],[St.C&amp;G.Comp]],ResearchInput[[#This Row],[St.C&amp;G.Eng]],ResearchInput[[#This Row],[St.C&amp;G.Geo]],ResearchInput[[#This Row],[St.C&amp;G.Life]],ResearchInput[[#This Row],[St.C&amp;G.Math]],ResearchInput[[#This Row],[St.C&amp;G.Phys]],ResearchInput[[#This Row],[St.C&amp;G.Psyc]],ResearchInput[[#This Row],[St.C&amp;G.Soc]],ResearchInput[[#This Row],[St.C&amp;G.Othr]],ResearchInput[[#This Row],[St.C&amp;G.Non]])</f>
        <v>20940</v>
      </c>
      <c r="GU26" s="92">
        <f>SUM(ResearchInput[[#This Row],[St.All.Comp]],ResearchInput[[#This Row],[St.All.Eng]],ResearchInput[[#This Row],[St.All.Geo]],ResearchInput[[#This Row],[St.All.Life]],ResearchInput[[#This Row],[St.All.Math]],ResearchInput[[#This Row],[St.All.Phys]],ResearchInput[[#This Row],[St.All.Psyc]],ResearchInput[[#This Row],[St.All.Soc]],ResearchInput[[#This Row],[St.All.Othr]],ResearchInput[[#This Row],[St.All.Non]])</f>
        <v>0</v>
      </c>
      <c r="GV26" s="92">
        <f>SUM(ResearchInput[[#This Row],[Inst.Comp]],ResearchInput[[#This Row],[Inst.Eng]],ResearchInput[[#This Row],[Inst.Geo]],ResearchInput[[#This Row],[Inst.Life]],ResearchInput[[#This Row],[Inst.Math]],ResearchInput[[#This Row],[Inst.Phys]],ResearchInput[[#This Row],[Inst.Psyc]],ResearchInput[[#This Row],[Inst.Soc]],ResearchInput[[#This Row],[Inst.Othr]],ResearchInput[[#This Row],[Inst.Non]])</f>
        <v>8798</v>
      </c>
      <c r="GW26" s="92">
        <f>SUM(ResearchInput[[#This Row],[P4P.Comp]],ResearchInput[[#This Row],[P4P.Eng]],ResearchInput[[#This Row],[P4P.Geo]],ResearchInput[[#This Row],[P4P.Life]],ResearchInput[[#This Row],[P4P.Math]],ResearchInput[[#This Row],[P4P.Phys]],ResearchInput[[#This Row],[P4P.Psyc]],ResearchInput[[#This Row],[P4P.Soc]],ResearchInput[[#This Row],[P4P.Othr]],ResearchInput[[#This Row],[P4P.Non]])</f>
        <v>0</v>
      </c>
      <c r="GX26" s="92">
        <f>SUM(ResearchInput[[#This Row],[PNP.Comp]],ResearchInput[[#This Row],[PNP.Eng]],ResearchInput[[#This Row],[PNP.Geo]],ResearchInput[[#This Row],[PNP.Life]],ResearchInput[[#This Row],[PNP.Math]],ResearchInput[[#This Row],[PNP.Phys]],ResearchInput[[#This Row],[PNP.Psyc]],ResearchInput[[#This Row],[PNP.Soc]],ResearchInput[[#This Row],[PNP.Othr]],ResearchInput[[#This Row],[PNP.Non]])</f>
        <v>87033</v>
      </c>
      <c r="GY26" s="92">
        <f>SUM(ResearchInput[[#This Row],[P.All.Comp]],ResearchInput[[#This Row],[P.All.Eng]],ResearchInput[[#This Row],[P.All.Geo]],ResearchInput[[#This Row],[P.All.Life]],ResearchInput[[#This Row],[P.All.Math]],ResearchInput[[#This Row],[P.All.Phys]],ResearchInput[[#This Row],[P.All.Psyc]],ResearchInput[[#This Row],[P.All.Soc]],ResearchInput[[#This Row],[P.All.Othr]],ResearchInput[[#This Row],[P.All.Non]])</f>
        <v>0</v>
      </c>
    </row>
    <row r="27" spans="1:207" s="47" customFormat="1" ht="27" customHeight="1" x14ac:dyDescent="0.25">
      <c r="A27" s="34" t="s">
        <v>766</v>
      </c>
      <c r="B27" s="34" t="s">
        <v>219</v>
      </c>
      <c r="C27" s="35" t="s">
        <v>687</v>
      </c>
      <c r="D27" s="35" t="s">
        <v>684</v>
      </c>
      <c r="E27" s="94">
        <v>300</v>
      </c>
      <c r="F27" s="91" t="s">
        <v>716</v>
      </c>
      <c r="G27" s="35" t="s">
        <v>553</v>
      </c>
      <c r="H27" s="96">
        <v>11721</v>
      </c>
      <c r="I27" s="92">
        <v>0</v>
      </c>
      <c r="J27" s="92">
        <v>0</v>
      </c>
      <c r="K27" s="92">
        <v>0</v>
      </c>
      <c r="L27" s="92">
        <v>0</v>
      </c>
      <c r="M27" s="92">
        <v>0</v>
      </c>
      <c r="N27" s="92">
        <v>0</v>
      </c>
      <c r="O27" s="92">
        <v>0</v>
      </c>
      <c r="P27" s="92">
        <v>0</v>
      </c>
      <c r="Q27" s="92">
        <v>0</v>
      </c>
      <c r="R27" s="92">
        <v>0</v>
      </c>
      <c r="S27" s="92">
        <v>0</v>
      </c>
      <c r="T27" s="92">
        <v>0</v>
      </c>
      <c r="U27" s="92">
        <v>0</v>
      </c>
      <c r="V27" s="92">
        <v>0</v>
      </c>
      <c r="W27" s="92">
        <v>0</v>
      </c>
      <c r="X27" s="92">
        <v>0</v>
      </c>
      <c r="Y27" s="92">
        <v>0</v>
      </c>
      <c r="Z27" s="92">
        <v>0</v>
      </c>
      <c r="AA27" s="92">
        <v>0</v>
      </c>
      <c r="AB27" s="92">
        <v>0</v>
      </c>
      <c r="AC27" s="92">
        <v>0</v>
      </c>
      <c r="AD27" s="92">
        <v>0</v>
      </c>
      <c r="AE27" s="92">
        <v>0</v>
      </c>
      <c r="AF27" s="92">
        <v>0</v>
      </c>
      <c r="AG27" s="92">
        <v>0</v>
      </c>
      <c r="AH27" s="92">
        <v>0</v>
      </c>
      <c r="AI27" s="92">
        <v>0</v>
      </c>
      <c r="AJ27" s="92">
        <v>0</v>
      </c>
      <c r="AK27" s="92">
        <v>0</v>
      </c>
      <c r="AL27" s="92">
        <v>0</v>
      </c>
      <c r="AM27" s="92">
        <v>0</v>
      </c>
      <c r="AN27" s="92">
        <v>0</v>
      </c>
      <c r="AO27" s="92">
        <v>0</v>
      </c>
      <c r="AP27" s="92">
        <v>0</v>
      </c>
      <c r="AQ27" s="92">
        <v>0</v>
      </c>
      <c r="AR27" s="92">
        <v>0</v>
      </c>
      <c r="AS27" s="92">
        <v>0</v>
      </c>
      <c r="AT27" s="92">
        <v>0</v>
      </c>
      <c r="AU27" s="92">
        <v>0</v>
      </c>
      <c r="AV27" s="92">
        <v>0</v>
      </c>
      <c r="AW27" s="92">
        <v>0</v>
      </c>
      <c r="AX27" s="92">
        <v>0</v>
      </c>
      <c r="AY27" s="92">
        <v>0</v>
      </c>
      <c r="AZ27" s="92">
        <v>0</v>
      </c>
      <c r="BA27" s="92">
        <v>0</v>
      </c>
      <c r="BB27" s="92">
        <v>0</v>
      </c>
      <c r="BC27" s="92">
        <v>0</v>
      </c>
      <c r="BD27" s="92">
        <v>0</v>
      </c>
      <c r="BE27" s="92">
        <v>0</v>
      </c>
      <c r="BF27" s="92">
        <v>0</v>
      </c>
      <c r="BG27" s="92">
        <v>0</v>
      </c>
      <c r="BH27" s="92">
        <v>0</v>
      </c>
      <c r="BI27" s="92">
        <v>0</v>
      </c>
      <c r="BJ27" s="92">
        <v>0</v>
      </c>
      <c r="BK27" s="92">
        <v>0</v>
      </c>
      <c r="BL27" s="92">
        <v>0</v>
      </c>
      <c r="BM27" s="92">
        <v>0</v>
      </c>
      <c r="BN27" s="92">
        <v>0</v>
      </c>
      <c r="BO27" s="92">
        <v>0</v>
      </c>
      <c r="BP27" s="92">
        <v>0</v>
      </c>
      <c r="BQ27" s="92">
        <v>0</v>
      </c>
      <c r="BR27" s="92">
        <v>0</v>
      </c>
      <c r="BS27" s="92">
        <v>0</v>
      </c>
      <c r="BT27" s="92">
        <v>0</v>
      </c>
      <c r="BU27" s="92">
        <v>0</v>
      </c>
      <c r="BV27" s="92">
        <v>0</v>
      </c>
      <c r="BW27" s="92">
        <v>0</v>
      </c>
      <c r="BX27" s="92">
        <v>0</v>
      </c>
      <c r="BY27" s="92">
        <v>0</v>
      </c>
      <c r="BZ27" s="92">
        <v>0</v>
      </c>
      <c r="CA27" s="92">
        <v>0</v>
      </c>
      <c r="CB27" s="92">
        <v>0</v>
      </c>
      <c r="CC27" s="92">
        <v>0</v>
      </c>
      <c r="CD27" s="92">
        <v>0</v>
      </c>
      <c r="CE27" s="92">
        <v>0</v>
      </c>
      <c r="CF27" s="92">
        <v>0</v>
      </c>
      <c r="CG27" s="92">
        <v>0</v>
      </c>
      <c r="CH27" s="92">
        <v>0</v>
      </c>
      <c r="CI27" s="92">
        <v>0</v>
      </c>
      <c r="CJ27" s="92">
        <v>0</v>
      </c>
      <c r="CK27" s="92">
        <v>0</v>
      </c>
      <c r="CL27" s="92">
        <v>0</v>
      </c>
      <c r="CM27" s="92">
        <v>0</v>
      </c>
      <c r="CN27" s="92">
        <v>0</v>
      </c>
      <c r="CO27" s="92">
        <v>0</v>
      </c>
      <c r="CP27" s="92">
        <v>0</v>
      </c>
      <c r="CQ27" s="92">
        <v>0</v>
      </c>
      <c r="CR27" s="92">
        <v>0</v>
      </c>
      <c r="CS27" s="92">
        <v>0</v>
      </c>
      <c r="CT27" s="92">
        <v>0</v>
      </c>
      <c r="CU27" s="92">
        <v>0</v>
      </c>
      <c r="CV27" s="92">
        <v>0</v>
      </c>
      <c r="CW27" s="92">
        <v>0</v>
      </c>
      <c r="CX27" s="92">
        <v>0</v>
      </c>
      <c r="CY27" s="92">
        <v>0</v>
      </c>
      <c r="CZ27" s="92">
        <v>0</v>
      </c>
      <c r="DA27" s="92">
        <v>0</v>
      </c>
      <c r="DB27" s="92">
        <v>0</v>
      </c>
      <c r="DC27" s="92">
        <v>0</v>
      </c>
      <c r="DD27" s="92">
        <v>0</v>
      </c>
      <c r="DE27" s="92">
        <v>0</v>
      </c>
      <c r="DF27" s="92">
        <v>0</v>
      </c>
      <c r="DG27" s="92">
        <v>0</v>
      </c>
      <c r="DH27" s="92">
        <v>0</v>
      </c>
      <c r="DI27" s="92">
        <v>0</v>
      </c>
      <c r="DJ27" s="92">
        <v>0</v>
      </c>
      <c r="DK27" s="92">
        <v>0</v>
      </c>
      <c r="DL27" s="92">
        <v>0</v>
      </c>
      <c r="DM27" s="92">
        <v>0</v>
      </c>
      <c r="DN27" s="92">
        <v>0</v>
      </c>
      <c r="DO27" s="92">
        <v>0</v>
      </c>
      <c r="DP27" s="92">
        <v>0</v>
      </c>
      <c r="DQ27" s="92">
        <v>0</v>
      </c>
      <c r="DR27" s="92">
        <v>0</v>
      </c>
      <c r="DS27" s="92">
        <v>0</v>
      </c>
      <c r="DT27" s="92">
        <v>0</v>
      </c>
      <c r="DU27" s="92">
        <v>0</v>
      </c>
      <c r="DV27" s="92">
        <v>0</v>
      </c>
      <c r="DW27" s="92">
        <v>0</v>
      </c>
      <c r="DX27" s="92">
        <v>0</v>
      </c>
      <c r="DY27" s="92">
        <v>0</v>
      </c>
      <c r="DZ27" s="92">
        <v>0</v>
      </c>
      <c r="EA27" s="92">
        <v>0</v>
      </c>
      <c r="EB27" s="92">
        <v>0</v>
      </c>
      <c r="EC27" s="92">
        <v>0</v>
      </c>
      <c r="ED27" s="92">
        <v>0</v>
      </c>
      <c r="EE27" s="92">
        <v>0</v>
      </c>
      <c r="EF27" s="92">
        <v>0</v>
      </c>
      <c r="EG27" s="92">
        <v>0</v>
      </c>
      <c r="EH27" s="92">
        <v>0</v>
      </c>
      <c r="EI27" s="92">
        <v>0</v>
      </c>
      <c r="EJ27" s="92">
        <v>0</v>
      </c>
      <c r="EK27" s="92">
        <v>0</v>
      </c>
      <c r="EL27" s="92">
        <v>0</v>
      </c>
      <c r="EM27" s="92">
        <v>0</v>
      </c>
      <c r="EN27" s="92">
        <v>0</v>
      </c>
      <c r="EO27" s="92">
        <v>0</v>
      </c>
      <c r="EP27" s="92">
        <v>0</v>
      </c>
      <c r="EQ27" s="92">
        <v>0</v>
      </c>
      <c r="ER27" s="92">
        <v>0</v>
      </c>
      <c r="ES27" s="92">
        <v>0</v>
      </c>
      <c r="ET27" s="92">
        <v>0</v>
      </c>
      <c r="EU27" s="92">
        <v>0</v>
      </c>
      <c r="EV27" s="92">
        <v>0</v>
      </c>
      <c r="EW27" s="92">
        <v>0</v>
      </c>
      <c r="EX27" s="92">
        <v>0</v>
      </c>
      <c r="EY27" s="92">
        <v>0</v>
      </c>
      <c r="EZ27" s="92">
        <v>0</v>
      </c>
      <c r="FA27" s="92">
        <v>0</v>
      </c>
      <c r="FB27" s="92">
        <v>0</v>
      </c>
      <c r="FC27" s="92">
        <v>0</v>
      </c>
      <c r="FD27" s="92">
        <v>0</v>
      </c>
      <c r="FE27" s="92">
        <v>0</v>
      </c>
      <c r="FF27" s="92">
        <v>0</v>
      </c>
      <c r="FG27" s="92">
        <v>0</v>
      </c>
      <c r="FH27" s="92">
        <v>0</v>
      </c>
      <c r="FI27" s="92">
        <v>0</v>
      </c>
      <c r="FJ27" s="92">
        <v>0</v>
      </c>
      <c r="FK27" s="92">
        <v>0</v>
      </c>
      <c r="FL27" s="92">
        <v>0</v>
      </c>
      <c r="FM27" s="92">
        <v>0</v>
      </c>
      <c r="FN27" s="92">
        <v>0</v>
      </c>
      <c r="FO27" s="92">
        <v>0</v>
      </c>
      <c r="FP27" s="92">
        <v>0</v>
      </c>
      <c r="FQ27" s="92">
        <v>0</v>
      </c>
      <c r="FR27" s="92">
        <v>0</v>
      </c>
      <c r="FS27" s="92">
        <v>0</v>
      </c>
      <c r="FT27" s="92">
        <v>0</v>
      </c>
      <c r="FU27" s="92">
        <v>0</v>
      </c>
      <c r="FV27" s="92">
        <v>0</v>
      </c>
      <c r="FW27" s="92">
        <v>0</v>
      </c>
      <c r="FX27" s="92">
        <v>0</v>
      </c>
      <c r="FY27" s="92">
        <v>0</v>
      </c>
      <c r="FZ27" s="92">
        <v>0</v>
      </c>
      <c r="GA27" s="92">
        <v>0</v>
      </c>
      <c r="GB27" s="92">
        <v>0</v>
      </c>
      <c r="GC27" s="92">
        <v>0</v>
      </c>
      <c r="GD27" s="92">
        <v>0</v>
      </c>
      <c r="GE27" s="92">
        <v>0</v>
      </c>
      <c r="GF27" s="92">
        <v>17371112</v>
      </c>
      <c r="GG27" s="47" t="s">
        <v>348</v>
      </c>
      <c r="GH27" s="47" t="s">
        <v>349</v>
      </c>
      <c r="GI27" s="93">
        <v>7137438188</v>
      </c>
      <c r="GJ27" s="47" t="s">
        <v>350</v>
      </c>
      <c r="GK27" s="47" t="s">
        <v>351</v>
      </c>
      <c r="GL27" s="47" t="s">
        <v>352</v>
      </c>
      <c r="GM27" s="93">
        <v>7137431533</v>
      </c>
      <c r="GN27" s="47" t="s">
        <v>353</v>
      </c>
      <c r="GO27" s="92" t="str" cm="1">
        <f t="array" ref="GO27">IFERROR(_xlfn.IFS(ResearchInput[[#This Row],[Type]]="HRI",SUMIFS('FTSE | FTFE'!$P$8:$P$77,'FTSE | FTFE'!$H$8:$H$77,A27),ResearchInput[[#This Row],[Type]]="UNIV",SUMIFS('FTSE | FTFE'!$P$104:$P$139,'FTSE | FTFE'!$H$104:$H$139,A27),OR(ResearchInput[[#This Row],[Type]]="TSTC",ResearchInput[[#This Row],[Type]]="LSC"),SUMIFS('FTSE | FTFE'!$O$88:$O$96,'FTSE | FTFE'!$H$88:$H$96,A27),ResearchInput[[#This Row],[Type]]="AHM",SUMIFS(Hidden!$H$43:$H$46,Hidden!$G$42:$G$45,A27)),"N/A")</f>
        <v>N/A</v>
      </c>
      <c r="GP27" s="92" t="str" cm="1">
        <f t="array" ref="GP27">IFERROR(_xlfn.IFS(ResearchInput[[#This Row],[Type]]="HRI",SUMIFS('FTSE | FTFE'!$Q$8:$Q$77,'FTSE | FTFE'!$H$8:$H$77,A27),ResearchInput[[#This Row],[Type]]="UNIV",SUMIFS('FTSE | FTFE'!$Q$104:$Q$139,'FTSE | FTFE'!$H$104:$H$139,A27),OR(ResearchInput[[#This Row],[Type]]="TSTC",ResearchInput[[#This Row],[Type]]="LSC"),SUMIFS('FTSE | FTFE'!$P$88:$P$96,'FTSE | FTFE'!$H$88:$H$96,A27)),"N/A")</f>
        <v>N/A</v>
      </c>
      <c r="GQ27" s="92">
        <v>0</v>
      </c>
      <c r="GR27" s="92">
        <f>SUM(ResearchInput[[#This Row],[Fed.Comp]],ResearchInput[[#This Row],[Fed.Eng]],ResearchInput[[#This Row],[Fed.Geo]],ResearchInput[[#This Row],[Fed.Life]],ResearchInput[[#This Row],[Fed.Math]],ResearchInput[[#This Row],[Fed.Phys]],ResearchInput[[#This Row],[Fed.Psyc]],ResearchInput[[#This Row],[Fed.Soc]],ResearchInput[[#This Row],[Fed.Othr]],ResearchInput[[#This Row],[Fed.Non]])</f>
        <v>0</v>
      </c>
      <c r="GS27" s="92">
        <f>SUM(ResearchInput[[#This Row],[St.Comp]],ResearchInput[[#This Row],[St.Eng]],ResearchInput[[#This Row],[St.Geo]],ResearchInput[[#This Row],[St.Life]],ResearchInput[[#This Row],[St.Math]],ResearchInput[[#This Row],[St.Phys]],ResearchInput[[#This Row],[St.Psyc]],ResearchInput[[#This Row],[St.Soc]],ResearchInput[[#This Row],[St.Othr]],ResearchInput[[#This Row],[St.Non]])</f>
        <v>0</v>
      </c>
      <c r="GT27" s="92">
        <f>SUM(ResearchInput[[#This Row],[St.C&amp;G.Comp]],ResearchInput[[#This Row],[St.C&amp;G.Eng]],ResearchInput[[#This Row],[St.C&amp;G.Geo]],ResearchInput[[#This Row],[St.C&amp;G.Life]],ResearchInput[[#This Row],[St.C&amp;G.Math]],ResearchInput[[#This Row],[St.C&amp;G.Phys]],ResearchInput[[#This Row],[St.C&amp;G.Psyc]],ResearchInput[[#This Row],[St.C&amp;G.Soc]],ResearchInput[[#This Row],[St.C&amp;G.Othr]],ResearchInput[[#This Row],[St.C&amp;G.Non]])</f>
        <v>0</v>
      </c>
      <c r="GU27" s="92">
        <f>SUM(ResearchInput[[#This Row],[St.All.Comp]],ResearchInput[[#This Row],[St.All.Eng]],ResearchInput[[#This Row],[St.All.Geo]],ResearchInput[[#This Row],[St.All.Life]],ResearchInput[[#This Row],[St.All.Math]],ResearchInput[[#This Row],[St.All.Phys]],ResearchInput[[#This Row],[St.All.Psyc]],ResearchInput[[#This Row],[St.All.Soc]],ResearchInput[[#This Row],[St.All.Othr]],ResearchInput[[#This Row],[St.All.Non]])</f>
        <v>0</v>
      </c>
      <c r="GV27" s="92">
        <f>SUM(ResearchInput[[#This Row],[Inst.Comp]],ResearchInput[[#This Row],[Inst.Eng]],ResearchInput[[#This Row],[Inst.Geo]],ResearchInput[[#This Row],[Inst.Life]],ResearchInput[[#This Row],[Inst.Math]],ResearchInput[[#This Row],[Inst.Phys]],ResearchInput[[#This Row],[Inst.Psyc]],ResearchInput[[#This Row],[Inst.Soc]],ResearchInput[[#This Row],[Inst.Othr]],ResearchInput[[#This Row],[Inst.Non]])</f>
        <v>0</v>
      </c>
      <c r="GW27" s="92">
        <f>SUM(ResearchInput[[#This Row],[P4P.Comp]],ResearchInput[[#This Row],[P4P.Eng]],ResearchInput[[#This Row],[P4P.Geo]],ResearchInput[[#This Row],[P4P.Life]],ResearchInput[[#This Row],[P4P.Math]],ResearchInput[[#This Row],[P4P.Phys]],ResearchInput[[#This Row],[P4P.Psyc]],ResearchInput[[#This Row],[P4P.Soc]],ResearchInput[[#This Row],[P4P.Othr]],ResearchInput[[#This Row],[P4P.Non]])</f>
        <v>0</v>
      </c>
      <c r="GX27" s="92">
        <f>SUM(ResearchInput[[#This Row],[PNP.Comp]],ResearchInput[[#This Row],[PNP.Eng]],ResearchInput[[#This Row],[PNP.Geo]],ResearchInput[[#This Row],[PNP.Life]],ResearchInput[[#This Row],[PNP.Math]],ResearchInput[[#This Row],[PNP.Phys]],ResearchInput[[#This Row],[PNP.Psyc]],ResearchInput[[#This Row],[PNP.Soc]],ResearchInput[[#This Row],[PNP.Othr]],ResearchInput[[#This Row],[PNP.Non]])</f>
        <v>0</v>
      </c>
      <c r="GY27" s="92">
        <f>SUM(ResearchInput[[#This Row],[P.All.Comp]],ResearchInput[[#This Row],[P.All.Eng]],ResearchInput[[#This Row],[P.All.Geo]],ResearchInput[[#This Row],[P.All.Life]],ResearchInput[[#This Row],[P.All.Math]],ResearchInput[[#This Row],[P.All.Phys]],ResearchInput[[#This Row],[P.All.Psyc]],ResearchInput[[#This Row],[P.All.Soc]],ResearchInput[[#This Row],[P.All.Othr]],ResearchInput[[#This Row],[P.All.Non]])</f>
        <v>0</v>
      </c>
    </row>
    <row r="28" spans="1:207" s="47" customFormat="1" ht="27" customHeight="1" x14ac:dyDescent="0.25">
      <c r="A28" s="34" t="s">
        <v>347</v>
      </c>
      <c r="B28" s="34" t="s">
        <v>678</v>
      </c>
      <c r="C28" s="35" t="s">
        <v>687</v>
      </c>
      <c r="D28" s="35" t="s">
        <v>679</v>
      </c>
      <c r="E28" s="94">
        <v>301</v>
      </c>
      <c r="F28" s="91" t="s">
        <v>716</v>
      </c>
      <c r="G28" s="35" t="s">
        <v>553</v>
      </c>
      <c r="H28" s="96">
        <v>3652</v>
      </c>
      <c r="I28" s="92">
        <v>140072376</v>
      </c>
      <c r="J28" s="92">
        <v>18561024</v>
      </c>
      <c r="K28" s="92">
        <v>5226127</v>
      </c>
      <c r="L28" s="92">
        <v>119830</v>
      </c>
      <c r="M28" s="92">
        <v>13714087</v>
      </c>
      <c r="N28" s="92">
        <v>6890846</v>
      </c>
      <c r="O28" s="92">
        <v>10088421</v>
      </c>
      <c r="P28" s="92">
        <v>6295330</v>
      </c>
      <c r="Q28" s="92">
        <v>-60452429</v>
      </c>
      <c r="R28" s="92">
        <v>-7515013</v>
      </c>
      <c r="S28" s="92">
        <v>-653479</v>
      </c>
      <c r="T28" s="92">
        <v>-78973</v>
      </c>
      <c r="U28" s="92">
        <v>19312174</v>
      </c>
      <c r="V28" s="92">
        <v>-1355123</v>
      </c>
      <c r="W28" s="92">
        <v>-1284454</v>
      </c>
      <c r="X28" s="92">
        <v>-591214</v>
      </c>
      <c r="Y28" s="92">
        <v>-4734667</v>
      </c>
      <c r="Z28" s="92">
        <v>0</v>
      </c>
      <c r="AA28" s="92">
        <v>-26629</v>
      </c>
      <c r="AB28" s="92">
        <v>0</v>
      </c>
      <c r="AC28" s="92">
        <v>0</v>
      </c>
      <c r="AD28" s="92">
        <v>0</v>
      </c>
      <c r="AE28" s="92">
        <v>-136907</v>
      </c>
      <c r="AF28" s="92">
        <v>0</v>
      </c>
      <c r="AG28" s="92">
        <v>33945261</v>
      </c>
      <c r="AH28" s="92">
        <v>0</v>
      </c>
      <c r="AI28" s="92">
        <v>212248</v>
      </c>
      <c r="AJ28" s="92">
        <v>29449</v>
      </c>
      <c r="AK28" s="92">
        <v>0</v>
      </c>
      <c r="AL28" s="92">
        <v>1233699</v>
      </c>
      <c r="AM28" s="92">
        <v>659675</v>
      </c>
      <c r="AN28" s="92">
        <v>392905</v>
      </c>
      <c r="AO28" s="92">
        <v>2173260</v>
      </c>
      <c r="AP28" s="92">
        <v>7408140</v>
      </c>
      <c r="AQ28" s="92">
        <v>89110</v>
      </c>
      <c r="AR28" s="92">
        <v>0</v>
      </c>
      <c r="AS28" s="92">
        <v>3732518</v>
      </c>
      <c r="AT28" s="92">
        <v>74144</v>
      </c>
      <c r="AU28" s="92">
        <v>525289</v>
      </c>
      <c r="AV28" s="92">
        <v>49835</v>
      </c>
      <c r="AW28" s="92">
        <v>0</v>
      </c>
      <c r="AX28" s="92">
        <v>0</v>
      </c>
      <c r="AY28" s="92">
        <v>0</v>
      </c>
      <c r="AZ28" s="92">
        <v>0</v>
      </c>
      <c r="BA28" s="92">
        <v>0</v>
      </c>
      <c r="BB28" s="92">
        <v>0</v>
      </c>
      <c r="BC28" s="92">
        <v>0</v>
      </c>
      <c r="BD28" s="92">
        <v>0</v>
      </c>
      <c r="BE28" s="92">
        <v>30548678</v>
      </c>
      <c r="BF28" s="92">
        <v>0</v>
      </c>
      <c r="BG28" s="92">
        <v>1027998</v>
      </c>
      <c r="BH28" s="92">
        <v>49524</v>
      </c>
      <c r="BI28" s="92">
        <v>0</v>
      </c>
      <c r="BJ28" s="92">
        <v>414371</v>
      </c>
      <c r="BK28" s="92">
        <v>1038528</v>
      </c>
      <c r="BL28" s="92">
        <v>195309</v>
      </c>
      <c r="BM28" s="92">
        <v>-14382213</v>
      </c>
      <c r="BN28" s="92">
        <v>0</v>
      </c>
      <c r="BO28" s="92">
        <v>-457633</v>
      </c>
      <c r="BP28" s="92">
        <v>0</v>
      </c>
      <c r="BQ28" s="92">
        <v>0</v>
      </c>
      <c r="BR28" s="92">
        <v>-292947</v>
      </c>
      <c r="BS28" s="92">
        <v>-276841</v>
      </c>
      <c r="BT28" s="92">
        <v>0</v>
      </c>
      <c r="BU28" s="92">
        <v>7977878</v>
      </c>
      <c r="BV28" s="92">
        <v>1719095</v>
      </c>
      <c r="BW28" s="92">
        <v>38167</v>
      </c>
      <c r="BX28" s="92">
        <v>0</v>
      </c>
      <c r="BY28" s="92">
        <v>898327</v>
      </c>
      <c r="BZ28" s="92">
        <v>146985</v>
      </c>
      <c r="CA28" s="92">
        <v>116965</v>
      </c>
      <c r="CB28" s="92">
        <v>567935</v>
      </c>
      <c r="CC28" s="92">
        <v>46361844</v>
      </c>
      <c r="CD28" s="92">
        <v>4545785</v>
      </c>
      <c r="CE28" s="92">
        <v>1337688</v>
      </c>
      <c r="CF28" s="92">
        <v>119830</v>
      </c>
      <c r="CG28" s="92">
        <v>9829125</v>
      </c>
      <c r="CH28" s="92">
        <v>3471899</v>
      </c>
      <c r="CI28" s="92">
        <v>2793196</v>
      </c>
      <c r="CJ28" s="92">
        <v>1637512</v>
      </c>
      <c r="CK28" s="92">
        <v>2859266</v>
      </c>
      <c r="CL28" s="92">
        <v>115472</v>
      </c>
      <c r="CM28" s="92">
        <v>1112320</v>
      </c>
      <c r="CN28" s="92">
        <v>0</v>
      </c>
      <c r="CO28" s="92">
        <v>1283490</v>
      </c>
      <c r="CP28" s="92">
        <v>696184</v>
      </c>
      <c r="CQ28" s="92">
        <v>127228</v>
      </c>
      <c r="CR28" s="92">
        <v>636747</v>
      </c>
      <c r="CS28" s="92">
        <v>38096316</v>
      </c>
      <c r="CT28" s="92">
        <v>4057560</v>
      </c>
      <c r="CU28" s="92">
        <v>1298820</v>
      </c>
      <c r="CV28" s="92">
        <v>0</v>
      </c>
      <c r="CW28" s="92">
        <v>7916578</v>
      </c>
      <c r="CX28" s="92">
        <v>550458</v>
      </c>
      <c r="CY28" s="92">
        <v>1865942</v>
      </c>
      <c r="CZ28" s="92">
        <v>515995</v>
      </c>
      <c r="DA28" s="92">
        <v>3121523</v>
      </c>
      <c r="DB28" s="92">
        <v>89677</v>
      </c>
      <c r="DC28" s="92">
        <v>7949</v>
      </c>
      <c r="DD28" s="92">
        <v>0</v>
      </c>
      <c r="DE28" s="92">
        <v>792354</v>
      </c>
      <c r="DF28" s="92">
        <v>0</v>
      </c>
      <c r="DG28" s="92">
        <v>449796</v>
      </c>
      <c r="DH28" s="92">
        <v>15346</v>
      </c>
      <c r="DI28" s="92">
        <v>16516338</v>
      </c>
      <c r="DJ28" s="92">
        <v>4331477</v>
      </c>
      <c r="DK28" s="92">
        <v>592097</v>
      </c>
      <c r="DL28" s="92">
        <v>0</v>
      </c>
      <c r="DM28" s="92">
        <v>5774424</v>
      </c>
      <c r="DN28" s="92">
        <v>797616</v>
      </c>
      <c r="DO28" s="92">
        <v>3273503</v>
      </c>
      <c r="DP28" s="92">
        <v>1497118</v>
      </c>
      <c r="DQ28" s="92">
        <v>7928743</v>
      </c>
      <c r="DR28" s="92">
        <v>587124</v>
      </c>
      <c r="DS28" s="92">
        <v>488981</v>
      </c>
      <c r="DT28" s="92">
        <v>0</v>
      </c>
      <c r="DU28" s="92">
        <v>912003</v>
      </c>
      <c r="DV28" s="92">
        <v>12064</v>
      </c>
      <c r="DW28" s="92">
        <v>156950</v>
      </c>
      <c r="DX28" s="92">
        <v>1580</v>
      </c>
      <c r="DY28" s="92">
        <v>2550421</v>
      </c>
      <c r="DZ28" s="92">
        <v>934775</v>
      </c>
      <c r="EA28" s="92">
        <v>236194</v>
      </c>
      <c r="EB28" s="92">
        <v>0</v>
      </c>
      <c r="EC28" s="92">
        <v>3884880</v>
      </c>
      <c r="ED28" s="92">
        <v>1289784</v>
      </c>
      <c r="EE28" s="92">
        <v>788783</v>
      </c>
      <c r="EF28" s="92">
        <v>277876</v>
      </c>
      <c r="EG28" s="92">
        <v>0</v>
      </c>
      <c r="EH28" s="92">
        <v>0</v>
      </c>
      <c r="EI28" s="92">
        <v>0</v>
      </c>
      <c r="EJ28" s="92">
        <v>0</v>
      </c>
      <c r="EK28" s="92">
        <v>0</v>
      </c>
      <c r="EL28" s="92">
        <v>0</v>
      </c>
      <c r="EM28" s="92">
        <v>0</v>
      </c>
      <c r="EN28" s="92">
        <v>0</v>
      </c>
      <c r="EO28" s="92">
        <v>1757937</v>
      </c>
      <c r="EP28" s="92">
        <v>2073186</v>
      </c>
      <c r="EQ28" s="92">
        <v>305526</v>
      </c>
      <c r="ER28" s="92">
        <v>0</v>
      </c>
      <c r="ES28" s="92">
        <v>5467598</v>
      </c>
      <c r="ET28" s="92">
        <v>0</v>
      </c>
      <c r="EU28" s="92">
        <v>1041348</v>
      </c>
      <c r="EV28" s="92">
        <v>1192056</v>
      </c>
      <c r="EW28" s="92">
        <v>19335286</v>
      </c>
      <c r="EX28" s="92">
        <v>3055588</v>
      </c>
      <c r="EY28" s="92">
        <v>1205471</v>
      </c>
      <c r="EZ28" s="92">
        <v>0</v>
      </c>
      <c r="FA28" s="92">
        <v>5072027</v>
      </c>
      <c r="FB28" s="92">
        <v>542253</v>
      </c>
      <c r="FC28" s="92">
        <v>1508385</v>
      </c>
      <c r="FD28" s="92">
        <v>402408</v>
      </c>
      <c r="FE28" s="92">
        <v>6124416</v>
      </c>
      <c r="FF28" s="92">
        <v>0</v>
      </c>
      <c r="FG28" s="92">
        <v>0</v>
      </c>
      <c r="FH28" s="92">
        <v>0</v>
      </c>
      <c r="FI28" s="92">
        <v>0</v>
      </c>
      <c r="FJ28" s="92">
        <v>0</v>
      </c>
      <c r="FK28" s="92">
        <v>0</v>
      </c>
      <c r="FL28" s="92">
        <v>0</v>
      </c>
      <c r="FM28" s="92">
        <v>0</v>
      </c>
      <c r="FN28" s="92">
        <v>0</v>
      </c>
      <c r="FO28" s="92">
        <v>0</v>
      </c>
      <c r="FP28" s="92">
        <v>0</v>
      </c>
      <c r="FQ28" s="92">
        <v>0</v>
      </c>
      <c r="FR28" s="92">
        <v>0</v>
      </c>
      <c r="FS28" s="92">
        <v>0</v>
      </c>
      <c r="FT28" s="92">
        <v>0</v>
      </c>
      <c r="FU28" s="92">
        <v>0</v>
      </c>
      <c r="FV28" s="92">
        <v>0</v>
      </c>
      <c r="FW28" s="92">
        <v>0</v>
      </c>
      <c r="FX28" s="92">
        <v>0</v>
      </c>
      <c r="FY28" s="92">
        <v>0</v>
      </c>
      <c r="FZ28" s="92">
        <v>0</v>
      </c>
      <c r="GA28" s="92">
        <v>0</v>
      </c>
      <c r="GB28" s="92">
        <v>0</v>
      </c>
      <c r="GC28" s="92">
        <v>0</v>
      </c>
      <c r="GD28" s="92">
        <v>200968041</v>
      </c>
      <c r="GE28" s="92">
        <v>211248046</v>
      </c>
      <c r="GF28" s="92">
        <v>1195819099</v>
      </c>
      <c r="GG28" s="47" t="s">
        <v>348</v>
      </c>
      <c r="GH28" s="47" t="s">
        <v>349</v>
      </c>
      <c r="GI28" s="93">
        <v>7137438188</v>
      </c>
      <c r="GJ28" s="47" t="s">
        <v>350</v>
      </c>
      <c r="GK28" s="47" t="s">
        <v>351</v>
      </c>
      <c r="GL28" s="47" t="s">
        <v>352</v>
      </c>
      <c r="GM28" s="93">
        <v>7137431533</v>
      </c>
      <c r="GN28" s="47" t="s">
        <v>353</v>
      </c>
      <c r="GO28" s="92" cm="1">
        <f t="array" ref="GO28">IFERROR(_xlfn.IFS(ResearchInput[[#This Row],[Type]]="HRI",SUMIFS('FTSE | FTFE'!$P$8:$P$77,'FTSE | FTFE'!$H$8:$H$77,A28),ResearchInput[[#This Row],[Type]]="UNIV",SUMIFS('FTSE | FTFE'!$P$104:$P$139,'FTSE | FTFE'!$H$104:$H$139,A28),OR(ResearchInput[[#This Row],[Type]]="TSTC",ResearchInput[[#This Row],[Type]]="LSC"),SUMIFS('FTSE | FTFE'!$O$88:$O$96,'FTSE | FTFE'!$H$88:$H$96,A28),ResearchInput[[#This Row],[Type]]="AHM",SUMIFS(Hidden!$H$43:$H$46,Hidden!$G$42:$G$45,A28)),"N/A")</f>
        <v>0</v>
      </c>
      <c r="GP28" s="92" t="str" cm="1">
        <f t="array" ref="GP28">IFERROR(_xlfn.IFS(ResearchInput[[#This Row],[Type]]="HRI",SUMIFS('FTSE | FTFE'!$Q$8:$Q$77,'FTSE | FTFE'!$H$8:$H$77,A28),ResearchInput[[#This Row],[Type]]="UNIV",SUMIFS('FTSE | FTFE'!$Q$104:$Q$139,'FTSE | FTFE'!$H$104:$H$139,A28),OR(ResearchInput[[#This Row],[Type]]="TSTC",ResearchInput[[#This Row],[Type]]="LSC"),SUMIFS('FTSE | FTFE'!$P$88:$P$96,'FTSE | FTFE'!$H$88:$H$96,A28)),"N/A")</f>
        <v>N/A</v>
      </c>
      <c r="GQ28" s="92">
        <v>0</v>
      </c>
      <c r="GR28" s="92">
        <f>SUM(ResearchInput[[#This Row],[Fed.Comp]],ResearchInput[[#This Row],[Fed.Eng]],ResearchInput[[#This Row],[Fed.Geo]],ResearchInput[[#This Row],[Fed.Life]],ResearchInput[[#This Row],[Fed.Math]],ResearchInput[[#This Row],[Fed.Phys]],ResearchInput[[#This Row],[Fed.Psyc]],ResearchInput[[#This Row],[Fed.Soc]],ResearchInput[[#This Row],[Fed.Othr]],ResearchInput[[#This Row],[Fed.Non]])</f>
        <v>127170266</v>
      </c>
      <c r="GS28" s="92">
        <f>SUM(ResearchInput[[#This Row],[St.Comp]],ResearchInput[[#This Row],[St.Eng]],ResearchInput[[#This Row],[St.Geo]],ResearchInput[[#This Row],[St.Life]],ResearchInput[[#This Row],[St.Math]],ResearchInput[[#This Row],[St.Phys]],ResearchInput[[#This Row],[St.Psyc]],ResearchInput[[#This Row],[St.Soc]],ResearchInput[[#This Row],[St.Othr]],ResearchInput[[#This Row],[St.Non]])</f>
        <v>18454151</v>
      </c>
      <c r="GT28" s="92">
        <f>SUM(ResearchInput[[#This Row],[St.C&amp;G.Comp]],ResearchInput[[#This Row],[St.C&amp;G.Eng]],ResearchInput[[#This Row],[St.C&amp;G.Geo]],ResearchInput[[#This Row],[St.C&amp;G.Life]],ResearchInput[[#This Row],[St.C&amp;G.Math]],ResearchInput[[#This Row],[St.C&amp;G.Phys]],ResearchInput[[#This Row],[St.C&amp;G.Psyc]],ResearchInput[[#This Row],[St.C&amp;G.Soc]],ResearchInput[[#This Row],[St.C&amp;G.Othr]],ResearchInput[[#This Row],[St.C&amp;G.Non]])</f>
        <v>5417742</v>
      </c>
      <c r="GU28" s="92">
        <f>SUM(ResearchInput[[#This Row],[St.All.Comp]],ResearchInput[[#This Row],[St.All.Eng]],ResearchInput[[#This Row],[St.All.Geo]],ResearchInput[[#This Row],[St.All.Life]],ResearchInput[[#This Row],[St.All.Math]],ResearchInput[[#This Row],[St.All.Phys]],ResearchInput[[#This Row],[St.All.Psyc]],ResearchInput[[#This Row],[St.All.Soc]],ResearchInput[[#This Row],[St.All.Othr]],ResearchInput[[#This Row],[St.All.Non]])</f>
        <v>119830</v>
      </c>
      <c r="GV28" s="92">
        <f>SUM(ResearchInput[[#This Row],[Inst.Comp]],ResearchInput[[#This Row],[Inst.Eng]],ResearchInput[[#This Row],[Inst.Geo]],ResearchInput[[#This Row],[Inst.Life]],ResearchInput[[#This Row],[Inst.Math]],ResearchInput[[#This Row],[Inst.Phys]],ResearchInput[[#This Row],[Inst.Psyc]],ResearchInput[[#This Row],[Inst.Soc]],ResearchInput[[#This Row],[Inst.Othr]],ResearchInput[[#This Row],[Inst.Non]])</f>
        <v>36758779</v>
      </c>
      <c r="GW28" s="92">
        <f>SUM(ResearchInput[[#This Row],[P4P.Comp]],ResearchInput[[#This Row],[P4P.Eng]],ResearchInput[[#This Row],[P4P.Geo]],ResearchInput[[#This Row],[P4P.Life]],ResearchInput[[#This Row],[P4P.Math]],ResearchInput[[#This Row],[P4P.Phys]],ResearchInput[[#This Row],[P4P.Psyc]],ResearchInput[[#This Row],[P4P.Soc]],ResearchInput[[#This Row],[P4P.Othr]],ResearchInput[[#This Row],[P4P.Non]])</f>
        <v>6964990</v>
      </c>
      <c r="GX28" s="92">
        <f>SUM(ResearchInput[[#This Row],[PNP.Comp]],ResearchInput[[#This Row],[PNP.Eng]],ResearchInput[[#This Row],[PNP.Geo]],ResearchInput[[#This Row],[PNP.Life]],ResearchInput[[#This Row],[PNP.Math]],ResearchInput[[#This Row],[PNP.Phys]],ResearchInput[[#This Row],[PNP.Psyc]],ResearchInput[[#This Row],[PNP.Soc]],ResearchInput[[#This Row],[PNP.Othr]],ResearchInput[[#This Row],[PNP.Non]])</f>
        <v>10613711</v>
      </c>
      <c r="GY28" s="92">
        <f>SUM(ResearchInput[[#This Row],[P.All.Comp]],ResearchInput[[#This Row],[P.All.Eng]],ResearchInput[[#This Row],[P.All.Geo]],ResearchInput[[#This Row],[P.All.Life]],ResearchInput[[#This Row],[P.All.Math]],ResearchInput[[#This Row],[P.All.Phys]],ResearchInput[[#This Row],[P.All.Psyc]],ResearchInput[[#This Row],[P.All.Soc]],ResearchInput[[#This Row],[P.All.Othr]],ResearchInput[[#This Row],[P.All.Non]])</f>
        <v>6342165</v>
      </c>
    </row>
    <row r="29" spans="1:207" s="47" customFormat="1" ht="27" customHeight="1" x14ac:dyDescent="0.25">
      <c r="A29" s="34" t="s">
        <v>184</v>
      </c>
      <c r="B29" s="34" t="s">
        <v>671</v>
      </c>
      <c r="C29" s="35" t="s">
        <v>553</v>
      </c>
      <c r="D29" s="35" t="s">
        <v>673</v>
      </c>
      <c r="E29" s="94">
        <v>302</v>
      </c>
      <c r="F29" s="91" t="s">
        <v>716</v>
      </c>
      <c r="G29" s="35" t="s">
        <v>694</v>
      </c>
      <c r="H29" s="96">
        <v>3652</v>
      </c>
      <c r="I29" s="92">
        <v>139313484</v>
      </c>
      <c r="J29" s="92">
        <v>18354566</v>
      </c>
      <c r="K29" s="92">
        <v>4593352</v>
      </c>
      <c r="L29" s="92">
        <v>119830</v>
      </c>
      <c r="M29" s="92">
        <v>13645112</v>
      </c>
      <c r="N29" s="92">
        <v>6890846</v>
      </c>
      <c r="O29" s="92">
        <v>9447224</v>
      </c>
      <c r="P29" s="92">
        <v>6176037</v>
      </c>
      <c r="Q29" s="92">
        <v>-59989238</v>
      </c>
      <c r="R29" s="92">
        <v>-7515013</v>
      </c>
      <c r="S29" s="92">
        <v>-653479</v>
      </c>
      <c r="T29" s="92">
        <v>-78973</v>
      </c>
      <c r="U29" s="92">
        <v>19312174</v>
      </c>
      <c r="V29" s="92">
        <v>-1355123</v>
      </c>
      <c r="W29" s="92">
        <v>-1094087</v>
      </c>
      <c r="X29" s="92">
        <v>-591214</v>
      </c>
      <c r="Y29" s="92">
        <v>-4685083</v>
      </c>
      <c r="Z29" s="92">
        <v>0</v>
      </c>
      <c r="AA29" s="92">
        <v>-26629</v>
      </c>
      <c r="AB29" s="92">
        <v>0</v>
      </c>
      <c r="AC29" s="92">
        <v>0</v>
      </c>
      <c r="AD29" s="92">
        <v>0</v>
      </c>
      <c r="AE29" s="92">
        <v>-136907</v>
      </c>
      <c r="AF29" s="92">
        <v>0</v>
      </c>
      <c r="AG29" s="92">
        <v>33804631</v>
      </c>
      <c r="AH29" s="92">
        <v>0</v>
      </c>
      <c r="AI29" s="92">
        <v>212248</v>
      </c>
      <c r="AJ29" s="92">
        <v>29449</v>
      </c>
      <c r="AK29" s="92">
        <v>0</v>
      </c>
      <c r="AL29" s="92">
        <v>1233699</v>
      </c>
      <c r="AM29" s="92">
        <v>469308</v>
      </c>
      <c r="AN29" s="92">
        <v>392905</v>
      </c>
      <c r="AO29" s="92">
        <v>2173260</v>
      </c>
      <c r="AP29" s="92">
        <v>7408140</v>
      </c>
      <c r="AQ29" s="92">
        <v>89110</v>
      </c>
      <c r="AR29" s="92">
        <v>0</v>
      </c>
      <c r="AS29" s="92">
        <v>3732518</v>
      </c>
      <c r="AT29" s="92">
        <v>74144</v>
      </c>
      <c r="AU29" s="92">
        <v>525289</v>
      </c>
      <c r="AV29" s="92">
        <v>49835</v>
      </c>
      <c r="AW29" s="92">
        <v>0</v>
      </c>
      <c r="AX29" s="92">
        <v>0</v>
      </c>
      <c r="AY29" s="92">
        <v>0</v>
      </c>
      <c r="AZ29" s="92">
        <v>0</v>
      </c>
      <c r="BA29" s="92">
        <v>0</v>
      </c>
      <c r="BB29" s="92">
        <v>0</v>
      </c>
      <c r="BC29" s="92">
        <v>0</v>
      </c>
      <c r="BD29" s="92">
        <v>0</v>
      </c>
      <c r="BE29" s="92">
        <v>30104713</v>
      </c>
      <c r="BF29" s="92">
        <v>0</v>
      </c>
      <c r="BG29" s="92">
        <v>1027998</v>
      </c>
      <c r="BH29" s="92">
        <v>49524</v>
      </c>
      <c r="BI29" s="92">
        <v>0</v>
      </c>
      <c r="BJ29" s="92">
        <v>414371</v>
      </c>
      <c r="BK29" s="92">
        <v>1038528</v>
      </c>
      <c r="BL29" s="92">
        <v>195309</v>
      </c>
      <c r="BM29" s="92">
        <v>-14310393</v>
      </c>
      <c r="BN29" s="92">
        <v>0</v>
      </c>
      <c r="BO29" s="92">
        <v>-457633</v>
      </c>
      <c r="BP29" s="92">
        <v>0</v>
      </c>
      <c r="BQ29" s="92">
        <v>0</v>
      </c>
      <c r="BR29" s="92">
        <v>-292947</v>
      </c>
      <c r="BS29" s="92">
        <v>-276841</v>
      </c>
      <c r="BT29" s="92">
        <v>0</v>
      </c>
      <c r="BU29" s="92">
        <v>7977878</v>
      </c>
      <c r="BV29" s="92">
        <v>1719095</v>
      </c>
      <c r="BW29" s="92">
        <v>38167</v>
      </c>
      <c r="BX29" s="92">
        <v>0</v>
      </c>
      <c r="BY29" s="92">
        <v>898327</v>
      </c>
      <c r="BZ29" s="92">
        <v>146985</v>
      </c>
      <c r="CA29" s="92">
        <v>116965</v>
      </c>
      <c r="CB29" s="92">
        <v>567935</v>
      </c>
      <c r="CC29" s="92">
        <v>46361844</v>
      </c>
      <c r="CD29" s="92">
        <v>4545785</v>
      </c>
      <c r="CE29" s="92">
        <v>1337688</v>
      </c>
      <c r="CF29" s="92">
        <v>119830</v>
      </c>
      <c r="CG29" s="92">
        <v>9829125</v>
      </c>
      <c r="CH29" s="92">
        <v>3471899</v>
      </c>
      <c r="CI29" s="92">
        <v>2793196</v>
      </c>
      <c r="CJ29" s="92">
        <v>1637512</v>
      </c>
      <c r="CK29" s="92">
        <v>2859266</v>
      </c>
      <c r="CL29" s="92">
        <v>115472</v>
      </c>
      <c r="CM29" s="92">
        <v>1112320</v>
      </c>
      <c r="CN29" s="92">
        <v>0</v>
      </c>
      <c r="CO29" s="92">
        <v>1283490</v>
      </c>
      <c r="CP29" s="92">
        <v>696184</v>
      </c>
      <c r="CQ29" s="92">
        <v>127228</v>
      </c>
      <c r="CR29" s="92">
        <v>636747</v>
      </c>
      <c r="CS29" s="92">
        <v>37337424</v>
      </c>
      <c r="CT29" s="92">
        <v>3851102</v>
      </c>
      <c r="CU29" s="92">
        <v>666045</v>
      </c>
      <c r="CV29" s="92">
        <v>0</v>
      </c>
      <c r="CW29" s="92">
        <v>7847603</v>
      </c>
      <c r="CX29" s="92">
        <v>550458</v>
      </c>
      <c r="CY29" s="92">
        <v>1224745</v>
      </c>
      <c r="CZ29" s="92">
        <v>396702</v>
      </c>
      <c r="DA29" s="92">
        <v>3121523</v>
      </c>
      <c r="DB29" s="92">
        <v>89677</v>
      </c>
      <c r="DC29" s="92">
        <v>7949</v>
      </c>
      <c r="DD29" s="92">
        <v>0</v>
      </c>
      <c r="DE29" s="92">
        <v>792354</v>
      </c>
      <c r="DF29" s="92">
        <v>0</v>
      </c>
      <c r="DG29" s="92">
        <v>449796</v>
      </c>
      <c r="DH29" s="92">
        <v>15346</v>
      </c>
      <c r="DI29" s="92">
        <v>16516338</v>
      </c>
      <c r="DJ29" s="92">
        <v>4331477</v>
      </c>
      <c r="DK29" s="92">
        <v>592097</v>
      </c>
      <c r="DL29" s="92">
        <v>0</v>
      </c>
      <c r="DM29" s="92">
        <v>5774424</v>
      </c>
      <c r="DN29" s="92">
        <v>797616</v>
      </c>
      <c r="DO29" s="92">
        <v>3273503</v>
      </c>
      <c r="DP29" s="92">
        <v>1497118</v>
      </c>
      <c r="DQ29" s="92">
        <v>7928743</v>
      </c>
      <c r="DR29" s="92">
        <v>587124</v>
      </c>
      <c r="DS29" s="92">
        <v>488981</v>
      </c>
      <c r="DT29" s="92">
        <v>0</v>
      </c>
      <c r="DU29" s="92">
        <v>912003</v>
      </c>
      <c r="DV29" s="92">
        <v>12064</v>
      </c>
      <c r="DW29" s="92">
        <v>156950</v>
      </c>
      <c r="DX29" s="92">
        <v>1580</v>
      </c>
      <c r="DY29" s="92">
        <v>2550421</v>
      </c>
      <c r="DZ29" s="92">
        <v>934775</v>
      </c>
      <c r="EA29" s="92">
        <v>236194</v>
      </c>
      <c r="EB29" s="92">
        <v>0</v>
      </c>
      <c r="EC29" s="92">
        <v>3884880</v>
      </c>
      <c r="ED29" s="92">
        <v>1289784</v>
      </c>
      <c r="EE29" s="92">
        <v>788783</v>
      </c>
      <c r="EF29" s="92">
        <v>277876</v>
      </c>
      <c r="EG29" s="92">
        <v>0</v>
      </c>
      <c r="EH29" s="92">
        <v>0</v>
      </c>
      <c r="EI29" s="92">
        <v>0</v>
      </c>
      <c r="EJ29" s="92">
        <v>0</v>
      </c>
      <c r="EK29" s="92">
        <v>0</v>
      </c>
      <c r="EL29" s="92">
        <v>0</v>
      </c>
      <c r="EM29" s="92">
        <v>0</v>
      </c>
      <c r="EN29" s="92">
        <v>0</v>
      </c>
      <c r="EO29" s="92">
        <v>1757937</v>
      </c>
      <c r="EP29" s="92">
        <v>2073186</v>
      </c>
      <c r="EQ29" s="92">
        <v>305526</v>
      </c>
      <c r="ER29" s="92">
        <v>0</v>
      </c>
      <c r="ES29" s="92">
        <v>5467598</v>
      </c>
      <c r="ET29" s="92">
        <v>0</v>
      </c>
      <c r="EU29" s="92">
        <v>1041348</v>
      </c>
      <c r="EV29" s="92">
        <v>1192056</v>
      </c>
      <c r="EW29" s="92">
        <v>18576394</v>
      </c>
      <c r="EX29" s="92">
        <v>2849130</v>
      </c>
      <c r="EY29" s="92">
        <v>572696</v>
      </c>
      <c r="EZ29" s="92">
        <v>0</v>
      </c>
      <c r="FA29" s="92">
        <v>5003052</v>
      </c>
      <c r="FB29" s="92">
        <v>542253</v>
      </c>
      <c r="FC29" s="92">
        <v>867188</v>
      </c>
      <c r="FD29" s="92">
        <v>283115</v>
      </c>
      <c r="FE29" s="92">
        <v>6124416</v>
      </c>
      <c r="FF29" s="92">
        <v>0</v>
      </c>
      <c r="FG29" s="92">
        <v>0</v>
      </c>
      <c r="FH29" s="92">
        <v>0</v>
      </c>
      <c r="FI29" s="92">
        <v>0</v>
      </c>
      <c r="FJ29" s="92">
        <v>0</v>
      </c>
      <c r="FK29" s="92">
        <v>0</v>
      </c>
      <c r="FL29" s="92">
        <v>0</v>
      </c>
      <c r="FM29" s="92">
        <v>0</v>
      </c>
      <c r="FN29" s="92">
        <v>0</v>
      </c>
      <c r="FO29" s="92">
        <v>0</v>
      </c>
      <c r="FP29" s="92">
        <v>0</v>
      </c>
      <c r="FQ29" s="92">
        <v>0</v>
      </c>
      <c r="FR29" s="92">
        <v>0</v>
      </c>
      <c r="FS29" s="92">
        <v>0</v>
      </c>
      <c r="FT29" s="92">
        <v>0</v>
      </c>
      <c r="FU29" s="92">
        <v>0</v>
      </c>
      <c r="FV29" s="92">
        <v>0</v>
      </c>
      <c r="FW29" s="92">
        <v>0</v>
      </c>
      <c r="FX29" s="92">
        <v>0</v>
      </c>
      <c r="FY29" s="92">
        <v>0</v>
      </c>
      <c r="FZ29" s="92">
        <v>0</v>
      </c>
      <c r="GA29" s="92">
        <v>0</v>
      </c>
      <c r="GB29" s="92">
        <v>0</v>
      </c>
      <c r="GC29" s="92">
        <v>0</v>
      </c>
      <c r="GD29" s="92">
        <v>198540451</v>
      </c>
      <c r="GE29" s="92">
        <v>208941861</v>
      </c>
      <c r="GF29" s="92">
        <v>1151340065</v>
      </c>
      <c r="GG29" s="47" t="s">
        <v>348</v>
      </c>
      <c r="GH29" s="47" t="s">
        <v>349</v>
      </c>
      <c r="GI29" s="93">
        <v>7137438188</v>
      </c>
      <c r="GJ29" s="47" t="s">
        <v>350</v>
      </c>
      <c r="GK29" s="47" t="s">
        <v>351</v>
      </c>
      <c r="GL29" s="47" t="s">
        <v>352</v>
      </c>
      <c r="GM29" s="93">
        <v>7137431533</v>
      </c>
      <c r="GN29" s="47" t="s">
        <v>353</v>
      </c>
      <c r="GO29" s="92" cm="1">
        <f t="array" ref="GO29">IFERROR(_xlfn.IFS(ResearchInput[[#This Row],[Type]]="HRI",SUMIFS('FTSE | FTFE'!$P$8:$P$77,'FTSE | FTFE'!$H$8:$H$77,A29),ResearchInput[[#This Row],[Type]]="UNIV",SUMIFS('FTSE | FTFE'!$P$104:$P$139,'FTSE | FTFE'!$H$104:$H$139,A29),OR(ResearchInput[[#This Row],[Type]]="TSTC",ResearchInput[[#This Row],[Type]]="LSC"),SUMIFS('FTSE | FTFE'!$O$88:$O$96,'FTSE | FTFE'!$H$88:$H$96,A29),ResearchInput[[#This Row],[Type]]="AHM",SUMIFS(Hidden!$H$43:$H$46,Hidden!$G$42:$G$45,A29)),"N/A")</f>
        <v>40598</v>
      </c>
      <c r="GP29" s="92" cm="1">
        <f t="array" ref="GP29">IFERROR(_xlfn.IFS(ResearchInput[[#This Row],[Type]]="HRI",SUMIFS('FTSE | FTFE'!$Q$8:$Q$77,'FTSE | FTFE'!$H$8:$H$77,A29),ResearchInput[[#This Row],[Type]]="UNIV",SUMIFS('FTSE | FTFE'!$Q$104:$Q$139,'FTSE | FTFE'!$H$104:$H$139,A29),OR(ResearchInput[[#This Row],[Type]]="TSTC",ResearchInput[[#This Row],[Type]]="LSC"),SUMIFS('FTSE | FTFE'!$P$88:$P$96,'FTSE | FTFE'!$H$88:$H$96,A29)),"N/A")</f>
        <v>956</v>
      </c>
      <c r="GQ29" s="92">
        <v>0</v>
      </c>
      <c r="GR29" s="92">
        <f>SUM(ResearchInput[[#This Row],[Fed.Comp]],ResearchInput[[#This Row],[Fed.Eng]],ResearchInput[[#This Row],[Fed.Geo]],ResearchInput[[#This Row],[Fed.Life]],ResearchInput[[#This Row],[Fed.Math]],ResearchInput[[#This Row],[Fed.Phys]],ResearchInput[[#This Row],[Fed.Psyc]],ResearchInput[[#This Row],[Fed.Soc]],ResearchInput[[#This Row],[Fed.Othr]],ResearchInput[[#This Row],[Fed.Non]])</f>
        <v>126411374</v>
      </c>
      <c r="GS29" s="92">
        <f>SUM(ResearchInput[[#This Row],[St.Comp]],ResearchInput[[#This Row],[St.Eng]],ResearchInput[[#This Row],[St.Geo]],ResearchInput[[#This Row],[St.Life]],ResearchInput[[#This Row],[St.Math]],ResearchInput[[#This Row],[St.Phys]],ResearchInput[[#This Row],[St.Psyc]],ResearchInput[[#This Row],[St.Soc]],ResearchInput[[#This Row],[St.Othr]],ResearchInput[[#This Row],[St.Non]])</f>
        <v>18247693</v>
      </c>
      <c r="GT29" s="92">
        <f>SUM(ResearchInput[[#This Row],[St.C&amp;G.Comp]],ResearchInput[[#This Row],[St.C&amp;G.Eng]],ResearchInput[[#This Row],[St.C&amp;G.Geo]],ResearchInput[[#This Row],[St.C&amp;G.Life]],ResearchInput[[#This Row],[St.C&amp;G.Math]],ResearchInput[[#This Row],[St.C&amp;G.Phys]],ResearchInput[[#This Row],[St.C&amp;G.Psyc]],ResearchInput[[#This Row],[St.C&amp;G.Soc]],ResearchInput[[#This Row],[St.C&amp;G.Othr]],ResearchInput[[#This Row],[St.C&amp;G.Non]])</f>
        <v>4784967</v>
      </c>
      <c r="GU29" s="92">
        <f>SUM(ResearchInput[[#This Row],[St.All.Comp]],ResearchInput[[#This Row],[St.All.Eng]],ResearchInput[[#This Row],[St.All.Geo]],ResearchInput[[#This Row],[St.All.Life]],ResearchInput[[#This Row],[St.All.Math]],ResearchInput[[#This Row],[St.All.Phys]],ResearchInput[[#This Row],[St.All.Psyc]],ResearchInput[[#This Row],[St.All.Soc]],ResearchInput[[#This Row],[St.All.Othr]],ResearchInput[[#This Row],[St.All.Non]])</f>
        <v>119830</v>
      </c>
      <c r="GV29" s="92">
        <f>SUM(ResearchInput[[#This Row],[Inst.Comp]],ResearchInput[[#This Row],[Inst.Eng]],ResearchInput[[#This Row],[Inst.Geo]],ResearchInput[[#This Row],[Inst.Life]],ResearchInput[[#This Row],[Inst.Math]],ResearchInput[[#This Row],[Inst.Phys]],ResearchInput[[#This Row],[Inst.Psyc]],ResearchInput[[#This Row],[Inst.Soc]],ResearchInput[[#This Row],[Inst.Othr]],ResearchInput[[#This Row],[Inst.Non]])</f>
        <v>36689804</v>
      </c>
      <c r="GW29" s="92">
        <f>SUM(ResearchInput[[#This Row],[P4P.Comp]],ResearchInput[[#This Row],[P4P.Eng]],ResearchInput[[#This Row],[P4P.Geo]],ResearchInput[[#This Row],[P4P.Life]],ResearchInput[[#This Row],[P4P.Math]],ResearchInput[[#This Row],[P4P.Phys]],ResearchInput[[#This Row],[P4P.Psyc]],ResearchInput[[#This Row],[P4P.Soc]],ResearchInput[[#This Row],[P4P.Othr]],ResearchInput[[#This Row],[P4P.Non]])</f>
        <v>6964990</v>
      </c>
      <c r="GX29" s="92">
        <f>SUM(ResearchInput[[#This Row],[PNP.Comp]],ResearchInput[[#This Row],[PNP.Eng]],ResearchInput[[#This Row],[PNP.Geo]],ResearchInput[[#This Row],[PNP.Life]],ResearchInput[[#This Row],[PNP.Math]],ResearchInput[[#This Row],[PNP.Phys]],ResearchInput[[#This Row],[PNP.Psyc]],ResearchInput[[#This Row],[PNP.Soc]],ResearchInput[[#This Row],[PNP.Othr]],ResearchInput[[#This Row],[PNP.Non]])</f>
        <v>9972514</v>
      </c>
      <c r="GY29" s="92">
        <f>SUM(ResearchInput[[#This Row],[P.All.Comp]],ResearchInput[[#This Row],[P.All.Eng]],ResearchInput[[#This Row],[P.All.Geo]],ResearchInput[[#This Row],[P.All.Life]],ResearchInput[[#This Row],[P.All.Math]],ResearchInput[[#This Row],[P.All.Phys]],ResearchInput[[#This Row],[P.All.Psyc]],ResearchInput[[#This Row],[P.All.Soc]],ResearchInput[[#This Row],[P.All.Othr]],ResearchInput[[#This Row],[P.All.Non]])</f>
        <v>6222872</v>
      </c>
    </row>
    <row r="30" spans="1:207" s="47" customFormat="1" ht="27" customHeight="1" x14ac:dyDescent="0.25">
      <c r="A30" s="34" t="s">
        <v>185</v>
      </c>
      <c r="B30" s="34" t="s">
        <v>671</v>
      </c>
      <c r="C30" s="35" t="s">
        <v>687</v>
      </c>
      <c r="D30" s="35" t="s">
        <v>673</v>
      </c>
      <c r="E30" s="94">
        <v>305</v>
      </c>
      <c r="F30" s="35" t="s">
        <v>714</v>
      </c>
      <c r="G30" s="35" t="s">
        <v>692</v>
      </c>
      <c r="H30" s="96">
        <v>11711</v>
      </c>
      <c r="I30" s="92">
        <v>1589778</v>
      </c>
      <c r="J30" s="92">
        <v>301767</v>
      </c>
      <c r="K30" s="92">
        <v>528299</v>
      </c>
      <c r="L30" s="92">
        <v>0</v>
      </c>
      <c r="M30" s="92">
        <v>-151380</v>
      </c>
      <c r="N30" s="92">
        <v>1340259</v>
      </c>
      <c r="O30" s="92">
        <v>263014</v>
      </c>
      <c r="P30" s="92">
        <v>0</v>
      </c>
      <c r="Q30" s="92">
        <v>-467467</v>
      </c>
      <c r="R30" s="92">
        <v>-52415</v>
      </c>
      <c r="S30" s="92">
        <v>-20422</v>
      </c>
      <c r="T30" s="92">
        <v>0</v>
      </c>
      <c r="U30" s="92">
        <v>0</v>
      </c>
      <c r="V30" s="92">
        <v>-154047</v>
      </c>
      <c r="W30" s="92">
        <v>-77314</v>
      </c>
      <c r="X30" s="92">
        <v>0</v>
      </c>
      <c r="Y30" s="92">
        <v>0</v>
      </c>
      <c r="Z30" s="92">
        <v>0</v>
      </c>
      <c r="AA30" s="92">
        <v>0</v>
      </c>
      <c r="AB30" s="92">
        <v>0</v>
      </c>
      <c r="AC30" s="92">
        <v>0</v>
      </c>
      <c r="AD30" s="92">
        <v>0</v>
      </c>
      <c r="AE30" s="92">
        <v>0</v>
      </c>
      <c r="AF30" s="92">
        <v>0</v>
      </c>
      <c r="AG30" s="92">
        <v>229619</v>
      </c>
      <c r="AH30" s="92">
        <v>52415</v>
      </c>
      <c r="AI30" s="92">
        <v>0</v>
      </c>
      <c r="AJ30" s="92">
        <v>0</v>
      </c>
      <c r="AK30" s="92">
        <v>0</v>
      </c>
      <c r="AL30" s="92">
        <v>154047</v>
      </c>
      <c r="AM30" s="92">
        <v>24214</v>
      </c>
      <c r="AN30" s="92">
        <v>0</v>
      </c>
      <c r="AO30" s="92">
        <v>237848</v>
      </c>
      <c r="AP30" s="92">
        <v>0</v>
      </c>
      <c r="AQ30" s="92">
        <v>20422</v>
      </c>
      <c r="AR30" s="92">
        <v>0</v>
      </c>
      <c r="AS30" s="92">
        <v>0</v>
      </c>
      <c r="AT30" s="92">
        <v>0</v>
      </c>
      <c r="AU30" s="92">
        <v>53100</v>
      </c>
      <c r="AV30" s="92">
        <v>0</v>
      </c>
      <c r="AW30" s="92">
        <v>0</v>
      </c>
      <c r="AX30" s="92">
        <v>0</v>
      </c>
      <c r="AY30" s="92">
        <v>0</v>
      </c>
      <c r="AZ30" s="92">
        <v>0</v>
      </c>
      <c r="BA30" s="92">
        <v>0</v>
      </c>
      <c r="BB30" s="92">
        <v>0</v>
      </c>
      <c r="BC30" s="92">
        <v>0</v>
      </c>
      <c r="BD30" s="92">
        <v>0</v>
      </c>
      <c r="BE30" s="92">
        <v>0</v>
      </c>
      <c r="BF30" s="92">
        <v>0</v>
      </c>
      <c r="BG30" s="92">
        <v>0</v>
      </c>
      <c r="BH30" s="92">
        <v>0</v>
      </c>
      <c r="BI30" s="92">
        <v>0</v>
      </c>
      <c r="BJ30" s="92">
        <v>0</v>
      </c>
      <c r="BK30" s="92">
        <v>0</v>
      </c>
      <c r="BL30" s="92">
        <v>0</v>
      </c>
      <c r="BM30" s="92">
        <v>0</v>
      </c>
      <c r="BN30" s="92">
        <v>0</v>
      </c>
      <c r="BO30" s="92">
        <v>0</v>
      </c>
      <c r="BP30" s="92">
        <v>0</v>
      </c>
      <c r="BQ30" s="92">
        <v>0</v>
      </c>
      <c r="BR30" s="92">
        <v>0</v>
      </c>
      <c r="BS30" s="92">
        <v>0</v>
      </c>
      <c r="BT30" s="92">
        <v>0</v>
      </c>
      <c r="BU30" s="92">
        <v>8818</v>
      </c>
      <c r="BV30" s="92">
        <v>0</v>
      </c>
      <c r="BW30" s="92">
        <v>0</v>
      </c>
      <c r="BX30" s="92">
        <v>0</v>
      </c>
      <c r="BY30" s="92">
        <v>0</v>
      </c>
      <c r="BZ30" s="92">
        <v>0</v>
      </c>
      <c r="CA30" s="92">
        <v>0</v>
      </c>
      <c r="CB30" s="92">
        <v>0</v>
      </c>
      <c r="CC30" s="92">
        <v>499118</v>
      </c>
      <c r="CD30" s="92">
        <v>0</v>
      </c>
      <c r="CE30" s="92">
        <v>192326</v>
      </c>
      <c r="CF30" s="92">
        <v>0</v>
      </c>
      <c r="CG30" s="92">
        <v>-183509</v>
      </c>
      <c r="CH30" s="92">
        <v>591117</v>
      </c>
      <c r="CI30" s="92">
        <v>0</v>
      </c>
      <c r="CJ30" s="92">
        <v>0</v>
      </c>
      <c r="CK30" s="92">
        <v>412490</v>
      </c>
      <c r="CL30" s="92">
        <v>20896</v>
      </c>
      <c r="CM30" s="92">
        <v>303852</v>
      </c>
      <c r="CN30" s="92">
        <v>0</v>
      </c>
      <c r="CO30" s="92">
        <v>-43599</v>
      </c>
      <c r="CP30" s="92">
        <v>0</v>
      </c>
      <c r="CQ30" s="92">
        <v>198830</v>
      </c>
      <c r="CR30" s="92">
        <v>0</v>
      </c>
      <c r="CS30" s="92">
        <v>148206</v>
      </c>
      <c r="CT30" s="92">
        <v>0</v>
      </c>
      <c r="CU30" s="92">
        <v>32121</v>
      </c>
      <c r="CV30" s="92">
        <v>0</v>
      </c>
      <c r="CW30" s="92">
        <v>-30491</v>
      </c>
      <c r="CX30" s="92">
        <v>9506</v>
      </c>
      <c r="CY30" s="92">
        <v>0</v>
      </c>
      <c r="CZ30" s="92">
        <v>0</v>
      </c>
      <c r="DA30" s="92">
        <v>0</v>
      </c>
      <c r="DB30" s="92">
        <v>0</v>
      </c>
      <c r="DC30" s="92">
        <v>0</v>
      </c>
      <c r="DD30" s="92">
        <v>0</v>
      </c>
      <c r="DE30" s="92">
        <v>0</v>
      </c>
      <c r="DF30" s="92">
        <v>0</v>
      </c>
      <c r="DG30" s="92">
        <v>5289</v>
      </c>
      <c r="DH30" s="92">
        <v>0</v>
      </c>
      <c r="DI30" s="92">
        <v>55105</v>
      </c>
      <c r="DJ30" s="92">
        <v>0</v>
      </c>
      <c r="DK30" s="92">
        <v>0</v>
      </c>
      <c r="DL30" s="92">
        <v>0</v>
      </c>
      <c r="DM30" s="92">
        <v>11058</v>
      </c>
      <c r="DN30" s="92">
        <v>80634</v>
      </c>
      <c r="DO30" s="92">
        <v>0</v>
      </c>
      <c r="DP30" s="92">
        <v>0</v>
      </c>
      <c r="DQ30" s="92">
        <v>118435</v>
      </c>
      <c r="DR30" s="92">
        <v>0</v>
      </c>
      <c r="DS30" s="92">
        <v>0</v>
      </c>
      <c r="DT30" s="92">
        <v>0</v>
      </c>
      <c r="DU30" s="92">
        <v>2925</v>
      </c>
      <c r="DV30" s="92">
        <v>0</v>
      </c>
      <c r="DW30" s="92">
        <v>0</v>
      </c>
      <c r="DX30" s="92">
        <v>0</v>
      </c>
      <c r="DY30" s="92">
        <v>19913</v>
      </c>
      <c r="DZ30" s="92">
        <v>0</v>
      </c>
      <c r="EA30" s="92">
        <v>0</v>
      </c>
      <c r="EB30" s="92">
        <v>0</v>
      </c>
      <c r="EC30" s="92">
        <v>14398</v>
      </c>
      <c r="ED30" s="92">
        <v>0</v>
      </c>
      <c r="EE30" s="92">
        <v>0</v>
      </c>
      <c r="EF30" s="92">
        <v>0</v>
      </c>
      <c r="EG30" s="92">
        <v>151697</v>
      </c>
      <c r="EH30" s="92">
        <v>0</v>
      </c>
      <c r="EI30" s="92">
        <v>0</v>
      </c>
      <c r="EJ30" s="92">
        <v>0</v>
      </c>
      <c r="EK30" s="92">
        <v>-30694</v>
      </c>
      <c r="EL30" s="92">
        <v>659002</v>
      </c>
      <c r="EM30" s="92">
        <v>58895</v>
      </c>
      <c r="EN30" s="92">
        <v>0</v>
      </c>
      <c r="EO30" s="92">
        <v>175996</v>
      </c>
      <c r="EP30" s="92">
        <v>280871</v>
      </c>
      <c r="EQ30" s="92">
        <v>0</v>
      </c>
      <c r="ER30" s="92">
        <v>0</v>
      </c>
      <c r="ES30" s="92">
        <v>108532</v>
      </c>
      <c r="ET30" s="92">
        <v>0</v>
      </c>
      <c r="EU30" s="92">
        <v>0</v>
      </c>
      <c r="EV30" s="92">
        <v>0</v>
      </c>
      <c r="EW30" s="92">
        <v>0</v>
      </c>
      <c r="EX30" s="92">
        <v>0</v>
      </c>
      <c r="EY30" s="92">
        <v>0</v>
      </c>
      <c r="EZ30" s="92">
        <v>0</v>
      </c>
      <c r="FA30" s="92">
        <v>0</v>
      </c>
      <c r="FB30" s="92">
        <v>0</v>
      </c>
      <c r="FC30" s="92">
        <v>0</v>
      </c>
      <c r="FD30" s="92">
        <v>0</v>
      </c>
      <c r="FE30" s="92">
        <v>0</v>
      </c>
      <c r="FF30" s="92">
        <v>0</v>
      </c>
      <c r="FG30" s="92">
        <v>0</v>
      </c>
      <c r="FH30" s="92">
        <v>0</v>
      </c>
      <c r="FI30" s="92">
        <v>0</v>
      </c>
      <c r="FJ30" s="92">
        <v>0</v>
      </c>
      <c r="FK30" s="92">
        <v>0</v>
      </c>
      <c r="FL30" s="92">
        <v>0</v>
      </c>
      <c r="FM30" s="92">
        <v>0</v>
      </c>
      <c r="FN30" s="92">
        <v>0</v>
      </c>
      <c r="FO30" s="92">
        <v>0</v>
      </c>
      <c r="FP30" s="92">
        <v>0</v>
      </c>
      <c r="FQ30" s="92">
        <v>0</v>
      </c>
      <c r="FR30" s="92">
        <v>0</v>
      </c>
      <c r="FS30" s="92">
        <v>0</v>
      </c>
      <c r="FT30" s="92">
        <v>0</v>
      </c>
      <c r="FU30" s="92">
        <v>0</v>
      </c>
      <c r="FV30" s="92">
        <v>0</v>
      </c>
      <c r="FW30" s="92">
        <v>0</v>
      </c>
      <c r="FX30" s="92">
        <v>0</v>
      </c>
      <c r="FY30" s="92">
        <v>0</v>
      </c>
      <c r="FZ30" s="92">
        <v>0</v>
      </c>
      <c r="GA30" s="92">
        <v>0</v>
      </c>
      <c r="GB30" s="92">
        <v>0</v>
      </c>
      <c r="GC30" s="92">
        <v>0</v>
      </c>
      <c r="GD30" s="92">
        <v>3871737</v>
      </c>
      <c r="GE30" s="92">
        <v>4149342</v>
      </c>
      <c r="GF30" s="92">
        <v>130592579</v>
      </c>
      <c r="GG30" s="47" t="s">
        <v>354</v>
      </c>
      <c r="GH30" s="47" t="s">
        <v>355</v>
      </c>
      <c r="GI30" s="93">
        <v>2812832131</v>
      </c>
      <c r="GJ30" s="47" t="s">
        <v>356</v>
      </c>
      <c r="GK30" s="47" t="s">
        <v>357</v>
      </c>
      <c r="GL30" s="47" t="s">
        <v>358</v>
      </c>
      <c r="GM30" s="93">
        <v>2812832129</v>
      </c>
      <c r="GN30" s="47" t="s">
        <v>359</v>
      </c>
      <c r="GO30" s="92" cm="1">
        <f t="array" ref="GO30">IFERROR(_xlfn.IFS(ResearchInput[[#This Row],[Type]]="HRI",SUMIFS('FTSE | FTFE'!$P$8:$P$77,'FTSE | FTFE'!$H$8:$H$77,A30),ResearchInput[[#This Row],[Type]]="UNIV",SUMIFS('FTSE | FTFE'!$P$104:$P$139,'FTSE | FTFE'!$H$104:$H$139,A30),OR(ResearchInput[[#This Row],[Type]]="TSTC",ResearchInput[[#This Row],[Type]]="LSC"),SUMIFS('FTSE | FTFE'!$O$88:$O$96,'FTSE | FTFE'!$H$88:$H$96,A30),ResearchInput[[#This Row],[Type]]="AHM",SUMIFS(Hidden!$H$43:$H$46,Hidden!$G$42:$G$45,A30)),"N/A")</f>
        <v>6008</v>
      </c>
      <c r="GP30" s="92" cm="1">
        <f t="array" ref="GP30">IFERROR(_xlfn.IFS(ResearchInput[[#This Row],[Type]]="HRI",SUMIFS('FTSE | FTFE'!$Q$8:$Q$77,'FTSE | FTFE'!$H$8:$H$77,A30),ResearchInput[[#This Row],[Type]]="UNIV",SUMIFS('FTSE | FTFE'!$Q$104:$Q$139,'FTSE | FTFE'!$H$104:$H$139,A30),OR(ResearchInput[[#This Row],[Type]]="TSTC",ResearchInput[[#This Row],[Type]]="LSC"),SUMIFS('FTSE | FTFE'!$P$88:$P$96,'FTSE | FTFE'!$H$88:$H$96,A30)),"N/A")</f>
        <v>226</v>
      </c>
      <c r="GQ30" s="92">
        <v>0</v>
      </c>
      <c r="GR30" s="92">
        <f>SUM(ResearchInput[[#This Row],[Fed.Comp]],ResearchInput[[#This Row],[Fed.Eng]],ResearchInput[[#This Row],[Fed.Geo]],ResearchInput[[#This Row],[Fed.Life]],ResearchInput[[#This Row],[Fed.Math]],ResearchInput[[#This Row],[Fed.Phys]],ResearchInput[[#This Row],[Fed.Psyc]],ResearchInput[[#This Row],[Fed.Soc]],ResearchInput[[#This Row],[Fed.Othr]],ResearchInput[[#This Row],[Fed.Non]])</f>
        <v>1589778</v>
      </c>
      <c r="GS30" s="92">
        <f>SUM(ResearchInput[[#This Row],[St.Comp]],ResearchInput[[#This Row],[St.Eng]],ResearchInput[[#This Row],[St.Geo]],ResearchInput[[#This Row],[St.Life]],ResearchInput[[#This Row],[St.Math]],ResearchInput[[#This Row],[St.Phys]],ResearchInput[[#This Row],[St.Psyc]],ResearchInput[[#This Row],[St.Soc]],ResearchInput[[#This Row],[St.Othr]],ResearchInput[[#This Row],[St.Non]])</f>
        <v>301767</v>
      </c>
      <c r="GT30" s="92">
        <f>SUM(ResearchInput[[#This Row],[St.C&amp;G.Comp]],ResearchInput[[#This Row],[St.C&amp;G.Eng]],ResearchInput[[#This Row],[St.C&amp;G.Geo]],ResearchInput[[#This Row],[St.C&amp;G.Life]],ResearchInput[[#This Row],[St.C&amp;G.Math]],ResearchInput[[#This Row],[St.C&amp;G.Phys]],ResearchInput[[#This Row],[St.C&amp;G.Psyc]],ResearchInput[[#This Row],[St.C&amp;G.Soc]],ResearchInput[[#This Row],[St.C&amp;G.Othr]],ResearchInput[[#This Row],[St.C&amp;G.Non]])</f>
        <v>528299</v>
      </c>
      <c r="GU30" s="92">
        <f>SUM(ResearchInput[[#This Row],[St.All.Comp]],ResearchInput[[#This Row],[St.All.Eng]],ResearchInput[[#This Row],[St.All.Geo]],ResearchInput[[#This Row],[St.All.Life]],ResearchInput[[#This Row],[St.All.Math]],ResearchInput[[#This Row],[St.All.Phys]],ResearchInput[[#This Row],[St.All.Psyc]],ResearchInput[[#This Row],[St.All.Soc]],ResearchInput[[#This Row],[St.All.Othr]],ResearchInput[[#This Row],[St.All.Non]])</f>
        <v>0</v>
      </c>
      <c r="GV30" s="92">
        <f>SUM(ResearchInput[[#This Row],[Inst.Comp]],ResearchInput[[#This Row],[Inst.Eng]],ResearchInput[[#This Row],[Inst.Geo]],ResearchInput[[#This Row],[Inst.Life]],ResearchInput[[#This Row],[Inst.Math]],ResearchInput[[#This Row],[Inst.Phys]],ResearchInput[[#This Row],[Inst.Psyc]],ResearchInput[[#This Row],[Inst.Soc]],ResearchInput[[#This Row],[Inst.Othr]],ResearchInput[[#This Row],[Inst.Non]])</f>
        <v>-151380</v>
      </c>
      <c r="GW30" s="92">
        <f>SUM(ResearchInput[[#This Row],[P4P.Comp]],ResearchInput[[#This Row],[P4P.Eng]],ResearchInput[[#This Row],[P4P.Geo]],ResearchInput[[#This Row],[P4P.Life]],ResearchInput[[#This Row],[P4P.Math]],ResearchInput[[#This Row],[P4P.Phys]],ResearchInput[[#This Row],[P4P.Psyc]],ResearchInput[[#This Row],[P4P.Soc]],ResearchInput[[#This Row],[P4P.Othr]],ResearchInput[[#This Row],[P4P.Non]])</f>
        <v>1340259</v>
      </c>
      <c r="GX30" s="92">
        <f>SUM(ResearchInput[[#This Row],[PNP.Comp]],ResearchInput[[#This Row],[PNP.Eng]],ResearchInput[[#This Row],[PNP.Geo]],ResearchInput[[#This Row],[PNP.Life]],ResearchInput[[#This Row],[PNP.Math]],ResearchInput[[#This Row],[PNP.Phys]],ResearchInput[[#This Row],[PNP.Psyc]],ResearchInput[[#This Row],[PNP.Soc]],ResearchInput[[#This Row],[PNP.Othr]],ResearchInput[[#This Row],[PNP.Non]])</f>
        <v>263014</v>
      </c>
      <c r="GY30" s="92">
        <f>SUM(ResearchInput[[#This Row],[P.All.Comp]],ResearchInput[[#This Row],[P.All.Eng]],ResearchInput[[#This Row],[P.All.Geo]],ResearchInput[[#This Row],[P.All.Life]],ResearchInput[[#This Row],[P.All.Math]],ResearchInput[[#This Row],[P.All.Phys]],ResearchInput[[#This Row],[P.All.Psyc]],ResearchInput[[#This Row],[P.All.Soc]],ResearchInput[[#This Row],[P.All.Othr]],ResearchInput[[#This Row],[P.All.Non]])</f>
        <v>0</v>
      </c>
    </row>
    <row r="31" spans="1:207" s="47" customFormat="1" ht="27" customHeight="1" x14ac:dyDescent="0.25">
      <c r="A31" s="34" t="s">
        <v>186</v>
      </c>
      <c r="B31" s="34" t="s">
        <v>671</v>
      </c>
      <c r="C31" s="35" t="s">
        <v>687</v>
      </c>
      <c r="D31" s="35" t="s">
        <v>673</v>
      </c>
      <c r="E31" s="94">
        <v>306</v>
      </c>
      <c r="F31" s="35" t="s">
        <v>716</v>
      </c>
      <c r="G31" s="35" t="s">
        <v>690</v>
      </c>
      <c r="H31" s="96">
        <v>12826</v>
      </c>
      <c r="I31" s="92">
        <v>2464951</v>
      </c>
      <c r="J31" s="92">
        <v>331816</v>
      </c>
      <c r="K31" s="92">
        <v>422642</v>
      </c>
      <c r="L31" s="92">
        <v>0</v>
      </c>
      <c r="M31" s="92">
        <v>244865</v>
      </c>
      <c r="N31" s="92">
        <v>0</v>
      </c>
      <c r="O31" s="92">
        <v>140056</v>
      </c>
      <c r="P31" s="92">
        <v>19900</v>
      </c>
      <c r="Q31" s="92">
        <v>-1864</v>
      </c>
      <c r="R31" s="92">
        <v>-2100</v>
      </c>
      <c r="S31" s="92">
        <v>0</v>
      </c>
      <c r="T31" s="92">
        <v>0</v>
      </c>
      <c r="U31" s="92">
        <v>79678</v>
      </c>
      <c r="V31" s="92">
        <v>0</v>
      </c>
      <c r="W31" s="92">
        <v>0</v>
      </c>
      <c r="X31" s="92">
        <v>0</v>
      </c>
      <c r="Y31" s="92">
        <v>-159836</v>
      </c>
      <c r="Z31" s="92">
        <v>0</v>
      </c>
      <c r="AA31" s="92">
        <v>-383064</v>
      </c>
      <c r="AB31" s="92">
        <v>0</v>
      </c>
      <c r="AC31" s="92">
        <v>0</v>
      </c>
      <c r="AD31" s="92">
        <v>0</v>
      </c>
      <c r="AE31" s="92">
        <v>0</v>
      </c>
      <c r="AF31" s="92">
        <v>0</v>
      </c>
      <c r="AG31" s="92">
        <v>0</v>
      </c>
      <c r="AH31" s="92">
        <v>0</v>
      </c>
      <c r="AI31" s="92">
        <v>0</v>
      </c>
      <c r="AJ31" s="92">
        <v>0</v>
      </c>
      <c r="AK31" s="92">
        <v>0</v>
      </c>
      <c r="AL31" s="92">
        <v>0</v>
      </c>
      <c r="AM31" s="92">
        <v>0</v>
      </c>
      <c r="AN31" s="92">
        <v>0</v>
      </c>
      <c r="AO31" s="92">
        <v>0</v>
      </c>
      <c r="AP31" s="92">
        <v>0</v>
      </c>
      <c r="AQ31" s="92">
        <v>0</v>
      </c>
      <c r="AR31" s="92">
        <v>0</v>
      </c>
      <c r="AS31" s="92">
        <v>0</v>
      </c>
      <c r="AT31" s="92">
        <v>0</v>
      </c>
      <c r="AU31" s="92">
        <v>0</v>
      </c>
      <c r="AV31" s="92">
        <v>0</v>
      </c>
      <c r="AW31" s="92">
        <v>0</v>
      </c>
      <c r="AX31" s="92">
        <v>0</v>
      </c>
      <c r="AY31" s="92">
        <v>0</v>
      </c>
      <c r="AZ31" s="92">
        <v>0</v>
      </c>
      <c r="BA31" s="92">
        <v>0</v>
      </c>
      <c r="BB31" s="92">
        <v>0</v>
      </c>
      <c r="BC31" s="92">
        <v>0</v>
      </c>
      <c r="BD31" s="92">
        <v>0</v>
      </c>
      <c r="BE31" s="92">
        <v>0</v>
      </c>
      <c r="BF31" s="92">
        <v>0</v>
      </c>
      <c r="BG31" s="92">
        <v>0</v>
      </c>
      <c r="BH31" s="92">
        <v>0</v>
      </c>
      <c r="BI31" s="92">
        <v>0</v>
      </c>
      <c r="BJ31" s="92">
        <v>0</v>
      </c>
      <c r="BK31" s="92">
        <v>0</v>
      </c>
      <c r="BL31" s="92">
        <v>0</v>
      </c>
      <c r="BM31" s="92">
        <v>0</v>
      </c>
      <c r="BN31" s="92">
        <v>0</v>
      </c>
      <c r="BO31" s="92">
        <v>0</v>
      </c>
      <c r="BP31" s="92">
        <v>0</v>
      </c>
      <c r="BQ31" s="92">
        <v>0</v>
      </c>
      <c r="BR31" s="92">
        <v>0</v>
      </c>
      <c r="BS31" s="92">
        <v>0</v>
      </c>
      <c r="BT31" s="92">
        <v>0</v>
      </c>
      <c r="BU31" s="92">
        <v>50956</v>
      </c>
      <c r="BV31" s="92">
        <v>0</v>
      </c>
      <c r="BW31" s="92">
        <v>0</v>
      </c>
      <c r="BX31" s="92">
        <v>0</v>
      </c>
      <c r="BY31" s="92">
        <v>18190</v>
      </c>
      <c r="BZ31" s="92">
        <v>0</v>
      </c>
      <c r="CA31" s="92">
        <v>0</v>
      </c>
      <c r="CB31" s="92">
        <v>0</v>
      </c>
      <c r="CC31" s="92">
        <v>74468</v>
      </c>
      <c r="CD31" s="92">
        <v>0</v>
      </c>
      <c r="CE31" s="92">
        <v>0</v>
      </c>
      <c r="CF31" s="92">
        <v>0</v>
      </c>
      <c r="CG31" s="92">
        <v>2923</v>
      </c>
      <c r="CH31" s="92">
        <v>0</v>
      </c>
      <c r="CI31" s="92">
        <v>2126</v>
      </c>
      <c r="CJ31" s="92">
        <v>0</v>
      </c>
      <c r="CK31" s="92">
        <v>49782</v>
      </c>
      <c r="CL31" s="92">
        <v>0</v>
      </c>
      <c r="CM31" s="92">
        <v>0</v>
      </c>
      <c r="CN31" s="92">
        <v>0</v>
      </c>
      <c r="CO31" s="92">
        <v>0</v>
      </c>
      <c r="CP31" s="92">
        <v>0</v>
      </c>
      <c r="CQ31" s="92">
        <v>0</v>
      </c>
      <c r="CR31" s="92">
        <v>0</v>
      </c>
      <c r="CS31" s="92">
        <v>41002</v>
      </c>
      <c r="CT31" s="92">
        <v>0</v>
      </c>
      <c r="CU31" s="92">
        <v>0</v>
      </c>
      <c r="CV31" s="92">
        <v>0</v>
      </c>
      <c r="CW31" s="92">
        <v>6396</v>
      </c>
      <c r="CX31" s="92">
        <v>0</v>
      </c>
      <c r="CY31" s="92">
        <v>3498</v>
      </c>
      <c r="CZ31" s="92">
        <v>19900</v>
      </c>
      <c r="DA31" s="92">
        <v>0</v>
      </c>
      <c r="DB31" s="92">
        <v>0</v>
      </c>
      <c r="DC31" s="92">
        <v>0</v>
      </c>
      <c r="DD31" s="92">
        <v>0</v>
      </c>
      <c r="DE31" s="92">
        <v>0</v>
      </c>
      <c r="DF31" s="92">
        <v>0</v>
      </c>
      <c r="DG31" s="92">
        <v>0</v>
      </c>
      <c r="DH31" s="92">
        <v>0</v>
      </c>
      <c r="DI31" s="92">
        <v>116496</v>
      </c>
      <c r="DJ31" s="92">
        <v>0</v>
      </c>
      <c r="DK31" s="92">
        <v>0</v>
      </c>
      <c r="DL31" s="92">
        <v>0</v>
      </c>
      <c r="DM31" s="92">
        <v>0</v>
      </c>
      <c r="DN31" s="92">
        <v>0</v>
      </c>
      <c r="DO31" s="92">
        <v>62865</v>
      </c>
      <c r="DP31" s="92">
        <v>0</v>
      </c>
      <c r="DQ31" s="92">
        <v>53108</v>
      </c>
      <c r="DR31" s="92">
        <v>0</v>
      </c>
      <c r="DS31" s="92">
        <v>0</v>
      </c>
      <c r="DT31" s="92">
        <v>0</v>
      </c>
      <c r="DU31" s="92">
        <v>0</v>
      </c>
      <c r="DV31" s="92">
        <v>0</v>
      </c>
      <c r="DW31" s="92">
        <v>0</v>
      </c>
      <c r="DX31" s="92">
        <v>0</v>
      </c>
      <c r="DY31" s="92">
        <v>0</v>
      </c>
      <c r="DZ31" s="92">
        <v>0</v>
      </c>
      <c r="EA31" s="92">
        <v>39578</v>
      </c>
      <c r="EB31" s="92">
        <v>0</v>
      </c>
      <c r="EC31" s="92">
        <v>3270</v>
      </c>
      <c r="ED31" s="92">
        <v>0</v>
      </c>
      <c r="EE31" s="92">
        <v>0</v>
      </c>
      <c r="EF31" s="92">
        <v>0</v>
      </c>
      <c r="EG31" s="92">
        <v>502408</v>
      </c>
      <c r="EH31" s="92">
        <v>0</v>
      </c>
      <c r="EI31" s="92">
        <v>0</v>
      </c>
      <c r="EJ31" s="92">
        <v>0</v>
      </c>
      <c r="EK31" s="92">
        <v>41042</v>
      </c>
      <c r="EL31" s="92">
        <v>0</v>
      </c>
      <c r="EM31" s="92">
        <v>71567</v>
      </c>
      <c r="EN31" s="92">
        <v>0</v>
      </c>
      <c r="EO31" s="92">
        <v>1415031</v>
      </c>
      <c r="EP31" s="92">
        <v>329716</v>
      </c>
      <c r="EQ31" s="92">
        <v>0</v>
      </c>
      <c r="ER31" s="92">
        <v>0</v>
      </c>
      <c r="ES31" s="92">
        <v>252722</v>
      </c>
      <c r="ET31" s="92">
        <v>0</v>
      </c>
      <c r="EU31" s="92">
        <v>0</v>
      </c>
      <c r="EV31" s="92">
        <v>0</v>
      </c>
      <c r="EW31" s="92">
        <v>0</v>
      </c>
      <c r="EX31" s="92">
        <v>0</v>
      </c>
      <c r="EY31" s="92">
        <v>0</v>
      </c>
      <c r="EZ31" s="92">
        <v>0</v>
      </c>
      <c r="FA31" s="92">
        <v>0</v>
      </c>
      <c r="FB31" s="92">
        <v>0</v>
      </c>
      <c r="FC31" s="92">
        <v>0</v>
      </c>
      <c r="FD31" s="92">
        <v>0</v>
      </c>
      <c r="FE31" s="92">
        <v>0</v>
      </c>
      <c r="FF31" s="92">
        <v>0</v>
      </c>
      <c r="FG31" s="92">
        <v>0</v>
      </c>
      <c r="FH31" s="92">
        <v>0</v>
      </c>
      <c r="FI31" s="92">
        <v>0</v>
      </c>
      <c r="FJ31" s="92">
        <v>0</v>
      </c>
      <c r="FK31" s="92">
        <v>0</v>
      </c>
      <c r="FL31" s="92">
        <v>0</v>
      </c>
      <c r="FM31" s="92">
        <v>0</v>
      </c>
      <c r="FN31" s="92">
        <v>0</v>
      </c>
      <c r="FO31" s="92">
        <v>0</v>
      </c>
      <c r="FP31" s="92">
        <v>0</v>
      </c>
      <c r="FQ31" s="92">
        <v>0</v>
      </c>
      <c r="FR31" s="92">
        <v>0</v>
      </c>
      <c r="FS31" s="92">
        <v>0</v>
      </c>
      <c r="FT31" s="92">
        <v>0</v>
      </c>
      <c r="FU31" s="92">
        <v>0</v>
      </c>
      <c r="FV31" s="92">
        <v>0</v>
      </c>
      <c r="FW31" s="92">
        <v>0</v>
      </c>
      <c r="FX31" s="92">
        <v>0</v>
      </c>
      <c r="FY31" s="92">
        <v>0</v>
      </c>
      <c r="FZ31" s="92">
        <v>0</v>
      </c>
      <c r="GA31" s="92">
        <v>0</v>
      </c>
      <c r="GB31" s="92">
        <v>0</v>
      </c>
      <c r="GC31" s="92">
        <v>0</v>
      </c>
      <c r="GD31" s="92">
        <v>3624230</v>
      </c>
      <c r="GE31" s="92">
        <v>3483985</v>
      </c>
      <c r="GF31" s="92">
        <v>162805909</v>
      </c>
      <c r="GG31" s="47" t="s">
        <v>360</v>
      </c>
      <c r="GH31" s="47" t="s">
        <v>361</v>
      </c>
      <c r="GI31" s="93">
        <v>7132218617</v>
      </c>
      <c r="GJ31" s="47" t="s">
        <v>362</v>
      </c>
      <c r="GK31" s="47" t="s">
        <v>317</v>
      </c>
      <c r="GL31" s="47" t="s">
        <v>363</v>
      </c>
      <c r="GM31" s="93">
        <v>7132218612</v>
      </c>
      <c r="GN31" s="47" t="s">
        <v>364</v>
      </c>
      <c r="GO31" s="92" cm="1">
        <f t="array" ref="GO31">IFERROR(_xlfn.IFS(ResearchInput[[#This Row],[Type]]="HRI",SUMIFS('FTSE | FTFE'!$P$8:$P$77,'FTSE | FTFE'!$H$8:$H$77,A31),ResearchInput[[#This Row],[Type]]="UNIV",SUMIFS('FTSE | FTFE'!$P$104:$P$139,'FTSE | FTFE'!$H$104:$H$139,A31),OR(ResearchInput[[#This Row],[Type]]="TSTC",ResearchInput[[#This Row],[Type]]="LSC"),SUMIFS('FTSE | FTFE'!$O$88:$O$96,'FTSE | FTFE'!$H$88:$H$96,A31),ResearchInput[[#This Row],[Type]]="AHM",SUMIFS(Hidden!$H$43:$H$46,Hidden!$G$42:$G$45,A31)),"N/A")</f>
        <v>10405</v>
      </c>
      <c r="GP31" s="92" cm="1">
        <f t="array" ref="GP31">IFERROR(_xlfn.IFS(ResearchInput[[#This Row],[Type]]="HRI",SUMIFS('FTSE | FTFE'!$Q$8:$Q$77,'FTSE | FTFE'!$H$8:$H$77,A31),ResearchInput[[#This Row],[Type]]="UNIV",SUMIFS('FTSE | FTFE'!$Q$104:$Q$139,'FTSE | FTFE'!$H$104:$H$139,A31),OR(ResearchInput[[#This Row],[Type]]="TSTC",ResearchInput[[#This Row],[Type]]="LSC"),SUMIFS('FTSE | FTFE'!$P$88:$P$96,'FTSE | FTFE'!$H$88:$H$96,A31)),"N/A")</f>
        <v>237</v>
      </c>
      <c r="GQ31" s="92">
        <v>0</v>
      </c>
      <c r="GR31" s="92">
        <f>SUM(ResearchInput[[#This Row],[Fed.Comp]],ResearchInput[[#This Row],[Fed.Eng]],ResearchInput[[#This Row],[Fed.Geo]],ResearchInput[[#This Row],[Fed.Life]],ResearchInput[[#This Row],[Fed.Math]],ResearchInput[[#This Row],[Fed.Phys]],ResearchInput[[#This Row],[Fed.Psyc]],ResearchInput[[#This Row],[Fed.Soc]],ResearchInput[[#This Row],[Fed.Othr]],ResearchInput[[#This Row],[Fed.Non]])</f>
        <v>2303251</v>
      </c>
      <c r="GS31" s="92">
        <f>SUM(ResearchInput[[#This Row],[St.Comp]],ResearchInput[[#This Row],[St.Eng]],ResearchInput[[#This Row],[St.Geo]],ResearchInput[[#This Row],[St.Life]],ResearchInput[[#This Row],[St.Math]],ResearchInput[[#This Row],[St.Phys]],ResearchInput[[#This Row],[St.Psyc]],ResearchInput[[#This Row],[St.Soc]],ResearchInput[[#This Row],[St.Othr]],ResearchInput[[#This Row],[St.Non]])</f>
        <v>329716</v>
      </c>
      <c r="GT31" s="92">
        <f>SUM(ResearchInput[[#This Row],[St.C&amp;G.Comp]],ResearchInput[[#This Row],[St.C&amp;G.Eng]],ResearchInput[[#This Row],[St.C&amp;G.Geo]],ResearchInput[[#This Row],[St.C&amp;G.Life]],ResearchInput[[#This Row],[St.C&amp;G.Math]],ResearchInput[[#This Row],[St.C&amp;G.Phys]],ResearchInput[[#This Row],[St.C&amp;G.Psyc]],ResearchInput[[#This Row],[St.C&amp;G.Soc]],ResearchInput[[#This Row],[St.C&amp;G.Othr]],ResearchInput[[#This Row],[St.C&amp;G.Non]])</f>
        <v>39578</v>
      </c>
      <c r="GU31" s="92">
        <f>SUM(ResearchInput[[#This Row],[St.All.Comp]],ResearchInput[[#This Row],[St.All.Eng]],ResearchInput[[#This Row],[St.All.Geo]],ResearchInput[[#This Row],[St.All.Life]],ResearchInput[[#This Row],[St.All.Math]],ResearchInput[[#This Row],[St.All.Phys]],ResearchInput[[#This Row],[St.All.Psyc]],ResearchInput[[#This Row],[St.All.Soc]],ResearchInput[[#This Row],[St.All.Othr]],ResearchInput[[#This Row],[St.All.Non]])</f>
        <v>0</v>
      </c>
      <c r="GV31" s="92">
        <f>SUM(ResearchInput[[#This Row],[Inst.Comp]],ResearchInput[[#This Row],[Inst.Eng]],ResearchInput[[#This Row],[Inst.Geo]],ResearchInput[[#This Row],[Inst.Life]],ResearchInput[[#This Row],[Inst.Math]],ResearchInput[[#This Row],[Inst.Phys]],ResearchInput[[#This Row],[Inst.Psyc]],ResearchInput[[#This Row],[Inst.Soc]],ResearchInput[[#This Row],[Inst.Othr]],ResearchInput[[#This Row],[Inst.Non]])</f>
        <v>324543</v>
      </c>
      <c r="GW31" s="92">
        <f>SUM(ResearchInput[[#This Row],[P4P.Comp]],ResearchInput[[#This Row],[P4P.Eng]],ResearchInput[[#This Row],[P4P.Geo]],ResearchInput[[#This Row],[P4P.Life]],ResearchInput[[#This Row],[P4P.Math]],ResearchInput[[#This Row],[P4P.Phys]],ResearchInput[[#This Row],[P4P.Psyc]],ResearchInput[[#This Row],[P4P.Soc]],ResearchInput[[#This Row],[P4P.Othr]],ResearchInput[[#This Row],[P4P.Non]])</f>
        <v>0</v>
      </c>
      <c r="GX31" s="92">
        <f>SUM(ResearchInput[[#This Row],[PNP.Comp]],ResearchInput[[#This Row],[PNP.Eng]],ResearchInput[[#This Row],[PNP.Geo]],ResearchInput[[#This Row],[PNP.Life]],ResearchInput[[#This Row],[PNP.Math]],ResearchInput[[#This Row],[PNP.Phys]],ResearchInput[[#This Row],[PNP.Psyc]],ResearchInput[[#This Row],[PNP.Soc]],ResearchInput[[#This Row],[PNP.Othr]],ResearchInput[[#This Row],[PNP.Non]])</f>
        <v>140056</v>
      </c>
      <c r="GY31" s="92">
        <f>SUM(ResearchInput[[#This Row],[P.All.Comp]],ResearchInput[[#This Row],[P.All.Eng]],ResearchInput[[#This Row],[P.All.Geo]],ResearchInput[[#This Row],[P.All.Life]],ResearchInput[[#This Row],[P.All.Math]],ResearchInput[[#This Row],[P.All.Phys]],ResearchInput[[#This Row],[P.All.Psyc]],ResearchInput[[#This Row],[P.All.Soc]],ResearchInput[[#This Row],[P.All.Othr]],ResearchInput[[#This Row],[P.All.Non]])</f>
        <v>19900</v>
      </c>
    </row>
    <row r="32" spans="1:207" s="47" customFormat="1" ht="27" customHeight="1" x14ac:dyDescent="0.25">
      <c r="A32" s="34" t="s">
        <v>187</v>
      </c>
      <c r="B32" s="34" t="s">
        <v>671</v>
      </c>
      <c r="C32" s="35" t="s">
        <v>687</v>
      </c>
      <c r="D32" s="35" t="s">
        <v>673</v>
      </c>
      <c r="E32" s="94">
        <v>307</v>
      </c>
      <c r="F32" s="35" t="s">
        <v>714</v>
      </c>
      <c r="G32" s="35" t="s">
        <v>690</v>
      </c>
      <c r="H32" s="96">
        <v>13231</v>
      </c>
      <c r="I32" s="92">
        <v>165946</v>
      </c>
      <c r="J32" s="92">
        <v>191980</v>
      </c>
      <c r="K32" s="92">
        <v>0</v>
      </c>
      <c r="L32" s="92">
        <v>0</v>
      </c>
      <c r="M32" s="92">
        <v>426</v>
      </c>
      <c r="N32" s="92">
        <v>0</v>
      </c>
      <c r="O32" s="92">
        <v>0</v>
      </c>
      <c r="P32" s="92">
        <v>0</v>
      </c>
      <c r="Q32" s="92">
        <v>-39293</v>
      </c>
      <c r="R32" s="92">
        <v>-191980</v>
      </c>
      <c r="S32" s="92">
        <v>0</v>
      </c>
      <c r="T32" s="92">
        <v>0</v>
      </c>
      <c r="U32" s="92">
        <v>-426</v>
      </c>
      <c r="V32" s="92">
        <v>0</v>
      </c>
      <c r="W32" s="92">
        <v>0</v>
      </c>
      <c r="X32" s="92">
        <v>0</v>
      </c>
      <c r="Y32" s="92">
        <v>0</v>
      </c>
      <c r="Z32" s="92">
        <v>0</v>
      </c>
      <c r="AA32" s="92">
        <v>0</v>
      </c>
      <c r="AB32" s="92">
        <v>0</v>
      </c>
      <c r="AC32" s="92">
        <v>0</v>
      </c>
      <c r="AD32" s="92">
        <v>0</v>
      </c>
      <c r="AE32" s="92">
        <v>0</v>
      </c>
      <c r="AF32" s="92">
        <v>0</v>
      </c>
      <c r="AG32" s="92">
        <v>39293</v>
      </c>
      <c r="AH32" s="92">
        <v>0</v>
      </c>
      <c r="AI32" s="92">
        <v>0</v>
      </c>
      <c r="AJ32" s="92">
        <v>0</v>
      </c>
      <c r="AK32" s="92">
        <v>0</v>
      </c>
      <c r="AL32" s="92">
        <v>0</v>
      </c>
      <c r="AM32" s="92">
        <v>0</v>
      </c>
      <c r="AN32" s="92">
        <v>0</v>
      </c>
      <c r="AO32" s="92">
        <v>0</v>
      </c>
      <c r="AP32" s="92">
        <v>0</v>
      </c>
      <c r="AQ32" s="92">
        <v>0</v>
      </c>
      <c r="AR32" s="92">
        <v>0</v>
      </c>
      <c r="AS32" s="92">
        <v>0</v>
      </c>
      <c r="AT32" s="92">
        <v>0</v>
      </c>
      <c r="AU32" s="92">
        <v>0</v>
      </c>
      <c r="AV32" s="92">
        <v>0</v>
      </c>
      <c r="AW32" s="92">
        <v>0</v>
      </c>
      <c r="AX32" s="92">
        <v>0</v>
      </c>
      <c r="AY32" s="92">
        <v>0</v>
      </c>
      <c r="AZ32" s="92">
        <v>0</v>
      </c>
      <c r="BA32" s="92">
        <v>0</v>
      </c>
      <c r="BB32" s="92">
        <v>0</v>
      </c>
      <c r="BC32" s="92">
        <v>0</v>
      </c>
      <c r="BD32" s="92">
        <v>0</v>
      </c>
      <c r="BE32" s="92">
        <v>0</v>
      </c>
      <c r="BF32" s="92">
        <v>0</v>
      </c>
      <c r="BG32" s="92">
        <v>0</v>
      </c>
      <c r="BH32" s="92">
        <v>0</v>
      </c>
      <c r="BI32" s="92">
        <v>0</v>
      </c>
      <c r="BJ32" s="92">
        <v>0</v>
      </c>
      <c r="BK32" s="92">
        <v>0</v>
      </c>
      <c r="BL32" s="92">
        <v>0</v>
      </c>
      <c r="BM32" s="92">
        <v>0</v>
      </c>
      <c r="BN32" s="92">
        <v>0</v>
      </c>
      <c r="BO32" s="92">
        <v>0</v>
      </c>
      <c r="BP32" s="92">
        <v>0</v>
      </c>
      <c r="BQ32" s="92">
        <v>0</v>
      </c>
      <c r="BR32" s="92">
        <v>0</v>
      </c>
      <c r="BS32" s="92">
        <v>0</v>
      </c>
      <c r="BT32" s="92">
        <v>0</v>
      </c>
      <c r="BU32" s="92">
        <v>151589</v>
      </c>
      <c r="BV32" s="92">
        <v>0</v>
      </c>
      <c r="BW32" s="92">
        <v>0</v>
      </c>
      <c r="BX32" s="92">
        <v>0</v>
      </c>
      <c r="BY32" s="92">
        <v>0</v>
      </c>
      <c r="BZ32" s="92">
        <v>0</v>
      </c>
      <c r="CA32" s="92">
        <v>0</v>
      </c>
      <c r="CB32" s="92">
        <v>0</v>
      </c>
      <c r="CC32" s="92">
        <v>0</v>
      </c>
      <c r="CD32" s="92">
        <v>0</v>
      </c>
      <c r="CE32" s="92">
        <v>0</v>
      </c>
      <c r="CF32" s="92">
        <v>0</v>
      </c>
      <c r="CG32" s="92">
        <v>0</v>
      </c>
      <c r="CH32" s="92">
        <v>0</v>
      </c>
      <c r="CI32" s="92">
        <v>0</v>
      </c>
      <c r="CJ32" s="92">
        <v>0</v>
      </c>
      <c r="CK32" s="92">
        <v>0</v>
      </c>
      <c r="CL32" s="92">
        <v>0</v>
      </c>
      <c r="CM32" s="92">
        <v>0</v>
      </c>
      <c r="CN32" s="92">
        <v>0</v>
      </c>
      <c r="CO32" s="92">
        <v>0</v>
      </c>
      <c r="CP32" s="92">
        <v>0</v>
      </c>
      <c r="CQ32" s="92">
        <v>0</v>
      </c>
      <c r="CR32" s="92">
        <v>0</v>
      </c>
      <c r="CS32" s="92">
        <v>0</v>
      </c>
      <c r="CT32" s="92">
        <v>0</v>
      </c>
      <c r="CU32" s="92">
        <v>0</v>
      </c>
      <c r="CV32" s="92">
        <v>0</v>
      </c>
      <c r="CW32" s="92">
        <v>0</v>
      </c>
      <c r="CX32" s="92">
        <v>0</v>
      </c>
      <c r="CY32" s="92">
        <v>0</v>
      </c>
      <c r="CZ32" s="92">
        <v>0</v>
      </c>
      <c r="DA32" s="92">
        <v>0</v>
      </c>
      <c r="DB32" s="92">
        <v>0</v>
      </c>
      <c r="DC32" s="92">
        <v>0</v>
      </c>
      <c r="DD32" s="92">
        <v>0</v>
      </c>
      <c r="DE32" s="92">
        <v>0</v>
      </c>
      <c r="DF32" s="92">
        <v>0</v>
      </c>
      <c r="DG32" s="92">
        <v>0</v>
      </c>
      <c r="DH32" s="92">
        <v>0</v>
      </c>
      <c r="DI32" s="92">
        <v>0</v>
      </c>
      <c r="DJ32" s="92">
        <v>0</v>
      </c>
      <c r="DK32" s="92">
        <v>0</v>
      </c>
      <c r="DL32" s="92">
        <v>0</v>
      </c>
      <c r="DM32" s="92">
        <v>0</v>
      </c>
      <c r="DN32" s="92">
        <v>0</v>
      </c>
      <c r="DO32" s="92">
        <v>0</v>
      </c>
      <c r="DP32" s="92">
        <v>0</v>
      </c>
      <c r="DQ32" s="92">
        <v>0</v>
      </c>
      <c r="DR32" s="92">
        <v>0</v>
      </c>
      <c r="DS32" s="92">
        <v>0</v>
      </c>
      <c r="DT32" s="92">
        <v>0</v>
      </c>
      <c r="DU32" s="92">
        <v>0</v>
      </c>
      <c r="DV32" s="92">
        <v>0</v>
      </c>
      <c r="DW32" s="92">
        <v>0</v>
      </c>
      <c r="DX32" s="92">
        <v>0</v>
      </c>
      <c r="DY32" s="92">
        <v>14357</v>
      </c>
      <c r="DZ32" s="92">
        <v>0</v>
      </c>
      <c r="EA32" s="92">
        <v>0</v>
      </c>
      <c r="EB32" s="92">
        <v>0</v>
      </c>
      <c r="EC32" s="92">
        <v>0</v>
      </c>
      <c r="ED32" s="92">
        <v>0</v>
      </c>
      <c r="EE32" s="92">
        <v>0</v>
      </c>
      <c r="EF32" s="92">
        <v>0</v>
      </c>
      <c r="EG32" s="92">
        <v>0</v>
      </c>
      <c r="EH32" s="92">
        <v>0</v>
      </c>
      <c r="EI32" s="92">
        <v>0</v>
      </c>
      <c r="EJ32" s="92">
        <v>0</v>
      </c>
      <c r="EK32" s="92">
        <v>0</v>
      </c>
      <c r="EL32" s="92">
        <v>0</v>
      </c>
      <c r="EM32" s="92">
        <v>0</v>
      </c>
      <c r="EN32" s="92">
        <v>0</v>
      </c>
      <c r="EO32" s="92">
        <v>0</v>
      </c>
      <c r="EP32" s="92">
        <v>0</v>
      </c>
      <c r="EQ32" s="92">
        <v>0</v>
      </c>
      <c r="ER32" s="92">
        <v>0</v>
      </c>
      <c r="ES32" s="92">
        <v>0</v>
      </c>
      <c r="ET32" s="92">
        <v>0</v>
      </c>
      <c r="EU32" s="92">
        <v>0</v>
      </c>
      <c r="EV32" s="92">
        <v>0</v>
      </c>
      <c r="EW32" s="92">
        <v>0</v>
      </c>
      <c r="EX32" s="92">
        <v>0</v>
      </c>
      <c r="EY32" s="92">
        <v>0</v>
      </c>
      <c r="EZ32" s="92">
        <v>0</v>
      </c>
      <c r="FA32" s="92">
        <v>0</v>
      </c>
      <c r="FB32" s="92">
        <v>0</v>
      </c>
      <c r="FC32" s="92">
        <v>0</v>
      </c>
      <c r="FD32" s="92">
        <v>0</v>
      </c>
      <c r="FE32" s="92">
        <v>0</v>
      </c>
      <c r="FF32" s="92">
        <v>0</v>
      </c>
      <c r="FG32" s="92">
        <v>0</v>
      </c>
      <c r="FH32" s="92">
        <v>0</v>
      </c>
      <c r="FI32" s="92">
        <v>0</v>
      </c>
      <c r="FJ32" s="92">
        <v>0</v>
      </c>
      <c r="FK32" s="92">
        <v>0</v>
      </c>
      <c r="FL32" s="92">
        <v>0</v>
      </c>
      <c r="FM32" s="92">
        <v>0</v>
      </c>
      <c r="FN32" s="92">
        <v>0</v>
      </c>
      <c r="FO32" s="92">
        <v>0</v>
      </c>
      <c r="FP32" s="92">
        <v>0</v>
      </c>
      <c r="FQ32" s="92">
        <v>0</v>
      </c>
      <c r="FR32" s="92">
        <v>0</v>
      </c>
      <c r="FS32" s="92">
        <v>0</v>
      </c>
      <c r="FT32" s="92">
        <v>0</v>
      </c>
      <c r="FU32" s="92">
        <v>0</v>
      </c>
      <c r="FV32" s="92">
        <v>0</v>
      </c>
      <c r="FW32" s="92">
        <v>0</v>
      </c>
      <c r="FX32" s="92">
        <v>0</v>
      </c>
      <c r="FY32" s="92">
        <v>0</v>
      </c>
      <c r="FZ32" s="92">
        <v>0</v>
      </c>
      <c r="GA32" s="92">
        <v>0</v>
      </c>
      <c r="GB32" s="92">
        <v>0</v>
      </c>
      <c r="GC32" s="92">
        <v>0</v>
      </c>
      <c r="GD32" s="92">
        <v>358352</v>
      </c>
      <c r="GE32" s="92">
        <v>358352</v>
      </c>
      <c r="GF32" s="92">
        <v>40122226</v>
      </c>
      <c r="GG32" s="47" t="s">
        <v>365</v>
      </c>
      <c r="GH32" s="47" t="s">
        <v>366</v>
      </c>
      <c r="GI32" s="93">
        <v>3615704873</v>
      </c>
      <c r="GJ32" s="47" t="s">
        <v>367</v>
      </c>
      <c r="GK32" s="47" t="s">
        <v>368</v>
      </c>
      <c r="GL32" s="47" t="s">
        <v>369</v>
      </c>
      <c r="GM32" s="93">
        <v>3615704815</v>
      </c>
      <c r="GN32" s="47" t="s">
        <v>370</v>
      </c>
      <c r="GO32" s="92" cm="1">
        <f t="array" ref="GO32">IFERROR(_xlfn.IFS(ResearchInput[[#This Row],[Type]]="HRI",SUMIFS('FTSE | FTFE'!$P$8:$P$77,'FTSE | FTFE'!$H$8:$H$77,A32),ResearchInput[[#This Row],[Type]]="UNIV",SUMIFS('FTSE | FTFE'!$P$104:$P$139,'FTSE | FTFE'!$H$104:$H$139,A32),OR(ResearchInput[[#This Row],[Type]]="TSTC",ResearchInput[[#This Row],[Type]]="LSC"),SUMIFS('FTSE | FTFE'!$O$88:$O$96,'FTSE | FTFE'!$H$88:$H$96,A32),ResearchInput[[#This Row],[Type]]="AHM",SUMIFS(Hidden!$H$43:$H$46,Hidden!$G$42:$G$45,A32)),"N/A")</f>
        <v>2681</v>
      </c>
      <c r="GP32" s="92" cm="1">
        <f t="array" ref="GP32">IFERROR(_xlfn.IFS(ResearchInput[[#This Row],[Type]]="HRI",SUMIFS('FTSE | FTFE'!$Q$8:$Q$77,'FTSE | FTFE'!$H$8:$H$77,A32),ResearchInput[[#This Row],[Type]]="UNIV",SUMIFS('FTSE | FTFE'!$Q$104:$Q$139,'FTSE | FTFE'!$H$104:$H$139,A32),OR(ResearchInput[[#This Row],[Type]]="TSTC",ResearchInput[[#This Row],[Type]]="LSC"),SUMIFS('FTSE | FTFE'!$P$88:$P$96,'FTSE | FTFE'!$H$88:$H$96,A32)),"N/A")</f>
        <v>96</v>
      </c>
      <c r="GQ32" s="92">
        <v>0</v>
      </c>
      <c r="GR32" s="92">
        <f>SUM(ResearchInput[[#This Row],[Fed.Comp]],ResearchInput[[#This Row],[Fed.Eng]],ResearchInput[[#This Row],[Fed.Geo]],ResearchInput[[#This Row],[Fed.Life]],ResearchInput[[#This Row],[Fed.Math]],ResearchInput[[#This Row],[Fed.Phys]],ResearchInput[[#This Row],[Fed.Psyc]],ResearchInput[[#This Row],[Fed.Soc]],ResearchInput[[#This Row],[Fed.Othr]],ResearchInput[[#This Row],[Fed.Non]])</f>
        <v>165946</v>
      </c>
      <c r="GS32" s="92">
        <f>SUM(ResearchInput[[#This Row],[St.Comp]],ResearchInput[[#This Row],[St.Eng]],ResearchInput[[#This Row],[St.Geo]],ResearchInput[[#This Row],[St.Life]],ResearchInput[[#This Row],[St.Math]],ResearchInput[[#This Row],[St.Phys]],ResearchInput[[#This Row],[St.Psyc]],ResearchInput[[#This Row],[St.Soc]],ResearchInput[[#This Row],[St.Othr]],ResearchInput[[#This Row],[St.Non]])</f>
        <v>0</v>
      </c>
      <c r="GT32" s="92">
        <f>SUM(ResearchInput[[#This Row],[St.C&amp;G.Comp]],ResearchInput[[#This Row],[St.C&amp;G.Eng]],ResearchInput[[#This Row],[St.C&amp;G.Geo]],ResearchInput[[#This Row],[St.C&amp;G.Life]],ResearchInput[[#This Row],[St.C&amp;G.Math]],ResearchInput[[#This Row],[St.C&amp;G.Phys]],ResearchInput[[#This Row],[St.C&amp;G.Psyc]],ResearchInput[[#This Row],[St.C&amp;G.Soc]],ResearchInput[[#This Row],[St.C&amp;G.Othr]],ResearchInput[[#This Row],[St.C&amp;G.Non]])</f>
        <v>0</v>
      </c>
      <c r="GU32" s="92">
        <f>SUM(ResearchInput[[#This Row],[St.All.Comp]],ResearchInput[[#This Row],[St.All.Eng]],ResearchInput[[#This Row],[St.All.Geo]],ResearchInput[[#This Row],[St.All.Life]],ResearchInput[[#This Row],[St.All.Math]],ResearchInput[[#This Row],[St.All.Phys]],ResearchInput[[#This Row],[St.All.Psyc]],ResearchInput[[#This Row],[St.All.Soc]],ResearchInput[[#This Row],[St.All.Othr]],ResearchInput[[#This Row],[St.All.Non]])</f>
        <v>0</v>
      </c>
      <c r="GV32" s="92">
        <f>SUM(ResearchInput[[#This Row],[Inst.Comp]],ResearchInput[[#This Row],[Inst.Eng]],ResearchInput[[#This Row],[Inst.Geo]],ResearchInput[[#This Row],[Inst.Life]],ResearchInput[[#This Row],[Inst.Math]],ResearchInput[[#This Row],[Inst.Phys]],ResearchInput[[#This Row],[Inst.Psyc]],ResearchInput[[#This Row],[Inst.Soc]],ResearchInput[[#This Row],[Inst.Othr]],ResearchInput[[#This Row],[Inst.Non]])</f>
        <v>0</v>
      </c>
      <c r="GW32" s="92">
        <f>SUM(ResearchInput[[#This Row],[P4P.Comp]],ResearchInput[[#This Row],[P4P.Eng]],ResearchInput[[#This Row],[P4P.Geo]],ResearchInput[[#This Row],[P4P.Life]],ResearchInput[[#This Row],[P4P.Math]],ResearchInput[[#This Row],[P4P.Phys]],ResearchInput[[#This Row],[P4P.Psyc]],ResearchInput[[#This Row],[P4P.Soc]],ResearchInput[[#This Row],[P4P.Othr]],ResearchInput[[#This Row],[P4P.Non]])</f>
        <v>0</v>
      </c>
      <c r="GX32" s="92">
        <f>SUM(ResearchInput[[#This Row],[PNP.Comp]],ResearchInput[[#This Row],[PNP.Eng]],ResearchInput[[#This Row],[PNP.Geo]],ResearchInput[[#This Row],[PNP.Life]],ResearchInput[[#This Row],[PNP.Math]],ResearchInput[[#This Row],[PNP.Phys]],ResearchInput[[#This Row],[PNP.Psyc]],ResearchInput[[#This Row],[PNP.Soc]],ResearchInput[[#This Row],[PNP.Othr]],ResearchInput[[#This Row],[PNP.Non]])</f>
        <v>0</v>
      </c>
      <c r="GY32" s="92">
        <f>SUM(ResearchInput[[#This Row],[P.All.Comp]],ResearchInput[[#This Row],[P.All.Eng]],ResearchInput[[#This Row],[P.All.Geo]],ResearchInput[[#This Row],[P.All.Life]],ResearchInput[[#This Row],[P.All.Math]],ResearchInput[[#This Row],[P.All.Phys]],ResearchInput[[#This Row],[P.All.Psyc]],ResearchInput[[#This Row],[P.All.Soc]],ResearchInput[[#This Row],[P.All.Othr]],ResearchInput[[#This Row],[P.All.Non]])</f>
        <v>0</v>
      </c>
    </row>
    <row r="33" spans="1:207" s="47" customFormat="1" ht="27" customHeight="1" x14ac:dyDescent="0.25">
      <c r="A33" s="34" t="s">
        <v>768</v>
      </c>
      <c r="B33" s="34" t="s">
        <v>219</v>
      </c>
      <c r="C33" s="35" t="s">
        <v>688</v>
      </c>
      <c r="D33" s="35" t="s">
        <v>684</v>
      </c>
      <c r="E33" s="94">
        <v>400</v>
      </c>
      <c r="F33" s="91" t="s">
        <v>716</v>
      </c>
      <c r="G33" s="35" t="s">
        <v>553</v>
      </c>
      <c r="H33" s="96">
        <v>103594</v>
      </c>
      <c r="I33" s="92">
        <v>0</v>
      </c>
      <c r="J33" s="92">
        <v>0</v>
      </c>
      <c r="K33" s="92">
        <v>0</v>
      </c>
      <c r="L33" s="92">
        <v>0</v>
      </c>
      <c r="M33" s="92">
        <v>769351</v>
      </c>
      <c r="N33" s="92">
        <v>0</v>
      </c>
      <c r="O33" s="92">
        <v>0</v>
      </c>
      <c r="P33" s="92">
        <v>0</v>
      </c>
      <c r="Q33" s="92">
        <v>0</v>
      </c>
      <c r="R33" s="92">
        <v>0</v>
      </c>
      <c r="S33" s="92">
        <v>0</v>
      </c>
      <c r="T33" s="92">
        <v>0</v>
      </c>
      <c r="U33" s="92">
        <v>-769351</v>
      </c>
      <c r="V33" s="92">
        <v>0</v>
      </c>
      <c r="W33" s="92">
        <v>0</v>
      </c>
      <c r="X33" s="92">
        <v>0</v>
      </c>
      <c r="Y33" s="92">
        <v>0</v>
      </c>
      <c r="Z33" s="92">
        <v>0</v>
      </c>
      <c r="AA33" s="92">
        <v>0</v>
      </c>
      <c r="AB33" s="92">
        <v>0</v>
      </c>
      <c r="AC33" s="92">
        <v>0</v>
      </c>
      <c r="AD33" s="92">
        <v>0</v>
      </c>
      <c r="AE33" s="92">
        <v>0</v>
      </c>
      <c r="AF33" s="92">
        <v>0</v>
      </c>
      <c r="AG33" s="92">
        <v>0</v>
      </c>
      <c r="AH33" s="92">
        <v>0</v>
      </c>
      <c r="AI33" s="92">
        <v>0</v>
      </c>
      <c r="AJ33" s="92">
        <v>0</v>
      </c>
      <c r="AK33" s="92">
        <v>0</v>
      </c>
      <c r="AL33" s="92">
        <v>0</v>
      </c>
      <c r="AM33" s="92">
        <v>0</v>
      </c>
      <c r="AN33" s="92">
        <v>0</v>
      </c>
      <c r="AO33" s="92">
        <v>0</v>
      </c>
      <c r="AP33" s="92">
        <v>0</v>
      </c>
      <c r="AQ33" s="92">
        <v>0</v>
      </c>
      <c r="AR33" s="92">
        <v>0</v>
      </c>
      <c r="AS33" s="92">
        <v>0</v>
      </c>
      <c r="AT33" s="92">
        <v>0</v>
      </c>
      <c r="AU33" s="92">
        <v>0</v>
      </c>
      <c r="AV33" s="92">
        <v>0</v>
      </c>
      <c r="AW33" s="92">
        <v>0</v>
      </c>
      <c r="AX33" s="92">
        <v>0</v>
      </c>
      <c r="AY33" s="92">
        <v>0</v>
      </c>
      <c r="AZ33" s="92">
        <v>0</v>
      </c>
      <c r="BA33" s="92">
        <v>0</v>
      </c>
      <c r="BB33" s="92">
        <v>0</v>
      </c>
      <c r="BC33" s="92">
        <v>0</v>
      </c>
      <c r="BD33" s="92">
        <v>0</v>
      </c>
      <c r="BE33" s="92">
        <v>0</v>
      </c>
      <c r="BF33" s="92">
        <v>0</v>
      </c>
      <c r="BG33" s="92">
        <v>0</v>
      </c>
      <c r="BH33" s="92">
        <v>0</v>
      </c>
      <c r="BI33" s="92">
        <v>0</v>
      </c>
      <c r="BJ33" s="92">
        <v>0</v>
      </c>
      <c r="BK33" s="92">
        <v>0</v>
      </c>
      <c r="BL33" s="92">
        <v>0</v>
      </c>
      <c r="BM33" s="92">
        <v>0</v>
      </c>
      <c r="BN33" s="92">
        <v>0</v>
      </c>
      <c r="BO33" s="92">
        <v>0</v>
      </c>
      <c r="BP33" s="92">
        <v>0</v>
      </c>
      <c r="BQ33" s="92">
        <v>0</v>
      </c>
      <c r="BR33" s="92">
        <v>0</v>
      </c>
      <c r="BS33" s="92">
        <v>0</v>
      </c>
      <c r="BT33" s="92">
        <v>0</v>
      </c>
      <c r="BU33" s="92">
        <v>0</v>
      </c>
      <c r="BV33" s="92">
        <v>0</v>
      </c>
      <c r="BW33" s="92">
        <v>0</v>
      </c>
      <c r="BX33" s="92">
        <v>0</v>
      </c>
      <c r="BY33" s="92">
        <v>0</v>
      </c>
      <c r="BZ33" s="92">
        <v>0</v>
      </c>
      <c r="CA33" s="92">
        <v>0</v>
      </c>
      <c r="CB33" s="92">
        <v>0</v>
      </c>
      <c r="CC33" s="92">
        <v>0</v>
      </c>
      <c r="CD33" s="92">
        <v>0</v>
      </c>
      <c r="CE33" s="92">
        <v>0</v>
      </c>
      <c r="CF33" s="92">
        <v>0</v>
      </c>
      <c r="CG33" s="92">
        <v>0</v>
      </c>
      <c r="CH33" s="92">
        <v>0</v>
      </c>
      <c r="CI33" s="92">
        <v>0</v>
      </c>
      <c r="CJ33" s="92">
        <v>0</v>
      </c>
      <c r="CK33" s="92">
        <v>0</v>
      </c>
      <c r="CL33" s="92">
        <v>0</v>
      </c>
      <c r="CM33" s="92">
        <v>0</v>
      </c>
      <c r="CN33" s="92">
        <v>0</v>
      </c>
      <c r="CO33" s="92">
        <v>0</v>
      </c>
      <c r="CP33" s="92">
        <v>0</v>
      </c>
      <c r="CQ33" s="92">
        <v>0</v>
      </c>
      <c r="CR33" s="92">
        <v>0</v>
      </c>
      <c r="CS33" s="92">
        <v>0</v>
      </c>
      <c r="CT33" s="92">
        <v>0</v>
      </c>
      <c r="CU33" s="92">
        <v>0</v>
      </c>
      <c r="CV33" s="92">
        <v>0</v>
      </c>
      <c r="CW33" s="92">
        <v>0</v>
      </c>
      <c r="CX33" s="92">
        <v>0</v>
      </c>
      <c r="CY33" s="92">
        <v>0</v>
      </c>
      <c r="CZ33" s="92">
        <v>0</v>
      </c>
      <c r="DA33" s="92">
        <v>0</v>
      </c>
      <c r="DB33" s="92">
        <v>0</v>
      </c>
      <c r="DC33" s="92">
        <v>0</v>
      </c>
      <c r="DD33" s="92">
        <v>0</v>
      </c>
      <c r="DE33" s="92">
        <v>0</v>
      </c>
      <c r="DF33" s="92">
        <v>0</v>
      </c>
      <c r="DG33" s="92">
        <v>0</v>
      </c>
      <c r="DH33" s="92">
        <v>0</v>
      </c>
      <c r="DI33" s="92">
        <v>0</v>
      </c>
      <c r="DJ33" s="92">
        <v>0</v>
      </c>
      <c r="DK33" s="92">
        <v>0</v>
      </c>
      <c r="DL33" s="92">
        <v>0</v>
      </c>
      <c r="DM33" s="92">
        <v>0</v>
      </c>
      <c r="DN33" s="92">
        <v>0</v>
      </c>
      <c r="DO33" s="92">
        <v>0</v>
      </c>
      <c r="DP33" s="92">
        <v>0</v>
      </c>
      <c r="DQ33" s="92">
        <v>0</v>
      </c>
      <c r="DR33" s="92">
        <v>0</v>
      </c>
      <c r="DS33" s="92">
        <v>0</v>
      </c>
      <c r="DT33" s="92">
        <v>0</v>
      </c>
      <c r="DU33" s="92">
        <v>0</v>
      </c>
      <c r="DV33" s="92">
        <v>0</v>
      </c>
      <c r="DW33" s="92">
        <v>0</v>
      </c>
      <c r="DX33" s="92">
        <v>0</v>
      </c>
      <c r="DY33" s="92">
        <v>0</v>
      </c>
      <c r="DZ33" s="92">
        <v>0</v>
      </c>
      <c r="EA33" s="92">
        <v>0</v>
      </c>
      <c r="EB33" s="92">
        <v>0</v>
      </c>
      <c r="EC33" s="92">
        <v>0</v>
      </c>
      <c r="ED33" s="92">
        <v>0</v>
      </c>
      <c r="EE33" s="92">
        <v>0</v>
      </c>
      <c r="EF33" s="92">
        <v>0</v>
      </c>
      <c r="EG33" s="92">
        <v>0</v>
      </c>
      <c r="EH33" s="92">
        <v>0</v>
      </c>
      <c r="EI33" s="92">
        <v>0</v>
      </c>
      <c r="EJ33" s="92">
        <v>0</v>
      </c>
      <c r="EK33" s="92">
        <v>0</v>
      </c>
      <c r="EL33" s="92">
        <v>0</v>
      </c>
      <c r="EM33" s="92">
        <v>0</v>
      </c>
      <c r="EN33" s="92">
        <v>0</v>
      </c>
      <c r="EO33" s="92">
        <v>0</v>
      </c>
      <c r="EP33" s="92">
        <v>0</v>
      </c>
      <c r="EQ33" s="92">
        <v>0</v>
      </c>
      <c r="ER33" s="92">
        <v>0</v>
      </c>
      <c r="ES33" s="92">
        <v>0</v>
      </c>
      <c r="ET33" s="92">
        <v>0</v>
      </c>
      <c r="EU33" s="92">
        <v>0</v>
      </c>
      <c r="EV33" s="92">
        <v>0</v>
      </c>
      <c r="EW33" s="92">
        <v>0</v>
      </c>
      <c r="EX33" s="92">
        <v>0</v>
      </c>
      <c r="EY33" s="92">
        <v>0</v>
      </c>
      <c r="EZ33" s="92">
        <v>0</v>
      </c>
      <c r="FA33" s="92">
        <v>0</v>
      </c>
      <c r="FB33" s="92">
        <v>0</v>
      </c>
      <c r="FC33" s="92">
        <v>0</v>
      </c>
      <c r="FD33" s="92">
        <v>0</v>
      </c>
      <c r="FE33" s="92">
        <v>0</v>
      </c>
      <c r="FF33" s="92">
        <v>0</v>
      </c>
      <c r="FG33" s="92">
        <v>0</v>
      </c>
      <c r="FH33" s="92">
        <v>0</v>
      </c>
      <c r="FI33" s="92">
        <v>0</v>
      </c>
      <c r="FJ33" s="92">
        <v>0</v>
      </c>
      <c r="FK33" s="92">
        <v>0</v>
      </c>
      <c r="FL33" s="92">
        <v>0</v>
      </c>
      <c r="FM33" s="92">
        <v>0</v>
      </c>
      <c r="FN33" s="92">
        <v>0</v>
      </c>
      <c r="FO33" s="92">
        <v>0</v>
      </c>
      <c r="FP33" s="92">
        <v>0</v>
      </c>
      <c r="FQ33" s="92">
        <v>0</v>
      </c>
      <c r="FR33" s="92">
        <v>0</v>
      </c>
      <c r="FS33" s="92">
        <v>0</v>
      </c>
      <c r="FT33" s="92">
        <v>0</v>
      </c>
      <c r="FU33" s="92">
        <v>0</v>
      </c>
      <c r="FV33" s="92">
        <v>0</v>
      </c>
      <c r="FW33" s="92">
        <v>0</v>
      </c>
      <c r="FX33" s="92">
        <v>0</v>
      </c>
      <c r="FY33" s="92">
        <v>0</v>
      </c>
      <c r="FZ33" s="92">
        <v>0</v>
      </c>
      <c r="GA33" s="92">
        <v>0</v>
      </c>
      <c r="GB33" s="92">
        <v>0</v>
      </c>
      <c r="GC33" s="92">
        <v>0</v>
      </c>
      <c r="GD33" s="92">
        <v>769351</v>
      </c>
      <c r="GE33" s="92">
        <v>769351</v>
      </c>
      <c r="GF33" s="92">
        <v>72008062</v>
      </c>
      <c r="GG33" s="47" t="s">
        <v>617</v>
      </c>
      <c r="GH33" s="47" t="s">
        <v>618</v>
      </c>
      <c r="GI33" s="93">
        <v>9403695097</v>
      </c>
      <c r="GJ33" s="47" t="s">
        <v>619</v>
      </c>
      <c r="GK33" s="47" t="s">
        <v>620</v>
      </c>
      <c r="GL33" s="47" t="s">
        <v>621</v>
      </c>
      <c r="GM33" s="93">
        <v>9403695524</v>
      </c>
      <c r="GN33" s="47" t="s">
        <v>622</v>
      </c>
      <c r="GO33" s="92" t="str" cm="1">
        <f t="array" ref="GO33">IFERROR(_xlfn.IFS(ResearchInput[[#This Row],[Type]]="HRI",SUMIFS('FTSE | FTFE'!$P$8:$P$77,'FTSE | FTFE'!$H$8:$H$77,A33),ResearchInput[[#This Row],[Type]]="UNIV",SUMIFS('FTSE | FTFE'!$P$104:$P$139,'FTSE | FTFE'!$H$104:$H$139,A33),OR(ResearchInput[[#This Row],[Type]]="TSTC",ResearchInput[[#This Row],[Type]]="LSC"),SUMIFS('FTSE | FTFE'!$O$88:$O$96,'FTSE | FTFE'!$H$88:$H$96,A33),ResearchInput[[#This Row],[Type]]="AHM",SUMIFS(Hidden!$H$43:$H$46,Hidden!$G$42:$G$45,A33)),"N/A")</f>
        <v>N/A</v>
      </c>
      <c r="GP33" s="92" t="str" cm="1">
        <f t="array" ref="GP33">IFERROR(_xlfn.IFS(ResearchInput[[#This Row],[Type]]="HRI",SUMIFS('FTSE | FTFE'!$Q$8:$Q$77,'FTSE | FTFE'!$H$8:$H$77,A33),ResearchInput[[#This Row],[Type]]="UNIV",SUMIFS('FTSE | FTFE'!$Q$104:$Q$139,'FTSE | FTFE'!$H$104:$H$139,A33),OR(ResearchInput[[#This Row],[Type]]="TSTC",ResearchInput[[#This Row],[Type]]="LSC"),SUMIFS('FTSE | FTFE'!$P$88:$P$96,'FTSE | FTFE'!$H$88:$H$96,A33)),"N/A")</f>
        <v>N/A</v>
      </c>
      <c r="GQ33" s="92">
        <v>0</v>
      </c>
      <c r="GR33" s="92">
        <f>SUM(ResearchInput[[#This Row],[Fed.Comp]],ResearchInput[[#This Row],[Fed.Eng]],ResearchInput[[#This Row],[Fed.Geo]],ResearchInput[[#This Row],[Fed.Life]],ResearchInput[[#This Row],[Fed.Math]],ResearchInput[[#This Row],[Fed.Phys]],ResearchInput[[#This Row],[Fed.Psyc]],ResearchInput[[#This Row],[Fed.Soc]],ResearchInput[[#This Row],[Fed.Othr]],ResearchInput[[#This Row],[Fed.Non]])</f>
        <v>0</v>
      </c>
      <c r="GS33" s="92">
        <f>SUM(ResearchInput[[#This Row],[St.Comp]],ResearchInput[[#This Row],[St.Eng]],ResearchInput[[#This Row],[St.Geo]],ResearchInput[[#This Row],[St.Life]],ResearchInput[[#This Row],[St.Math]],ResearchInput[[#This Row],[St.Phys]],ResearchInput[[#This Row],[St.Psyc]],ResearchInput[[#This Row],[St.Soc]],ResearchInput[[#This Row],[St.Othr]],ResearchInput[[#This Row],[St.Non]])</f>
        <v>0</v>
      </c>
      <c r="GT33" s="92">
        <f>SUM(ResearchInput[[#This Row],[St.C&amp;G.Comp]],ResearchInput[[#This Row],[St.C&amp;G.Eng]],ResearchInput[[#This Row],[St.C&amp;G.Geo]],ResearchInput[[#This Row],[St.C&amp;G.Life]],ResearchInput[[#This Row],[St.C&amp;G.Math]],ResearchInput[[#This Row],[St.C&amp;G.Phys]],ResearchInput[[#This Row],[St.C&amp;G.Psyc]],ResearchInput[[#This Row],[St.C&amp;G.Soc]],ResearchInput[[#This Row],[St.C&amp;G.Othr]],ResearchInput[[#This Row],[St.C&amp;G.Non]])</f>
        <v>0</v>
      </c>
      <c r="GU33" s="92">
        <f>SUM(ResearchInput[[#This Row],[St.All.Comp]],ResearchInput[[#This Row],[St.All.Eng]],ResearchInput[[#This Row],[St.All.Geo]],ResearchInput[[#This Row],[St.All.Life]],ResearchInput[[#This Row],[St.All.Math]],ResearchInput[[#This Row],[St.All.Phys]],ResearchInput[[#This Row],[St.All.Psyc]],ResearchInput[[#This Row],[St.All.Soc]],ResearchInput[[#This Row],[St.All.Othr]],ResearchInput[[#This Row],[St.All.Non]])</f>
        <v>0</v>
      </c>
      <c r="GV33" s="92">
        <f>SUM(ResearchInput[[#This Row],[Inst.Comp]],ResearchInput[[#This Row],[Inst.Eng]],ResearchInput[[#This Row],[Inst.Geo]],ResearchInput[[#This Row],[Inst.Life]],ResearchInput[[#This Row],[Inst.Math]],ResearchInput[[#This Row],[Inst.Phys]],ResearchInput[[#This Row],[Inst.Psyc]],ResearchInput[[#This Row],[Inst.Soc]],ResearchInput[[#This Row],[Inst.Othr]],ResearchInput[[#This Row],[Inst.Non]])</f>
        <v>0</v>
      </c>
      <c r="GW33" s="92">
        <f>SUM(ResearchInput[[#This Row],[P4P.Comp]],ResearchInput[[#This Row],[P4P.Eng]],ResearchInput[[#This Row],[P4P.Geo]],ResearchInput[[#This Row],[P4P.Life]],ResearchInput[[#This Row],[P4P.Math]],ResearchInput[[#This Row],[P4P.Phys]],ResearchInput[[#This Row],[P4P.Psyc]],ResearchInput[[#This Row],[P4P.Soc]],ResearchInput[[#This Row],[P4P.Othr]],ResearchInput[[#This Row],[P4P.Non]])</f>
        <v>0</v>
      </c>
      <c r="GX33" s="92">
        <f>SUM(ResearchInput[[#This Row],[PNP.Comp]],ResearchInput[[#This Row],[PNP.Eng]],ResearchInput[[#This Row],[PNP.Geo]],ResearchInput[[#This Row],[PNP.Life]],ResearchInput[[#This Row],[PNP.Math]],ResearchInput[[#This Row],[PNP.Phys]],ResearchInput[[#This Row],[PNP.Psyc]],ResearchInput[[#This Row],[PNP.Soc]],ResearchInput[[#This Row],[PNP.Othr]],ResearchInput[[#This Row],[PNP.Non]])</f>
        <v>0</v>
      </c>
      <c r="GY33" s="92">
        <f>SUM(ResearchInput[[#This Row],[P.All.Comp]],ResearchInput[[#This Row],[P.All.Eng]],ResearchInput[[#This Row],[P.All.Geo]],ResearchInput[[#This Row],[P.All.Life]],ResearchInput[[#This Row],[P.All.Math]],ResearchInput[[#This Row],[P.All.Phys]],ResearchInput[[#This Row],[P.All.Psyc]],ResearchInput[[#This Row],[P.All.Soc]],ResearchInput[[#This Row],[P.All.Othr]],ResearchInput[[#This Row],[P.All.Non]])</f>
        <v>0</v>
      </c>
    </row>
    <row r="34" spans="1:207" s="47" customFormat="1" ht="27" customHeight="1" x14ac:dyDescent="0.25">
      <c r="A34" s="34" t="s">
        <v>236</v>
      </c>
      <c r="B34" s="34" t="s">
        <v>671</v>
      </c>
      <c r="C34" s="35" t="s">
        <v>688</v>
      </c>
      <c r="D34" s="35" t="s">
        <v>673</v>
      </c>
      <c r="E34" s="94">
        <v>401</v>
      </c>
      <c r="F34" s="35" t="s">
        <v>715</v>
      </c>
      <c r="G34" s="35" t="s">
        <v>694</v>
      </c>
      <c r="H34" s="96">
        <v>3594</v>
      </c>
      <c r="I34" s="92">
        <v>27842023</v>
      </c>
      <c r="J34" s="92">
        <v>46145504</v>
      </c>
      <c r="K34" s="92">
        <v>1443664</v>
      </c>
      <c r="L34" s="92">
        <v>430809</v>
      </c>
      <c r="M34" s="92">
        <v>17391319</v>
      </c>
      <c r="N34" s="92">
        <v>1188268</v>
      </c>
      <c r="O34" s="92">
        <v>2624002</v>
      </c>
      <c r="P34" s="92">
        <v>9747002</v>
      </c>
      <c r="Q34" s="92">
        <v>0</v>
      </c>
      <c r="R34" s="92">
        <v>0</v>
      </c>
      <c r="S34" s="92">
        <v>-782153</v>
      </c>
      <c r="T34" s="92">
        <v>0</v>
      </c>
      <c r="U34" s="92">
        <v>0</v>
      </c>
      <c r="V34" s="92">
        <v>0</v>
      </c>
      <c r="W34" s="92">
        <v>0</v>
      </c>
      <c r="X34" s="92">
        <v>0</v>
      </c>
      <c r="Y34" s="92">
        <v>-1474267</v>
      </c>
      <c r="Z34" s="92">
        <v>0</v>
      </c>
      <c r="AA34" s="92">
        <v>-31254</v>
      </c>
      <c r="AB34" s="92">
        <v>0</v>
      </c>
      <c r="AC34" s="92">
        <v>0</v>
      </c>
      <c r="AD34" s="92">
        <v>0</v>
      </c>
      <c r="AE34" s="92">
        <v>0</v>
      </c>
      <c r="AF34" s="92">
        <v>0</v>
      </c>
      <c r="AG34" s="92">
        <v>8749525</v>
      </c>
      <c r="AH34" s="92">
        <v>0</v>
      </c>
      <c r="AI34" s="92">
        <v>88793</v>
      </c>
      <c r="AJ34" s="92">
        <v>103999</v>
      </c>
      <c r="AK34" s="92">
        <v>16587</v>
      </c>
      <c r="AL34" s="92">
        <v>319746</v>
      </c>
      <c r="AM34" s="92">
        <v>206691</v>
      </c>
      <c r="AN34" s="92">
        <v>89236</v>
      </c>
      <c r="AO34" s="92">
        <v>2940890</v>
      </c>
      <c r="AP34" s="92">
        <v>4417848</v>
      </c>
      <c r="AQ34" s="92">
        <v>0</v>
      </c>
      <c r="AR34" s="92">
        <v>34347</v>
      </c>
      <c r="AS34" s="92">
        <v>569641</v>
      </c>
      <c r="AT34" s="92">
        <v>84745</v>
      </c>
      <c r="AU34" s="92">
        <v>89931</v>
      </c>
      <c r="AV34" s="92">
        <v>3048108</v>
      </c>
      <c r="AW34" s="92">
        <v>0</v>
      </c>
      <c r="AX34" s="92">
        <v>0</v>
      </c>
      <c r="AY34" s="92">
        <v>0</v>
      </c>
      <c r="AZ34" s="92">
        <v>0</v>
      </c>
      <c r="BA34" s="92">
        <v>0</v>
      </c>
      <c r="BB34" s="92">
        <v>0</v>
      </c>
      <c r="BC34" s="92">
        <v>0</v>
      </c>
      <c r="BD34" s="92">
        <v>0</v>
      </c>
      <c r="BE34" s="92">
        <v>0</v>
      </c>
      <c r="BF34" s="92">
        <v>0</v>
      </c>
      <c r="BG34" s="92">
        <v>0</v>
      </c>
      <c r="BH34" s="92">
        <v>0</v>
      </c>
      <c r="BI34" s="92">
        <v>0</v>
      </c>
      <c r="BJ34" s="92">
        <v>0</v>
      </c>
      <c r="BK34" s="92">
        <v>0</v>
      </c>
      <c r="BL34" s="92">
        <v>0</v>
      </c>
      <c r="BM34" s="92">
        <v>0</v>
      </c>
      <c r="BN34" s="92">
        <v>0</v>
      </c>
      <c r="BO34" s="92">
        <v>0</v>
      </c>
      <c r="BP34" s="92">
        <v>0</v>
      </c>
      <c r="BQ34" s="92">
        <v>0</v>
      </c>
      <c r="BR34" s="92">
        <v>0</v>
      </c>
      <c r="BS34" s="92">
        <v>0</v>
      </c>
      <c r="BT34" s="92">
        <v>0</v>
      </c>
      <c r="BU34" s="92">
        <v>4061766</v>
      </c>
      <c r="BV34" s="92">
        <v>2227162</v>
      </c>
      <c r="BW34" s="92">
        <v>0</v>
      </c>
      <c r="BX34" s="92">
        <v>0</v>
      </c>
      <c r="BY34" s="92">
        <v>2097409</v>
      </c>
      <c r="BZ34" s="92">
        <v>251411</v>
      </c>
      <c r="CA34" s="92">
        <v>190391</v>
      </c>
      <c r="CB34" s="92">
        <v>248550</v>
      </c>
      <c r="CC34" s="92">
        <v>14335684</v>
      </c>
      <c r="CD34" s="92">
        <v>7681609</v>
      </c>
      <c r="CE34" s="92">
        <v>323778</v>
      </c>
      <c r="CF34" s="92">
        <v>0</v>
      </c>
      <c r="CG34" s="92">
        <v>4044484</v>
      </c>
      <c r="CH34" s="92">
        <v>810416</v>
      </c>
      <c r="CI34" s="92">
        <v>237212</v>
      </c>
      <c r="CJ34" s="92">
        <v>590610</v>
      </c>
      <c r="CK34" s="92">
        <v>479456</v>
      </c>
      <c r="CL34" s="92">
        <v>444954</v>
      </c>
      <c r="CM34" s="92">
        <v>52546</v>
      </c>
      <c r="CN34" s="95">
        <v>64639</v>
      </c>
      <c r="CO34" s="92">
        <v>127484</v>
      </c>
      <c r="CP34" s="92">
        <v>0</v>
      </c>
      <c r="CQ34" s="92">
        <v>31707</v>
      </c>
      <c r="CR34" s="92">
        <v>2139</v>
      </c>
      <c r="CS34" s="92">
        <v>4768054</v>
      </c>
      <c r="CT34" s="92">
        <v>3866221</v>
      </c>
      <c r="CU34" s="92">
        <v>92291</v>
      </c>
      <c r="CV34" s="92">
        <v>445563</v>
      </c>
      <c r="CW34" s="92">
        <v>2929612</v>
      </c>
      <c r="CX34" s="92">
        <v>400</v>
      </c>
      <c r="CY34" s="92">
        <v>387181</v>
      </c>
      <c r="CZ34" s="92">
        <v>376557</v>
      </c>
      <c r="DA34" s="92">
        <v>976995</v>
      </c>
      <c r="DB34" s="92">
        <v>1481094</v>
      </c>
      <c r="DC34" s="92">
        <v>0</v>
      </c>
      <c r="DD34" s="92">
        <v>0</v>
      </c>
      <c r="DE34" s="92">
        <v>442048</v>
      </c>
      <c r="DF34" s="92">
        <v>0</v>
      </c>
      <c r="DG34" s="92">
        <v>87769</v>
      </c>
      <c r="DH34" s="92">
        <v>13803</v>
      </c>
      <c r="DI34" s="92">
        <v>4762739</v>
      </c>
      <c r="DJ34" s="92">
        <v>3136912</v>
      </c>
      <c r="DK34" s="92">
        <v>16883</v>
      </c>
      <c r="DL34" s="92">
        <v>0</v>
      </c>
      <c r="DM34" s="92">
        <v>1902673</v>
      </c>
      <c r="DN34" s="92">
        <v>227101</v>
      </c>
      <c r="DO34" s="92">
        <v>674119</v>
      </c>
      <c r="DP34" s="92">
        <v>397475</v>
      </c>
      <c r="DQ34" s="92">
        <v>2431162</v>
      </c>
      <c r="DR34" s="92">
        <v>2574508</v>
      </c>
      <c r="DS34" s="92">
        <v>25565</v>
      </c>
      <c r="DT34" s="92">
        <v>0</v>
      </c>
      <c r="DU34" s="92">
        <v>796044</v>
      </c>
      <c r="DV34" s="92">
        <v>323</v>
      </c>
      <c r="DW34" s="92">
        <v>265560</v>
      </c>
      <c r="DX34" s="92">
        <v>201552</v>
      </c>
      <c r="DY34" s="92">
        <v>2788359</v>
      </c>
      <c r="DZ34" s="92">
        <v>11290536</v>
      </c>
      <c r="EA34" s="92">
        <v>207987</v>
      </c>
      <c r="EB34" s="92">
        <v>5126</v>
      </c>
      <c r="EC34" s="92">
        <v>1234333</v>
      </c>
      <c r="ED34" s="92">
        <v>-460</v>
      </c>
      <c r="EE34" s="92">
        <v>356030</v>
      </c>
      <c r="EF34" s="92">
        <v>7051129</v>
      </c>
      <c r="EG34" s="92">
        <v>0</v>
      </c>
      <c r="EH34" s="92">
        <v>0</v>
      </c>
      <c r="EI34" s="92">
        <v>0</v>
      </c>
      <c r="EJ34" s="92">
        <v>0</v>
      </c>
      <c r="EK34" s="92">
        <v>0</v>
      </c>
      <c r="EL34" s="92">
        <v>0</v>
      </c>
      <c r="EM34" s="92">
        <v>0</v>
      </c>
      <c r="EN34" s="92">
        <v>0</v>
      </c>
      <c r="EO34" s="92">
        <v>3453956</v>
      </c>
      <c r="EP34" s="92">
        <v>17860356</v>
      </c>
      <c r="EQ34" s="92">
        <v>0</v>
      </c>
      <c r="ER34" s="92">
        <v>53827</v>
      </c>
      <c r="ES34" s="92">
        <v>4403460</v>
      </c>
      <c r="ET34" s="92">
        <v>303568</v>
      </c>
      <c r="EU34" s="92">
        <v>690655</v>
      </c>
      <c r="EV34" s="92">
        <v>4002531</v>
      </c>
      <c r="EW34" s="92">
        <v>0</v>
      </c>
      <c r="EX34" s="92">
        <v>0</v>
      </c>
      <c r="EY34" s="92">
        <v>0</v>
      </c>
      <c r="EZ34" s="92">
        <v>0</v>
      </c>
      <c r="FA34" s="92">
        <v>0</v>
      </c>
      <c r="FB34" s="92">
        <v>0</v>
      </c>
      <c r="FC34" s="92">
        <v>0</v>
      </c>
      <c r="FD34" s="92">
        <v>0</v>
      </c>
      <c r="FE34" s="92">
        <v>0</v>
      </c>
      <c r="FF34" s="92">
        <v>0</v>
      </c>
      <c r="FG34" s="92">
        <v>0</v>
      </c>
      <c r="FH34" s="92">
        <v>0</v>
      </c>
      <c r="FI34" s="92">
        <v>0</v>
      </c>
      <c r="FJ34" s="92">
        <v>0</v>
      </c>
      <c r="FK34" s="92">
        <v>0</v>
      </c>
      <c r="FL34" s="92">
        <v>0</v>
      </c>
      <c r="FM34" s="92">
        <v>0</v>
      </c>
      <c r="FN34" s="92">
        <v>0</v>
      </c>
      <c r="FO34" s="92">
        <v>0</v>
      </c>
      <c r="FP34" s="92">
        <v>0</v>
      </c>
      <c r="FQ34" s="92">
        <v>0</v>
      </c>
      <c r="FR34" s="92">
        <v>0</v>
      </c>
      <c r="FS34" s="92">
        <v>0</v>
      </c>
      <c r="FT34" s="92">
        <v>0</v>
      </c>
      <c r="FU34" s="92">
        <v>0</v>
      </c>
      <c r="FV34" s="92">
        <v>0</v>
      </c>
      <c r="FW34" s="92">
        <v>0</v>
      </c>
      <c r="FX34" s="92">
        <v>0</v>
      </c>
      <c r="FY34" s="92">
        <v>0</v>
      </c>
      <c r="FZ34" s="92">
        <v>0</v>
      </c>
      <c r="GA34" s="92">
        <v>0</v>
      </c>
      <c r="GB34" s="92">
        <v>0</v>
      </c>
      <c r="GC34" s="92">
        <v>0</v>
      </c>
      <c r="GD34" s="92">
        <v>106812591</v>
      </c>
      <c r="GE34" s="92">
        <v>116265748</v>
      </c>
      <c r="GF34" s="92">
        <v>819978113</v>
      </c>
      <c r="GG34" s="47" t="s">
        <v>807</v>
      </c>
      <c r="GH34" s="47" t="s">
        <v>402</v>
      </c>
      <c r="GI34" s="93">
        <v>9403695518</v>
      </c>
      <c r="GJ34" s="47" t="s">
        <v>808</v>
      </c>
      <c r="GK34" s="47" t="s">
        <v>809</v>
      </c>
      <c r="GL34" s="47" t="s">
        <v>810</v>
      </c>
      <c r="GM34" s="93">
        <v>9403695095</v>
      </c>
      <c r="GN34" s="47" t="s">
        <v>811</v>
      </c>
      <c r="GO34" s="92" cm="1">
        <f t="array" ref="GO34">IFERROR(_xlfn.IFS(ResearchInput[[#This Row],[Type]]="HRI",SUMIFS('FTSE | FTFE'!$P$8:$P$77,'FTSE | FTFE'!$H$8:$H$77,A34),ResearchInput[[#This Row],[Type]]="UNIV",SUMIFS('FTSE | FTFE'!$P$104:$P$139,'FTSE | FTFE'!$H$104:$H$139,A34),OR(ResearchInput[[#This Row],[Type]]="TSTC",ResearchInput[[#This Row],[Type]]="LSC"),SUMIFS('FTSE | FTFE'!$O$88:$O$96,'FTSE | FTFE'!$H$88:$H$96,A34),ResearchInput[[#This Row],[Type]]="AHM",SUMIFS(Hidden!$H$43:$H$46,Hidden!$G$42:$G$45,A34)),"N/A")</f>
        <v>38778</v>
      </c>
      <c r="GP34" s="92" cm="1">
        <f t="array" ref="GP34">IFERROR(_xlfn.IFS(ResearchInput[[#This Row],[Type]]="HRI",SUMIFS('FTSE | FTFE'!$Q$8:$Q$77,'FTSE | FTFE'!$H$8:$H$77,A34),ResearchInput[[#This Row],[Type]]="UNIV",SUMIFS('FTSE | FTFE'!$Q$104:$Q$139,'FTSE | FTFE'!$H$104:$H$139,A34),OR(ResearchInput[[#This Row],[Type]]="TSTC",ResearchInput[[#This Row],[Type]]="LSC"),SUMIFS('FTSE | FTFE'!$P$88:$P$96,'FTSE | FTFE'!$H$88:$H$96,A34)),"N/A")</f>
        <v>599</v>
      </c>
      <c r="GQ34" s="92">
        <v>0</v>
      </c>
      <c r="GR34" s="92">
        <v>38058171</v>
      </c>
      <c r="GS34" s="92">
        <v>50563352</v>
      </c>
      <c r="GT34" s="92">
        <v>719050</v>
      </c>
      <c r="GU34" s="92">
        <v>569154</v>
      </c>
      <c r="GV34" s="92">
        <v>17977547</v>
      </c>
      <c r="GW34" s="92">
        <v>1592759</v>
      </c>
      <c r="GX34" s="92">
        <v>2920624</v>
      </c>
      <c r="GY34" s="92">
        <v>12884346</v>
      </c>
    </row>
    <row r="35" spans="1:207" s="47" customFormat="1" ht="27" customHeight="1" x14ac:dyDescent="0.25">
      <c r="A35" s="34" t="s">
        <v>193</v>
      </c>
      <c r="B35" s="34" t="s">
        <v>671</v>
      </c>
      <c r="C35" s="35" t="s">
        <v>688</v>
      </c>
      <c r="D35" s="35" t="s">
        <v>673</v>
      </c>
      <c r="E35" s="94">
        <v>402</v>
      </c>
      <c r="F35" s="35" t="s">
        <v>714</v>
      </c>
      <c r="G35" s="35" t="s">
        <v>690</v>
      </c>
      <c r="H35" s="96">
        <v>42421</v>
      </c>
      <c r="I35" s="92">
        <v>112377</v>
      </c>
      <c r="J35" s="92">
        <v>0</v>
      </c>
      <c r="K35" s="92">
        <v>0</v>
      </c>
      <c r="L35" s="92">
        <v>0</v>
      </c>
      <c r="M35" s="92">
        <v>473255</v>
      </c>
      <c r="N35" s="92">
        <v>0</v>
      </c>
      <c r="O35" s="92">
        <v>-12</v>
      </c>
      <c r="P35" s="92">
        <v>0</v>
      </c>
      <c r="Q35" s="92">
        <v>-158845</v>
      </c>
      <c r="R35" s="92">
        <v>0</v>
      </c>
      <c r="S35" s="92">
        <v>0</v>
      </c>
      <c r="T35" s="92">
        <v>0</v>
      </c>
      <c r="U35" s="92">
        <v>32241</v>
      </c>
      <c r="V35" s="92">
        <v>0</v>
      </c>
      <c r="W35" s="92">
        <v>0</v>
      </c>
      <c r="X35" s="92">
        <v>0</v>
      </c>
      <c r="Y35" s="92">
        <v>0</v>
      </c>
      <c r="Z35" s="92">
        <v>0</v>
      </c>
      <c r="AA35" s="92">
        <v>0</v>
      </c>
      <c r="AB35" s="92">
        <v>0</v>
      </c>
      <c r="AC35" s="92">
        <v>0</v>
      </c>
      <c r="AD35" s="92">
        <v>0</v>
      </c>
      <c r="AE35" s="92">
        <v>0</v>
      </c>
      <c r="AF35" s="92">
        <v>0</v>
      </c>
      <c r="AG35" s="92">
        <v>45518</v>
      </c>
      <c r="AH35" s="92">
        <v>0</v>
      </c>
      <c r="AI35" s="92">
        <v>0</v>
      </c>
      <c r="AJ35" s="92">
        <v>0</v>
      </c>
      <c r="AK35" s="92">
        <v>0</v>
      </c>
      <c r="AL35" s="92">
        <v>0</v>
      </c>
      <c r="AM35" s="92">
        <v>0</v>
      </c>
      <c r="AN35" s="92">
        <v>0</v>
      </c>
      <c r="AO35" s="92">
        <v>0</v>
      </c>
      <c r="AP35" s="92">
        <v>0</v>
      </c>
      <c r="AQ35" s="92">
        <v>0</v>
      </c>
      <c r="AR35" s="92">
        <v>0</v>
      </c>
      <c r="AS35" s="92">
        <v>0</v>
      </c>
      <c r="AT35" s="92">
        <v>0</v>
      </c>
      <c r="AU35" s="92">
        <v>0</v>
      </c>
      <c r="AV35" s="92">
        <v>0</v>
      </c>
      <c r="AW35" s="92">
        <v>0</v>
      </c>
      <c r="AX35" s="92">
        <v>0</v>
      </c>
      <c r="AY35" s="92">
        <v>0</v>
      </c>
      <c r="AZ35" s="92">
        <v>0</v>
      </c>
      <c r="BA35" s="92">
        <v>0</v>
      </c>
      <c r="BB35" s="92">
        <v>0</v>
      </c>
      <c r="BC35" s="92">
        <v>0</v>
      </c>
      <c r="BD35" s="92">
        <v>0</v>
      </c>
      <c r="BE35" s="92">
        <v>0</v>
      </c>
      <c r="BF35" s="92">
        <v>0</v>
      </c>
      <c r="BG35" s="92">
        <v>0</v>
      </c>
      <c r="BH35" s="92">
        <v>0</v>
      </c>
      <c r="BI35" s="92">
        <v>0</v>
      </c>
      <c r="BJ35" s="92">
        <v>0</v>
      </c>
      <c r="BK35" s="92">
        <v>0</v>
      </c>
      <c r="BL35" s="92">
        <v>0</v>
      </c>
      <c r="BM35" s="92">
        <v>0</v>
      </c>
      <c r="BN35" s="92">
        <v>0</v>
      </c>
      <c r="BO35" s="92">
        <v>0</v>
      </c>
      <c r="BP35" s="92">
        <v>0</v>
      </c>
      <c r="BQ35" s="92">
        <v>0</v>
      </c>
      <c r="BR35" s="92">
        <v>0</v>
      </c>
      <c r="BS35" s="92">
        <v>0</v>
      </c>
      <c r="BT35" s="92">
        <v>0</v>
      </c>
      <c r="BU35" s="92">
        <v>0</v>
      </c>
      <c r="BV35" s="92">
        <v>0</v>
      </c>
      <c r="BW35" s="92">
        <v>0</v>
      </c>
      <c r="BX35" s="92">
        <v>0</v>
      </c>
      <c r="BY35" s="92">
        <v>0</v>
      </c>
      <c r="BZ35" s="92">
        <v>0</v>
      </c>
      <c r="CA35" s="92">
        <v>0</v>
      </c>
      <c r="CB35" s="92">
        <v>0</v>
      </c>
      <c r="CC35" s="92">
        <v>0</v>
      </c>
      <c r="CD35" s="92">
        <v>0</v>
      </c>
      <c r="CE35" s="92">
        <v>0</v>
      </c>
      <c r="CF35" s="92">
        <v>0</v>
      </c>
      <c r="CG35" s="92">
        <v>0</v>
      </c>
      <c r="CH35" s="92">
        <v>0</v>
      </c>
      <c r="CI35" s="92">
        <v>0</v>
      </c>
      <c r="CJ35" s="92">
        <v>0</v>
      </c>
      <c r="CK35" s="92">
        <v>0</v>
      </c>
      <c r="CL35" s="92">
        <v>0</v>
      </c>
      <c r="CM35" s="92">
        <v>0</v>
      </c>
      <c r="CN35" s="92">
        <v>0</v>
      </c>
      <c r="CO35" s="92">
        <v>0</v>
      </c>
      <c r="CP35" s="92">
        <v>0</v>
      </c>
      <c r="CQ35" s="92">
        <v>0</v>
      </c>
      <c r="CR35" s="92">
        <v>0</v>
      </c>
      <c r="CS35" s="92">
        <v>0</v>
      </c>
      <c r="CT35" s="92">
        <v>0</v>
      </c>
      <c r="CU35" s="92">
        <v>0</v>
      </c>
      <c r="CV35" s="92">
        <v>0</v>
      </c>
      <c r="CW35" s="92">
        <v>53</v>
      </c>
      <c r="CX35" s="92">
        <v>0</v>
      </c>
      <c r="CY35" s="92">
        <v>0</v>
      </c>
      <c r="CZ35" s="92">
        <v>0</v>
      </c>
      <c r="DA35" s="92">
        <v>0</v>
      </c>
      <c r="DB35" s="92">
        <v>0</v>
      </c>
      <c r="DC35" s="92">
        <v>0</v>
      </c>
      <c r="DD35" s="92">
        <v>0</v>
      </c>
      <c r="DE35" s="92">
        <v>0</v>
      </c>
      <c r="DF35" s="92">
        <v>0</v>
      </c>
      <c r="DG35" s="92">
        <v>0</v>
      </c>
      <c r="DH35" s="92">
        <v>0</v>
      </c>
      <c r="DI35" s="92">
        <v>0</v>
      </c>
      <c r="DJ35" s="92">
        <v>0</v>
      </c>
      <c r="DK35" s="92">
        <v>0</v>
      </c>
      <c r="DL35" s="92">
        <v>0</v>
      </c>
      <c r="DM35" s="92">
        <v>0</v>
      </c>
      <c r="DN35" s="92">
        <v>0</v>
      </c>
      <c r="DO35" s="92">
        <v>0</v>
      </c>
      <c r="DP35" s="92">
        <v>0</v>
      </c>
      <c r="DQ35" s="92">
        <v>0</v>
      </c>
      <c r="DR35" s="92">
        <v>0</v>
      </c>
      <c r="DS35" s="92">
        <v>0</v>
      </c>
      <c r="DT35" s="92">
        <v>0</v>
      </c>
      <c r="DU35" s="92">
        <v>0</v>
      </c>
      <c r="DV35" s="92">
        <v>0</v>
      </c>
      <c r="DW35" s="92">
        <v>0</v>
      </c>
      <c r="DX35" s="92">
        <v>0</v>
      </c>
      <c r="DY35" s="92">
        <v>-950</v>
      </c>
      <c r="DZ35" s="92">
        <v>0</v>
      </c>
      <c r="EA35" s="92">
        <v>0</v>
      </c>
      <c r="EB35" s="92">
        <v>0</v>
      </c>
      <c r="EC35" s="92">
        <v>300661</v>
      </c>
      <c r="ED35" s="92">
        <v>0</v>
      </c>
      <c r="EE35" s="92">
        <v>0</v>
      </c>
      <c r="EF35" s="92">
        <v>0</v>
      </c>
      <c r="EG35" s="92">
        <v>0</v>
      </c>
      <c r="EH35" s="92">
        <v>0</v>
      </c>
      <c r="EI35" s="92">
        <v>0</v>
      </c>
      <c r="EJ35" s="92">
        <v>0</v>
      </c>
      <c r="EK35" s="92">
        <v>65760</v>
      </c>
      <c r="EL35" s="92">
        <v>0</v>
      </c>
      <c r="EM35" s="92">
        <v>-12</v>
      </c>
      <c r="EN35" s="92">
        <v>0</v>
      </c>
      <c r="EO35" s="92">
        <v>0</v>
      </c>
      <c r="EP35" s="92">
        <v>0</v>
      </c>
      <c r="EQ35" s="92">
        <v>0</v>
      </c>
      <c r="ER35" s="92">
        <v>0</v>
      </c>
      <c r="ES35" s="92">
        <v>139022</v>
      </c>
      <c r="ET35" s="92">
        <v>0</v>
      </c>
      <c r="EU35" s="92">
        <v>0</v>
      </c>
      <c r="EV35" s="92">
        <v>0</v>
      </c>
      <c r="EW35" s="92">
        <v>0</v>
      </c>
      <c r="EX35" s="92">
        <v>0</v>
      </c>
      <c r="EY35" s="92">
        <v>0</v>
      </c>
      <c r="EZ35" s="92">
        <v>0</v>
      </c>
      <c r="FA35" s="92">
        <v>0</v>
      </c>
      <c r="FB35" s="92">
        <v>0</v>
      </c>
      <c r="FC35" s="92">
        <v>0</v>
      </c>
      <c r="FD35" s="92">
        <v>0</v>
      </c>
      <c r="FE35" s="92">
        <v>0</v>
      </c>
      <c r="FF35" s="92">
        <v>0</v>
      </c>
      <c r="FG35" s="92">
        <v>0</v>
      </c>
      <c r="FH35" s="92">
        <v>0</v>
      </c>
      <c r="FI35" s="92">
        <v>0</v>
      </c>
      <c r="FJ35" s="92">
        <v>0</v>
      </c>
      <c r="FK35" s="92">
        <v>0</v>
      </c>
      <c r="FL35" s="92">
        <v>0</v>
      </c>
      <c r="FM35" s="92">
        <v>0</v>
      </c>
      <c r="FN35" s="92">
        <v>0</v>
      </c>
      <c r="FO35" s="92">
        <v>0</v>
      </c>
      <c r="FP35" s="92">
        <v>0</v>
      </c>
      <c r="FQ35" s="92">
        <v>0</v>
      </c>
      <c r="FR35" s="92">
        <v>0</v>
      </c>
      <c r="FS35" s="92">
        <v>0</v>
      </c>
      <c r="FT35" s="92">
        <v>0</v>
      </c>
      <c r="FU35" s="92">
        <v>0</v>
      </c>
      <c r="FV35" s="92">
        <v>0</v>
      </c>
      <c r="FW35" s="92">
        <v>0</v>
      </c>
      <c r="FX35" s="92">
        <v>0</v>
      </c>
      <c r="FY35" s="92">
        <v>0</v>
      </c>
      <c r="FZ35" s="92">
        <v>0</v>
      </c>
      <c r="GA35" s="92">
        <v>0</v>
      </c>
      <c r="GB35" s="92">
        <v>0</v>
      </c>
      <c r="GC35" s="92">
        <v>0</v>
      </c>
      <c r="GD35" s="92">
        <v>585620</v>
      </c>
      <c r="GE35" s="92">
        <v>585620</v>
      </c>
      <c r="GF35" s="92">
        <v>74344295</v>
      </c>
      <c r="GG35" s="47" t="s">
        <v>401</v>
      </c>
      <c r="GH35" s="47" t="s">
        <v>402</v>
      </c>
      <c r="GI35" s="93">
        <v>9723381404</v>
      </c>
      <c r="GJ35" s="47" t="s">
        <v>403</v>
      </c>
      <c r="GK35" s="47" t="s">
        <v>404</v>
      </c>
      <c r="GL35" s="47" t="s">
        <v>405</v>
      </c>
      <c r="GM35" s="93" t="s">
        <v>1010</v>
      </c>
      <c r="GN35" s="47" t="s">
        <v>406</v>
      </c>
      <c r="GO35" s="92" cm="1">
        <f t="array" ref="GO35">IFERROR(_xlfn.IFS(ResearchInput[[#This Row],[Type]]="HRI",SUMIFS('FTSE | FTFE'!$P$8:$P$77,'FTSE | FTFE'!$H$8:$H$77,A35),ResearchInput[[#This Row],[Type]]="UNIV",SUMIFS('FTSE | FTFE'!$P$104:$P$139,'FTSE | FTFE'!$H$104:$H$139,A35),OR(ResearchInput[[#This Row],[Type]]="TSTC",ResearchInput[[#This Row],[Type]]="LSC"),SUMIFS('FTSE | FTFE'!$O$88:$O$96,'FTSE | FTFE'!$H$88:$H$96,A35),ResearchInput[[#This Row],[Type]]="AHM",SUMIFS(Hidden!$H$43:$H$46,Hidden!$G$42:$G$45,A35)),"N/A")</f>
        <v>3201</v>
      </c>
      <c r="GP35" s="92" cm="1">
        <f t="array" ref="GP35">IFERROR(_xlfn.IFS(ResearchInput[[#This Row],[Type]]="HRI",SUMIFS('FTSE | FTFE'!$Q$8:$Q$77,'FTSE | FTFE'!$H$8:$H$77,A35),ResearchInput[[#This Row],[Type]]="UNIV",SUMIFS('FTSE | FTFE'!$Q$104:$Q$139,'FTSE | FTFE'!$H$104:$H$139,A35),OR(ResearchInput[[#This Row],[Type]]="TSTC",ResearchInput[[#This Row],[Type]]="LSC"),SUMIFS('FTSE | FTFE'!$P$88:$P$96,'FTSE | FTFE'!$H$88:$H$96,A35)),"N/A")</f>
        <v>54</v>
      </c>
      <c r="GQ35" s="92">
        <v>0</v>
      </c>
      <c r="GR35" s="92">
        <f>SUM(ResearchInput[[#This Row],[Fed.Comp]],ResearchInput[[#This Row],[Fed.Eng]],ResearchInput[[#This Row],[Fed.Geo]],ResearchInput[[#This Row],[Fed.Life]],ResearchInput[[#This Row],[Fed.Math]],ResearchInput[[#This Row],[Fed.Phys]],ResearchInput[[#This Row],[Fed.Psyc]],ResearchInput[[#This Row],[Fed.Soc]],ResearchInput[[#This Row],[Fed.Othr]],ResearchInput[[#This Row],[Fed.Non]])</f>
        <v>-950</v>
      </c>
      <c r="GS35" s="92">
        <f>SUM(ResearchInput[[#This Row],[St.Comp]],ResearchInput[[#This Row],[St.Eng]],ResearchInput[[#This Row],[St.Geo]],ResearchInput[[#This Row],[St.Life]],ResearchInput[[#This Row],[St.Math]],ResearchInput[[#This Row],[St.Phys]],ResearchInput[[#This Row],[St.Psyc]],ResearchInput[[#This Row],[St.Soc]],ResearchInput[[#This Row],[St.Othr]],ResearchInput[[#This Row],[St.Non]])</f>
        <v>0</v>
      </c>
      <c r="GT35" s="92">
        <f>SUM(ResearchInput[[#This Row],[St.C&amp;G.Comp]],ResearchInput[[#This Row],[St.C&amp;G.Eng]],ResearchInput[[#This Row],[St.C&amp;G.Geo]],ResearchInput[[#This Row],[St.C&amp;G.Life]],ResearchInput[[#This Row],[St.C&amp;G.Math]],ResearchInput[[#This Row],[St.C&amp;G.Phys]],ResearchInput[[#This Row],[St.C&amp;G.Psyc]],ResearchInput[[#This Row],[St.C&amp;G.Soc]],ResearchInput[[#This Row],[St.C&amp;G.Othr]],ResearchInput[[#This Row],[St.C&amp;G.Non]])</f>
        <v>0</v>
      </c>
      <c r="GU35" s="92">
        <f>SUM(ResearchInput[[#This Row],[St.All.Comp]],ResearchInput[[#This Row],[St.All.Eng]],ResearchInput[[#This Row],[St.All.Geo]],ResearchInput[[#This Row],[St.All.Life]],ResearchInput[[#This Row],[St.All.Math]],ResearchInput[[#This Row],[St.All.Phys]],ResearchInput[[#This Row],[St.All.Psyc]],ResearchInput[[#This Row],[St.All.Soc]],ResearchInput[[#This Row],[St.All.Othr]],ResearchInput[[#This Row],[St.All.Non]])</f>
        <v>0</v>
      </c>
      <c r="GV35" s="92">
        <f>SUM(ResearchInput[[#This Row],[Inst.Comp]],ResearchInput[[#This Row],[Inst.Eng]],ResearchInput[[#This Row],[Inst.Geo]],ResearchInput[[#This Row],[Inst.Life]],ResearchInput[[#This Row],[Inst.Math]],ResearchInput[[#This Row],[Inst.Phys]],ResearchInput[[#This Row],[Inst.Psyc]],ResearchInput[[#This Row],[Inst.Soc]],ResearchInput[[#This Row],[Inst.Othr]],ResearchInput[[#This Row],[Inst.Non]])</f>
        <v>505496</v>
      </c>
      <c r="GW35" s="92">
        <f>SUM(ResearchInput[[#This Row],[P4P.Comp]],ResearchInput[[#This Row],[P4P.Eng]],ResearchInput[[#This Row],[P4P.Geo]],ResearchInput[[#This Row],[P4P.Life]],ResearchInput[[#This Row],[P4P.Math]],ResearchInput[[#This Row],[P4P.Phys]],ResearchInput[[#This Row],[P4P.Psyc]],ResearchInput[[#This Row],[P4P.Soc]],ResearchInput[[#This Row],[P4P.Othr]],ResearchInput[[#This Row],[P4P.Non]])</f>
        <v>0</v>
      </c>
      <c r="GX35" s="92">
        <f>SUM(ResearchInput[[#This Row],[PNP.Comp]],ResearchInput[[#This Row],[PNP.Eng]],ResearchInput[[#This Row],[PNP.Geo]],ResearchInput[[#This Row],[PNP.Life]],ResearchInput[[#This Row],[PNP.Math]],ResearchInput[[#This Row],[PNP.Phys]],ResearchInput[[#This Row],[PNP.Psyc]],ResearchInput[[#This Row],[PNP.Soc]],ResearchInput[[#This Row],[PNP.Othr]],ResearchInput[[#This Row],[PNP.Non]])</f>
        <v>-12</v>
      </c>
      <c r="GY35" s="92">
        <f>SUM(ResearchInput[[#This Row],[P.All.Comp]],ResearchInput[[#This Row],[P.All.Eng]],ResearchInput[[#This Row],[P.All.Geo]],ResearchInput[[#This Row],[P.All.Life]],ResearchInput[[#This Row],[P.All.Math]],ResearchInput[[#This Row],[P.All.Phys]],ResearchInput[[#This Row],[P.All.Psyc]],ResearchInput[[#This Row],[P.All.Soc]],ResearchInput[[#This Row],[P.All.Othr]],ResearchInput[[#This Row],[P.All.Non]])</f>
        <v>0</v>
      </c>
    </row>
    <row r="36" spans="1:207" s="47" customFormat="1" ht="27" customHeight="1" x14ac:dyDescent="0.25">
      <c r="A36" s="34" t="s">
        <v>237</v>
      </c>
      <c r="B36" s="34" t="s">
        <v>671</v>
      </c>
      <c r="C36" s="35" t="s">
        <v>553</v>
      </c>
      <c r="D36" s="35" t="s">
        <v>673</v>
      </c>
      <c r="E36" s="94">
        <v>500</v>
      </c>
      <c r="F36" s="35" t="s">
        <v>714</v>
      </c>
      <c r="G36" s="35" t="s">
        <v>691</v>
      </c>
      <c r="H36" s="96">
        <v>3642</v>
      </c>
      <c r="I36" s="92">
        <v>5336069</v>
      </c>
      <c r="J36" s="92">
        <v>325220</v>
      </c>
      <c r="K36" s="92">
        <v>0</v>
      </c>
      <c r="L36" s="92">
        <v>0</v>
      </c>
      <c r="M36" s="92">
        <v>843105</v>
      </c>
      <c r="N36" s="92">
        <v>0</v>
      </c>
      <c r="O36" s="92">
        <v>0</v>
      </c>
      <c r="P36" s="92">
        <v>0</v>
      </c>
      <c r="Q36" s="92">
        <v>0</v>
      </c>
      <c r="R36" s="92">
        <v>0</v>
      </c>
      <c r="S36" s="92">
        <v>0</v>
      </c>
      <c r="T36" s="92">
        <v>0</v>
      </c>
      <c r="U36" s="92">
        <v>0</v>
      </c>
      <c r="V36" s="92">
        <v>0</v>
      </c>
      <c r="W36" s="92">
        <v>0</v>
      </c>
      <c r="X36" s="92">
        <v>0</v>
      </c>
      <c r="Y36" s="92">
        <v>0</v>
      </c>
      <c r="Z36" s="92">
        <v>0</v>
      </c>
      <c r="AA36" s="92">
        <v>0</v>
      </c>
      <c r="AB36" s="92">
        <v>0</v>
      </c>
      <c r="AC36" s="92">
        <v>0</v>
      </c>
      <c r="AD36" s="92">
        <v>0</v>
      </c>
      <c r="AE36" s="92">
        <v>0</v>
      </c>
      <c r="AF36" s="92">
        <v>0</v>
      </c>
      <c r="AG36" s="92">
        <v>0</v>
      </c>
      <c r="AH36" s="92">
        <v>0</v>
      </c>
      <c r="AI36" s="92">
        <v>0</v>
      </c>
      <c r="AJ36" s="92">
        <v>0</v>
      </c>
      <c r="AK36" s="92">
        <v>0</v>
      </c>
      <c r="AL36" s="92">
        <v>0</v>
      </c>
      <c r="AM36" s="92">
        <v>0</v>
      </c>
      <c r="AN36" s="92">
        <v>0</v>
      </c>
      <c r="AO36" s="92">
        <v>0</v>
      </c>
      <c r="AP36" s="92">
        <v>0</v>
      </c>
      <c r="AQ36" s="92">
        <v>0</v>
      </c>
      <c r="AR36" s="92">
        <v>0</v>
      </c>
      <c r="AS36" s="92">
        <v>0</v>
      </c>
      <c r="AT36" s="92">
        <v>0</v>
      </c>
      <c r="AU36" s="92">
        <v>0</v>
      </c>
      <c r="AV36" s="92">
        <v>0</v>
      </c>
      <c r="AW36" s="92">
        <v>0</v>
      </c>
      <c r="AX36" s="92">
        <v>0</v>
      </c>
      <c r="AY36" s="92">
        <v>0</v>
      </c>
      <c r="AZ36" s="92">
        <v>0</v>
      </c>
      <c r="BA36" s="92">
        <v>0</v>
      </c>
      <c r="BB36" s="92">
        <v>0</v>
      </c>
      <c r="BC36" s="92">
        <v>0</v>
      </c>
      <c r="BD36" s="92">
        <v>0</v>
      </c>
      <c r="BE36" s="92">
        <v>0</v>
      </c>
      <c r="BF36" s="92">
        <v>0</v>
      </c>
      <c r="BG36" s="92">
        <v>0</v>
      </c>
      <c r="BH36" s="92">
        <v>0</v>
      </c>
      <c r="BI36" s="92">
        <v>0</v>
      </c>
      <c r="BJ36" s="92">
        <v>0</v>
      </c>
      <c r="BK36" s="92">
        <v>0</v>
      </c>
      <c r="BL36" s="92">
        <v>0</v>
      </c>
      <c r="BM36" s="92">
        <v>0</v>
      </c>
      <c r="BN36" s="92">
        <v>0</v>
      </c>
      <c r="BO36" s="92">
        <v>0</v>
      </c>
      <c r="BP36" s="92">
        <v>0</v>
      </c>
      <c r="BQ36" s="92">
        <v>0</v>
      </c>
      <c r="BR36" s="92">
        <v>0</v>
      </c>
      <c r="BS36" s="92">
        <v>0</v>
      </c>
      <c r="BT36" s="92">
        <v>0</v>
      </c>
      <c r="BU36" s="92">
        <v>0</v>
      </c>
      <c r="BV36" s="92">
        <v>0</v>
      </c>
      <c r="BW36" s="92">
        <v>0</v>
      </c>
      <c r="BX36" s="92">
        <v>0</v>
      </c>
      <c r="BY36" s="92">
        <v>0</v>
      </c>
      <c r="BZ36" s="92">
        <v>0</v>
      </c>
      <c r="CA36" s="92">
        <v>0</v>
      </c>
      <c r="CB36" s="92">
        <v>0</v>
      </c>
      <c r="CC36" s="92">
        <v>0</v>
      </c>
      <c r="CD36" s="92">
        <v>0</v>
      </c>
      <c r="CE36" s="92">
        <v>0</v>
      </c>
      <c r="CF36" s="92">
        <v>0</v>
      </c>
      <c r="CG36" s="92">
        <v>0</v>
      </c>
      <c r="CH36" s="92">
        <v>0</v>
      </c>
      <c r="CI36" s="92">
        <v>0</v>
      </c>
      <c r="CJ36" s="92">
        <v>0</v>
      </c>
      <c r="CK36" s="92">
        <v>0</v>
      </c>
      <c r="CL36" s="92">
        <v>0</v>
      </c>
      <c r="CM36" s="92">
        <v>0</v>
      </c>
      <c r="CN36" s="92">
        <v>0</v>
      </c>
      <c r="CO36" s="92">
        <v>0</v>
      </c>
      <c r="CP36" s="92">
        <v>0</v>
      </c>
      <c r="CQ36" s="92">
        <v>0</v>
      </c>
      <c r="CR36" s="92">
        <v>0</v>
      </c>
      <c r="CS36" s="92">
        <v>0</v>
      </c>
      <c r="CT36" s="92">
        <v>0</v>
      </c>
      <c r="CU36" s="92">
        <v>0</v>
      </c>
      <c r="CV36" s="92">
        <v>0</v>
      </c>
      <c r="CW36" s="92">
        <v>0</v>
      </c>
      <c r="CX36" s="92">
        <v>0</v>
      </c>
      <c r="CY36" s="92">
        <v>0</v>
      </c>
      <c r="CZ36" s="92">
        <v>0</v>
      </c>
      <c r="DA36" s="92">
        <v>0</v>
      </c>
      <c r="DB36" s="92">
        <v>0</v>
      </c>
      <c r="DC36" s="92">
        <v>0</v>
      </c>
      <c r="DD36" s="92">
        <v>0</v>
      </c>
      <c r="DE36" s="92">
        <v>0</v>
      </c>
      <c r="DF36" s="92">
        <v>0</v>
      </c>
      <c r="DG36" s="92">
        <v>0</v>
      </c>
      <c r="DH36" s="92">
        <v>0</v>
      </c>
      <c r="DI36" s="92">
        <v>0</v>
      </c>
      <c r="DJ36" s="92">
        <v>0</v>
      </c>
      <c r="DK36" s="92">
        <v>0</v>
      </c>
      <c r="DL36" s="92">
        <v>0</v>
      </c>
      <c r="DM36" s="92">
        <v>0</v>
      </c>
      <c r="DN36" s="92">
        <v>0</v>
      </c>
      <c r="DO36" s="92">
        <v>0</v>
      </c>
      <c r="DP36" s="92">
        <v>0</v>
      </c>
      <c r="DQ36" s="92">
        <v>0</v>
      </c>
      <c r="DR36" s="92">
        <v>0</v>
      </c>
      <c r="DS36" s="92">
        <v>0</v>
      </c>
      <c r="DT36" s="92">
        <v>0</v>
      </c>
      <c r="DU36" s="92">
        <v>0</v>
      </c>
      <c r="DV36" s="92">
        <v>0</v>
      </c>
      <c r="DW36" s="92">
        <v>0</v>
      </c>
      <c r="DX36" s="92">
        <v>0</v>
      </c>
      <c r="DY36" s="92">
        <v>0</v>
      </c>
      <c r="DZ36" s="92">
        <v>0</v>
      </c>
      <c r="EA36" s="92">
        <v>0</v>
      </c>
      <c r="EB36" s="92">
        <v>0</v>
      </c>
      <c r="EC36" s="92">
        <v>0</v>
      </c>
      <c r="ED36" s="92">
        <v>0</v>
      </c>
      <c r="EE36" s="92">
        <v>0</v>
      </c>
      <c r="EF36" s="92">
        <v>0</v>
      </c>
      <c r="EG36" s="92">
        <v>5336069</v>
      </c>
      <c r="EH36" s="92">
        <v>325220</v>
      </c>
      <c r="EI36" s="92">
        <v>0</v>
      </c>
      <c r="EJ36" s="92">
        <v>0</v>
      </c>
      <c r="EK36" s="92">
        <v>843105</v>
      </c>
      <c r="EL36" s="92">
        <v>0</v>
      </c>
      <c r="EM36" s="92">
        <v>0</v>
      </c>
      <c r="EN36" s="92">
        <v>0</v>
      </c>
      <c r="EO36" s="92">
        <v>0</v>
      </c>
      <c r="EP36" s="92">
        <v>0</v>
      </c>
      <c r="EQ36" s="92">
        <v>0</v>
      </c>
      <c r="ER36" s="92">
        <v>0</v>
      </c>
      <c r="ES36" s="92">
        <v>0</v>
      </c>
      <c r="ET36" s="92">
        <v>0</v>
      </c>
      <c r="EU36" s="92">
        <v>0</v>
      </c>
      <c r="EV36" s="92">
        <v>0</v>
      </c>
      <c r="EW36" s="92">
        <v>0</v>
      </c>
      <c r="EX36" s="92">
        <v>0</v>
      </c>
      <c r="EY36" s="92">
        <v>0</v>
      </c>
      <c r="EZ36" s="92">
        <v>0</v>
      </c>
      <c r="FA36" s="92">
        <v>0</v>
      </c>
      <c r="FB36" s="92">
        <v>0</v>
      </c>
      <c r="FC36" s="92">
        <v>0</v>
      </c>
      <c r="FD36" s="92">
        <v>0</v>
      </c>
      <c r="FE36" s="92">
        <v>0</v>
      </c>
      <c r="FF36" s="92">
        <v>0</v>
      </c>
      <c r="FG36" s="92">
        <v>0</v>
      </c>
      <c r="FH36" s="92">
        <v>0</v>
      </c>
      <c r="FI36" s="92">
        <v>0</v>
      </c>
      <c r="FJ36" s="92">
        <v>0</v>
      </c>
      <c r="FK36" s="92">
        <v>0</v>
      </c>
      <c r="FL36" s="92">
        <v>0</v>
      </c>
      <c r="FM36" s="92">
        <v>0</v>
      </c>
      <c r="FN36" s="92">
        <v>0</v>
      </c>
      <c r="FO36" s="92">
        <v>0</v>
      </c>
      <c r="FP36" s="92">
        <v>0</v>
      </c>
      <c r="FQ36" s="92">
        <v>0</v>
      </c>
      <c r="FR36" s="92">
        <v>0</v>
      </c>
      <c r="FS36" s="92">
        <v>0</v>
      </c>
      <c r="FT36" s="92">
        <v>0</v>
      </c>
      <c r="FU36" s="92">
        <v>0</v>
      </c>
      <c r="FV36" s="92">
        <v>0</v>
      </c>
      <c r="FW36" s="92">
        <v>0</v>
      </c>
      <c r="FX36" s="92">
        <v>0</v>
      </c>
      <c r="FY36" s="92">
        <v>0</v>
      </c>
      <c r="FZ36" s="92">
        <v>0</v>
      </c>
      <c r="GA36" s="92">
        <v>0</v>
      </c>
      <c r="GB36" s="92">
        <v>0</v>
      </c>
      <c r="GC36" s="92">
        <v>0</v>
      </c>
      <c r="GD36" s="92">
        <v>6504394</v>
      </c>
      <c r="GE36" s="92">
        <v>6504394</v>
      </c>
      <c r="GF36" s="92">
        <v>213243460</v>
      </c>
      <c r="GG36" s="47" t="s">
        <v>422</v>
      </c>
      <c r="GH36" s="47" t="s">
        <v>746</v>
      </c>
      <c r="GI36" s="93">
        <v>7133131301</v>
      </c>
      <c r="GJ36" s="47" t="s">
        <v>747</v>
      </c>
      <c r="GK36" s="47" t="s">
        <v>623</v>
      </c>
      <c r="GL36" s="47" t="s">
        <v>748</v>
      </c>
      <c r="GM36" s="93">
        <v>7133137197</v>
      </c>
      <c r="GN36" s="47" t="s">
        <v>749</v>
      </c>
      <c r="GO36" s="92" cm="1">
        <f t="array" ref="GO36">IFERROR(_xlfn.IFS(ResearchInput[[#This Row],[Type]]="HRI",SUMIFS('FTSE | FTFE'!$P$8:$P$77,'FTSE | FTFE'!$H$8:$H$77,A36),ResearchInput[[#This Row],[Type]]="UNIV",SUMIFS('FTSE | FTFE'!$P$104:$P$139,'FTSE | FTFE'!$H$104:$H$139,A36),OR(ResearchInput[[#This Row],[Type]]="TSTC",ResearchInput[[#This Row],[Type]]="LSC"),SUMIFS('FTSE | FTFE'!$O$88:$O$96,'FTSE | FTFE'!$H$88:$H$96,A36),ResearchInput[[#This Row],[Type]]="AHM",SUMIFS(Hidden!$H$43:$H$46,Hidden!$G$42:$G$45,A36)),"N/A")</f>
        <v>8007</v>
      </c>
      <c r="GP36" s="92" cm="1">
        <f t="array" ref="GP36">IFERROR(_xlfn.IFS(ResearchInput[[#This Row],[Type]]="HRI",SUMIFS('FTSE | FTFE'!$Q$8:$Q$77,'FTSE | FTFE'!$H$8:$H$77,A36),ResearchInput[[#This Row],[Type]]="UNIV",SUMIFS('FTSE | FTFE'!$Q$104:$Q$139,'FTSE | FTFE'!$H$104:$H$139,A36),OR(ResearchInput[[#This Row],[Type]]="TSTC",ResearchInput[[#This Row],[Type]]="LSC"),SUMIFS('FTSE | FTFE'!$P$88:$P$96,'FTSE | FTFE'!$H$88:$H$96,A36)),"N/A")</f>
        <v>236</v>
      </c>
      <c r="GQ36" s="92">
        <v>0</v>
      </c>
      <c r="GR36" s="92">
        <f>SUM(ResearchInput[[#This Row],[Fed.Comp]],ResearchInput[[#This Row],[Fed.Eng]],ResearchInput[[#This Row],[Fed.Geo]],ResearchInput[[#This Row],[Fed.Life]],ResearchInput[[#This Row],[Fed.Math]],ResearchInput[[#This Row],[Fed.Phys]],ResearchInput[[#This Row],[Fed.Psyc]],ResearchInput[[#This Row],[Fed.Soc]],ResearchInput[[#This Row],[Fed.Othr]],ResearchInput[[#This Row],[Fed.Non]])</f>
        <v>5336069</v>
      </c>
      <c r="GS36" s="92">
        <f>SUM(ResearchInput[[#This Row],[St.Comp]],ResearchInput[[#This Row],[St.Eng]],ResearchInput[[#This Row],[St.Geo]],ResearchInput[[#This Row],[St.Life]],ResearchInput[[#This Row],[St.Math]],ResearchInput[[#This Row],[St.Phys]],ResearchInput[[#This Row],[St.Psyc]],ResearchInput[[#This Row],[St.Soc]],ResearchInput[[#This Row],[St.Othr]],ResearchInput[[#This Row],[St.Non]])</f>
        <v>325220</v>
      </c>
      <c r="GT36" s="92">
        <f>SUM(ResearchInput[[#This Row],[St.C&amp;G.Comp]],ResearchInput[[#This Row],[St.C&amp;G.Eng]],ResearchInput[[#This Row],[St.C&amp;G.Geo]],ResearchInput[[#This Row],[St.C&amp;G.Life]],ResearchInput[[#This Row],[St.C&amp;G.Math]],ResearchInput[[#This Row],[St.C&amp;G.Phys]],ResearchInput[[#This Row],[St.C&amp;G.Psyc]],ResearchInput[[#This Row],[St.C&amp;G.Soc]],ResearchInput[[#This Row],[St.C&amp;G.Othr]],ResearchInput[[#This Row],[St.C&amp;G.Non]])</f>
        <v>0</v>
      </c>
      <c r="GU36" s="92">
        <f>SUM(ResearchInput[[#This Row],[St.All.Comp]],ResearchInput[[#This Row],[St.All.Eng]],ResearchInput[[#This Row],[St.All.Geo]],ResearchInput[[#This Row],[St.All.Life]],ResearchInput[[#This Row],[St.All.Math]],ResearchInput[[#This Row],[St.All.Phys]],ResearchInput[[#This Row],[St.All.Psyc]],ResearchInput[[#This Row],[St.All.Soc]],ResearchInput[[#This Row],[St.All.Othr]],ResearchInput[[#This Row],[St.All.Non]])</f>
        <v>0</v>
      </c>
      <c r="GV36" s="92">
        <f>SUM(ResearchInput[[#This Row],[Inst.Comp]],ResearchInput[[#This Row],[Inst.Eng]],ResearchInput[[#This Row],[Inst.Geo]],ResearchInput[[#This Row],[Inst.Life]],ResearchInput[[#This Row],[Inst.Math]],ResearchInput[[#This Row],[Inst.Phys]],ResearchInput[[#This Row],[Inst.Psyc]],ResearchInput[[#This Row],[Inst.Soc]],ResearchInput[[#This Row],[Inst.Othr]],ResearchInput[[#This Row],[Inst.Non]])</f>
        <v>843105</v>
      </c>
      <c r="GW36" s="92">
        <f>SUM(ResearchInput[[#This Row],[P4P.Comp]],ResearchInput[[#This Row],[P4P.Eng]],ResearchInput[[#This Row],[P4P.Geo]],ResearchInput[[#This Row],[P4P.Life]],ResearchInput[[#This Row],[P4P.Math]],ResearchInput[[#This Row],[P4P.Phys]],ResearchInput[[#This Row],[P4P.Psyc]],ResearchInput[[#This Row],[P4P.Soc]],ResearchInput[[#This Row],[P4P.Othr]],ResearchInput[[#This Row],[P4P.Non]])</f>
        <v>0</v>
      </c>
      <c r="GX36" s="92">
        <f>SUM(ResearchInput[[#This Row],[PNP.Comp]],ResearchInput[[#This Row],[PNP.Eng]],ResearchInput[[#This Row],[PNP.Geo]],ResearchInput[[#This Row],[PNP.Life]],ResearchInput[[#This Row],[PNP.Math]],ResearchInput[[#This Row],[PNP.Phys]],ResearchInput[[#This Row],[PNP.Psyc]],ResearchInput[[#This Row],[PNP.Soc]],ResearchInput[[#This Row],[PNP.Othr]],ResearchInput[[#This Row],[PNP.Non]])</f>
        <v>0</v>
      </c>
      <c r="GY36" s="92">
        <f>SUM(ResearchInput[[#This Row],[P.All.Comp]],ResearchInput[[#This Row],[P.All.Eng]],ResearchInput[[#This Row],[P.All.Geo]],ResearchInput[[#This Row],[P.All.Life]],ResearchInput[[#This Row],[P.All.Math]],ResearchInput[[#This Row],[P.All.Phys]],ResearchInput[[#This Row],[P.All.Psyc]],ResearchInput[[#This Row],[P.All.Soc]],ResearchInput[[#This Row],[P.All.Othr]],ResearchInput[[#This Row],[P.All.Non]])</f>
        <v>0</v>
      </c>
    </row>
    <row r="37" spans="1:207" s="47" customFormat="1" ht="27" customHeight="1" x14ac:dyDescent="0.25">
      <c r="A37" s="34" t="s">
        <v>767</v>
      </c>
      <c r="B37" s="34" t="s">
        <v>219</v>
      </c>
      <c r="C37" s="35" t="s">
        <v>672</v>
      </c>
      <c r="D37" s="35" t="s">
        <v>684</v>
      </c>
      <c r="E37" s="94">
        <v>600</v>
      </c>
      <c r="F37" s="35" t="s">
        <v>714</v>
      </c>
      <c r="G37" s="35" t="s">
        <v>553</v>
      </c>
      <c r="H37" s="96">
        <v>439154</v>
      </c>
      <c r="I37" s="92">
        <v>0</v>
      </c>
      <c r="J37" s="92">
        <v>0</v>
      </c>
      <c r="K37" s="92">
        <v>0</v>
      </c>
      <c r="L37" s="92">
        <v>0</v>
      </c>
      <c r="M37" s="92">
        <v>0</v>
      </c>
      <c r="N37" s="92">
        <v>0</v>
      </c>
      <c r="O37" s="92">
        <v>0</v>
      </c>
      <c r="P37" s="92">
        <v>0</v>
      </c>
      <c r="Q37" s="92">
        <v>0</v>
      </c>
      <c r="R37" s="92">
        <v>0</v>
      </c>
      <c r="S37" s="92">
        <v>0</v>
      </c>
      <c r="T37" s="92">
        <v>0</v>
      </c>
      <c r="U37" s="92">
        <v>0</v>
      </c>
      <c r="V37" s="92">
        <v>0</v>
      </c>
      <c r="W37" s="92">
        <v>0</v>
      </c>
      <c r="X37" s="92">
        <v>0</v>
      </c>
      <c r="Y37" s="92">
        <v>0</v>
      </c>
      <c r="Z37" s="92">
        <v>0</v>
      </c>
      <c r="AA37" s="92">
        <v>0</v>
      </c>
      <c r="AB37" s="92">
        <v>0</v>
      </c>
      <c r="AC37" s="92">
        <v>0</v>
      </c>
      <c r="AD37" s="92">
        <v>0</v>
      </c>
      <c r="AE37" s="92">
        <v>0</v>
      </c>
      <c r="AF37" s="92">
        <v>0</v>
      </c>
      <c r="AG37" s="92">
        <v>0</v>
      </c>
      <c r="AH37" s="92">
        <v>0</v>
      </c>
      <c r="AI37" s="92">
        <v>0</v>
      </c>
      <c r="AJ37" s="92">
        <v>0</v>
      </c>
      <c r="AK37" s="92">
        <v>0</v>
      </c>
      <c r="AL37" s="92">
        <v>0</v>
      </c>
      <c r="AM37" s="92">
        <v>0</v>
      </c>
      <c r="AN37" s="92">
        <v>0</v>
      </c>
      <c r="AO37" s="92">
        <v>0</v>
      </c>
      <c r="AP37" s="92">
        <v>0</v>
      </c>
      <c r="AQ37" s="92">
        <v>0</v>
      </c>
      <c r="AR37" s="92">
        <v>0</v>
      </c>
      <c r="AS37" s="92">
        <v>0</v>
      </c>
      <c r="AT37" s="92">
        <v>0</v>
      </c>
      <c r="AU37" s="92">
        <v>0</v>
      </c>
      <c r="AV37" s="92">
        <v>0</v>
      </c>
      <c r="AW37" s="92">
        <v>0</v>
      </c>
      <c r="AX37" s="92">
        <v>0</v>
      </c>
      <c r="AY37" s="92">
        <v>0</v>
      </c>
      <c r="AZ37" s="92">
        <v>0</v>
      </c>
      <c r="BA37" s="92">
        <v>0</v>
      </c>
      <c r="BB37" s="92">
        <v>0</v>
      </c>
      <c r="BC37" s="92">
        <v>0</v>
      </c>
      <c r="BD37" s="92">
        <v>0</v>
      </c>
      <c r="BE37" s="92">
        <v>0</v>
      </c>
      <c r="BF37" s="92">
        <v>0</v>
      </c>
      <c r="BG37" s="92">
        <v>0</v>
      </c>
      <c r="BH37" s="92">
        <v>0</v>
      </c>
      <c r="BI37" s="92">
        <v>0</v>
      </c>
      <c r="BJ37" s="92">
        <v>0</v>
      </c>
      <c r="BK37" s="92">
        <v>0</v>
      </c>
      <c r="BL37" s="92">
        <v>0</v>
      </c>
      <c r="BM37" s="92">
        <v>0</v>
      </c>
      <c r="BN37" s="92">
        <v>0</v>
      </c>
      <c r="BO37" s="92">
        <v>0</v>
      </c>
      <c r="BP37" s="92">
        <v>0</v>
      </c>
      <c r="BQ37" s="92">
        <v>0</v>
      </c>
      <c r="BR37" s="92">
        <v>0</v>
      </c>
      <c r="BS37" s="92">
        <v>0</v>
      </c>
      <c r="BT37" s="92">
        <v>0</v>
      </c>
      <c r="BU37" s="92">
        <v>0</v>
      </c>
      <c r="BV37" s="92">
        <v>0</v>
      </c>
      <c r="BW37" s="92">
        <v>0</v>
      </c>
      <c r="BX37" s="92">
        <v>0</v>
      </c>
      <c r="BY37" s="92">
        <v>0</v>
      </c>
      <c r="BZ37" s="92">
        <v>0</v>
      </c>
      <c r="CA37" s="92">
        <v>0</v>
      </c>
      <c r="CB37" s="92">
        <v>0</v>
      </c>
      <c r="CC37" s="92">
        <v>0</v>
      </c>
      <c r="CD37" s="92">
        <v>0</v>
      </c>
      <c r="CE37" s="92">
        <v>0</v>
      </c>
      <c r="CF37" s="92">
        <v>0</v>
      </c>
      <c r="CG37" s="92">
        <v>0</v>
      </c>
      <c r="CH37" s="92">
        <v>0</v>
      </c>
      <c r="CI37" s="92">
        <v>0</v>
      </c>
      <c r="CJ37" s="92">
        <v>0</v>
      </c>
      <c r="CK37" s="92">
        <v>0</v>
      </c>
      <c r="CL37" s="92">
        <v>0</v>
      </c>
      <c r="CM37" s="92">
        <v>0</v>
      </c>
      <c r="CN37" s="92">
        <v>0</v>
      </c>
      <c r="CO37" s="92">
        <v>0</v>
      </c>
      <c r="CP37" s="92">
        <v>0</v>
      </c>
      <c r="CQ37" s="92">
        <v>0</v>
      </c>
      <c r="CR37" s="92">
        <v>0</v>
      </c>
      <c r="CS37" s="92">
        <v>0</v>
      </c>
      <c r="CT37" s="92">
        <v>0</v>
      </c>
      <c r="CU37" s="92">
        <v>0</v>
      </c>
      <c r="CV37" s="92">
        <v>0</v>
      </c>
      <c r="CW37" s="92">
        <v>0</v>
      </c>
      <c r="CX37" s="92">
        <v>0</v>
      </c>
      <c r="CY37" s="92">
        <v>0</v>
      </c>
      <c r="CZ37" s="92">
        <v>0</v>
      </c>
      <c r="DA37" s="92">
        <v>0</v>
      </c>
      <c r="DB37" s="92">
        <v>0</v>
      </c>
      <c r="DC37" s="92">
        <v>0</v>
      </c>
      <c r="DD37" s="92">
        <v>0</v>
      </c>
      <c r="DE37" s="92">
        <v>0</v>
      </c>
      <c r="DF37" s="92">
        <v>0</v>
      </c>
      <c r="DG37" s="92">
        <v>0</v>
      </c>
      <c r="DH37" s="92">
        <v>0</v>
      </c>
      <c r="DI37" s="92">
        <v>0</v>
      </c>
      <c r="DJ37" s="92">
        <v>0</v>
      </c>
      <c r="DK37" s="92">
        <v>0</v>
      </c>
      <c r="DL37" s="92">
        <v>0</v>
      </c>
      <c r="DM37" s="92">
        <v>0</v>
      </c>
      <c r="DN37" s="92">
        <v>0</v>
      </c>
      <c r="DO37" s="92">
        <v>0</v>
      </c>
      <c r="DP37" s="92">
        <v>0</v>
      </c>
      <c r="DQ37" s="92">
        <v>0</v>
      </c>
      <c r="DR37" s="92">
        <v>0</v>
      </c>
      <c r="DS37" s="92">
        <v>0</v>
      </c>
      <c r="DT37" s="92">
        <v>0</v>
      </c>
      <c r="DU37" s="92">
        <v>0</v>
      </c>
      <c r="DV37" s="92">
        <v>0</v>
      </c>
      <c r="DW37" s="92">
        <v>0</v>
      </c>
      <c r="DX37" s="92">
        <v>0</v>
      </c>
      <c r="DY37" s="92">
        <v>0</v>
      </c>
      <c r="DZ37" s="92">
        <v>0</v>
      </c>
      <c r="EA37" s="92">
        <v>0</v>
      </c>
      <c r="EB37" s="92">
        <v>0</v>
      </c>
      <c r="EC37" s="92">
        <v>0</v>
      </c>
      <c r="ED37" s="92">
        <v>0</v>
      </c>
      <c r="EE37" s="92">
        <v>0</v>
      </c>
      <c r="EF37" s="92">
        <v>0</v>
      </c>
      <c r="EG37" s="92">
        <v>0</v>
      </c>
      <c r="EH37" s="92">
        <v>0</v>
      </c>
      <c r="EI37" s="92">
        <v>0</v>
      </c>
      <c r="EJ37" s="92">
        <v>0</v>
      </c>
      <c r="EK37" s="92">
        <v>0</v>
      </c>
      <c r="EL37" s="92">
        <v>0</v>
      </c>
      <c r="EM37" s="92">
        <v>0</v>
      </c>
      <c r="EN37" s="92">
        <v>0</v>
      </c>
      <c r="EO37" s="92">
        <v>0</v>
      </c>
      <c r="EP37" s="92">
        <v>0</v>
      </c>
      <c r="EQ37" s="92">
        <v>0</v>
      </c>
      <c r="ER37" s="92">
        <v>0</v>
      </c>
      <c r="ES37" s="92">
        <v>0</v>
      </c>
      <c r="ET37" s="92">
        <v>0</v>
      </c>
      <c r="EU37" s="92">
        <v>0</v>
      </c>
      <c r="EV37" s="92">
        <v>0</v>
      </c>
      <c r="EW37" s="92">
        <v>0</v>
      </c>
      <c r="EX37" s="92">
        <v>0</v>
      </c>
      <c r="EY37" s="92">
        <v>0</v>
      </c>
      <c r="EZ37" s="92">
        <v>0</v>
      </c>
      <c r="FA37" s="92">
        <v>0</v>
      </c>
      <c r="FB37" s="92">
        <v>0</v>
      </c>
      <c r="FC37" s="92">
        <v>0</v>
      </c>
      <c r="FD37" s="92">
        <v>0</v>
      </c>
      <c r="FE37" s="92">
        <v>0</v>
      </c>
      <c r="FF37" s="92">
        <v>0</v>
      </c>
      <c r="FG37" s="92">
        <v>0</v>
      </c>
      <c r="FH37" s="92">
        <v>0</v>
      </c>
      <c r="FI37" s="92">
        <v>0</v>
      </c>
      <c r="FJ37" s="92">
        <v>0</v>
      </c>
      <c r="FK37" s="92">
        <v>0</v>
      </c>
      <c r="FL37" s="92">
        <v>0</v>
      </c>
      <c r="FM37" s="92">
        <v>0</v>
      </c>
      <c r="FN37" s="92">
        <v>0</v>
      </c>
      <c r="FO37" s="92">
        <v>0</v>
      </c>
      <c r="FP37" s="92">
        <v>0</v>
      </c>
      <c r="FQ37" s="92">
        <v>0</v>
      </c>
      <c r="FR37" s="92">
        <v>0</v>
      </c>
      <c r="FS37" s="92">
        <v>0</v>
      </c>
      <c r="FT37" s="92">
        <v>0</v>
      </c>
      <c r="FU37" s="92">
        <v>0</v>
      </c>
      <c r="FV37" s="92">
        <v>0</v>
      </c>
      <c r="FW37" s="92">
        <v>0</v>
      </c>
      <c r="FX37" s="92">
        <v>0</v>
      </c>
      <c r="FY37" s="92">
        <v>0</v>
      </c>
      <c r="FZ37" s="92">
        <v>0</v>
      </c>
      <c r="GA37" s="92">
        <v>0</v>
      </c>
      <c r="GB37" s="92">
        <v>0</v>
      </c>
      <c r="GC37" s="92">
        <v>0</v>
      </c>
      <c r="GD37" s="92">
        <v>0</v>
      </c>
      <c r="GE37" s="92">
        <v>0</v>
      </c>
      <c r="GF37" s="92">
        <v>39793019</v>
      </c>
      <c r="GG37" s="47" t="s">
        <v>611</v>
      </c>
      <c r="GH37" s="47" t="s">
        <v>612</v>
      </c>
      <c r="GI37" s="93">
        <v>8068346101</v>
      </c>
      <c r="GJ37" s="47" t="s">
        <v>613</v>
      </c>
      <c r="GK37" s="47" t="s">
        <v>614</v>
      </c>
      <c r="GL37" s="47" t="s">
        <v>615</v>
      </c>
      <c r="GM37" s="93">
        <v>8068341838</v>
      </c>
      <c r="GN37" s="47" t="s">
        <v>616</v>
      </c>
      <c r="GO37" s="92" t="str" cm="1">
        <f t="array" ref="GO37">IFERROR(_xlfn.IFS(ResearchInput[[#This Row],[Type]]="HRI",SUMIFS('FTSE | FTFE'!$P$8:$P$77,'FTSE | FTFE'!$H$8:$H$77,A37),ResearchInput[[#This Row],[Type]]="UNIV",SUMIFS('FTSE | FTFE'!$P$104:$P$139,'FTSE | FTFE'!$H$104:$H$139,A37),OR(ResearchInput[[#This Row],[Type]]="TSTC",ResearchInput[[#This Row],[Type]]="LSC"),SUMIFS('FTSE | FTFE'!$O$88:$O$96,'FTSE | FTFE'!$H$88:$H$96,A37),ResearchInput[[#This Row],[Type]]="AHM",SUMIFS(Hidden!$H$43:$H$46,Hidden!$G$42:$G$45,A37)),"N/A")</f>
        <v>N/A</v>
      </c>
      <c r="GP37" s="92" t="str" cm="1">
        <f t="array" ref="GP37">IFERROR(_xlfn.IFS(ResearchInput[[#This Row],[Type]]="HRI",SUMIFS('FTSE | FTFE'!$Q$8:$Q$77,'FTSE | FTFE'!$H$8:$H$77,A37),ResearchInput[[#This Row],[Type]]="UNIV",SUMIFS('FTSE | FTFE'!$Q$104:$Q$139,'FTSE | FTFE'!$H$104:$H$139,A37),OR(ResearchInput[[#This Row],[Type]]="TSTC",ResearchInput[[#This Row],[Type]]="LSC"),SUMIFS('FTSE | FTFE'!$P$88:$P$96,'FTSE | FTFE'!$H$88:$H$96,A37)),"N/A")</f>
        <v>N/A</v>
      </c>
      <c r="GQ37" s="92">
        <v>0</v>
      </c>
      <c r="GR37" s="92">
        <f>SUM(ResearchInput[[#This Row],[Fed.Comp]],ResearchInput[[#This Row],[Fed.Eng]],ResearchInput[[#This Row],[Fed.Geo]],ResearchInput[[#This Row],[Fed.Life]],ResearchInput[[#This Row],[Fed.Math]],ResearchInput[[#This Row],[Fed.Phys]],ResearchInput[[#This Row],[Fed.Psyc]],ResearchInput[[#This Row],[Fed.Soc]],ResearchInput[[#This Row],[Fed.Othr]],ResearchInput[[#This Row],[Fed.Non]])</f>
        <v>0</v>
      </c>
      <c r="GS37" s="92">
        <f>SUM(ResearchInput[[#This Row],[St.Comp]],ResearchInput[[#This Row],[St.Eng]],ResearchInput[[#This Row],[St.Geo]],ResearchInput[[#This Row],[St.Life]],ResearchInput[[#This Row],[St.Math]],ResearchInput[[#This Row],[St.Phys]],ResearchInput[[#This Row],[St.Psyc]],ResearchInput[[#This Row],[St.Soc]],ResearchInput[[#This Row],[St.Othr]],ResearchInput[[#This Row],[St.Non]])</f>
        <v>0</v>
      </c>
      <c r="GT37" s="92">
        <f>SUM(ResearchInput[[#This Row],[St.C&amp;G.Comp]],ResearchInput[[#This Row],[St.C&amp;G.Eng]],ResearchInput[[#This Row],[St.C&amp;G.Geo]],ResearchInput[[#This Row],[St.C&amp;G.Life]],ResearchInput[[#This Row],[St.C&amp;G.Math]],ResearchInput[[#This Row],[St.C&amp;G.Phys]],ResearchInput[[#This Row],[St.C&amp;G.Psyc]],ResearchInput[[#This Row],[St.C&amp;G.Soc]],ResearchInput[[#This Row],[St.C&amp;G.Othr]],ResearchInput[[#This Row],[St.C&amp;G.Non]])</f>
        <v>0</v>
      </c>
      <c r="GU37" s="92">
        <f>SUM(ResearchInput[[#This Row],[St.All.Comp]],ResearchInput[[#This Row],[St.All.Eng]],ResearchInput[[#This Row],[St.All.Geo]],ResearchInput[[#This Row],[St.All.Life]],ResearchInput[[#This Row],[St.All.Math]],ResearchInput[[#This Row],[St.All.Phys]],ResearchInput[[#This Row],[St.All.Psyc]],ResearchInput[[#This Row],[St.All.Soc]],ResearchInput[[#This Row],[St.All.Othr]],ResearchInput[[#This Row],[St.All.Non]])</f>
        <v>0</v>
      </c>
      <c r="GV37" s="92">
        <f>SUM(ResearchInput[[#This Row],[Inst.Comp]],ResearchInput[[#This Row],[Inst.Eng]],ResearchInput[[#This Row],[Inst.Geo]],ResearchInput[[#This Row],[Inst.Life]],ResearchInput[[#This Row],[Inst.Math]],ResearchInput[[#This Row],[Inst.Phys]],ResearchInput[[#This Row],[Inst.Psyc]],ResearchInput[[#This Row],[Inst.Soc]],ResearchInput[[#This Row],[Inst.Othr]],ResearchInput[[#This Row],[Inst.Non]])</f>
        <v>0</v>
      </c>
      <c r="GW37" s="92">
        <f>SUM(ResearchInput[[#This Row],[P4P.Comp]],ResearchInput[[#This Row],[P4P.Eng]],ResearchInput[[#This Row],[P4P.Geo]],ResearchInput[[#This Row],[P4P.Life]],ResearchInput[[#This Row],[P4P.Math]],ResearchInput[[#This Row],[P4P.Phys]],ResearchInput[[#This Row],[P4P.Psyc]],ResearchInput[[#This Row],[P4P.Soc]],ResearchInput[[#This Row],[P4P.Othr]],ResearchInput[[#This Row],[P4P.Non]])</f>
        <v>0</v>
      </c>
      <c r="GX37" s="92">
        <f>SUM(ResearchInput[[#This Row],[PNP.Comp]],ResearchInput[[#This Row],[PNP.Eng]],ResearchInput[[#This Row],[PNP.Geo]],ResearchInput[[#This Row],[PNP.Life]],ResearchInput[[#This Row],[PNP.Math]],ResearchInput[[#This Row],[PNP.Phys]],ResearchInput[[#This Row],[PNP.Psyc]],ResearchInput[[#This Row],[PNP.Soc]],ResearchInput[[#This Row],[PNP.Othr]],ResearchInput[[#This Row],[PNP.Non]])</f>
        <v>0</v>
      </c>
      <c r="GY37" s="92">
        <f>SUM(ResearchInput[[#This Row],[P.All.Comp]],ResearchInput[[#This Row],[P.All.Eng]],ResearchInput[[#This Row],[P.All.Geo]],ResearchInput[[#This Row],[P.All.Life]],ResearchInput[[#This Row],[P.All.Math]],ResearchInput[[#This Row],[P.All.Phys]],ResearchInput[[#This Row],[P.All.Psyc]],ResearchInput[[#This Row],[P.All.Soc]],ResearchInput[[#This Row],[P.All.Othr]],ResearchInput[[#This Row],[P.All.Non]])</f>
        <v>0</v>
      </c>
    </row>
    <row r="38" spans="1:207" s="47" customFormat="1" ht="27" customHeight="1" x14ac:dyDescent="0.25">
      <c r="A38" s="34" t="s">
        <v>191</v>
      </c>
      <c r="B38" s="34" t="s">
        <v>671</v>
      </c>
      <c r="C38" s="35" t="s">
        <v>672</v>
      </c>
      <c r="D38" s="35" t="s">
        <v>673</v>
      </c>
      <c r="E38" s="94">
        <v>601</v>
      </c>
      <c r="F38" s="35" t="s">
        <v>714</v>
      </c>
      <c r="G38" s="35" t="s">
        <v>694</v>
      </c>
      <c r="H38" s="96">
        <v>3644</v>
      </c>
      <c r="I38" s="92">
        <v>46012910</v>
      </c>
      <c r="J38" s="92">
        <v>25397064</v>
      </c>
      <c r="K38" s="92">
        <v>8645396</v>
      </c>
      <c r="L38" s="92">
        <v>108421</v>
      </c>
      <c r="M38" s="92">
        <v>122354981</v>
      </c>
      <c r="N38" s="92">
        <v>14540479</v>
      </c>
      <c r="O38" s="92">
        <v>15587932</v>
      </c>
      <c r="P38" s="92">
        <v>85218</v>
      </c>
      <c r="Q38" s="92">
        <v>0</v>
      </c>
      <c r="R38" s="92">
        <v>0</v>
      </c>
      <c r="S38" s="92">
        <v>0</v>
      </c>
      <c r="T38" s="92">
        <v>0</v>
      </c>
      <c r="U38" s="92">
        <v>0</v>
      </c>
      <c r="V38" s="92">
        <v>0</v>
      </c>
      <c r="W38" s="92">
        <v>0</v>
      </c>
      <c r="X38" s="92">
        <v>0</v>
      </c>
      <c r="Y38" s="92">
        <v>-1206025</v>
      </c>
      <c r="Z38" s="92">
        <v>0</v>
      </c>
      <c r="AA38" s="92">
        <v>-125826</v>
      </c>
      <c r="AB38" s="92">
        <v>0</v>
      </c>
      <c r="AC38" s="92">
        <v>0</v>
      </c>
      <c r="AD38" s="92">
        <v>-9515</v>
      </c>
      <c r="AE38" s="92">
        <v>-655363</v>
      </c>
      <c r="AF38" s="92">
        <v>0</v>
      </c>
      <c r="AG38" s="92">
        <v>15295379</v>
      </c>
      <c r="AH38" s="92">
        <v>0</v>
      </c>
      <c r="AI38" s="92">
        <v>1306320</v>
      </c>
      <c r="AJ38" s="92">
        <v>20108</v>
      </c>
      <c r="AK38" s="92">
        <v>0</v>
      </c>
      <c r="AL38" s="92">
        <v>751402</v>
      </c>
      <c r="AM38" s="92">
        <v>699396</v>
      </c>
      <c r="AN38" s="92">
        <v>52094</v>
      </c>
      <c r="AO38" s="92">
        <v>11074499</v>
      </c>
      <c r="AP38" s="92">
        <v>10804360</v>
      </c>
      <c r="AQ38" s="92">
        <v>83418</v>
      </c>
      <c r="AR38" s="92">
        <v>0</v>
      </c>
      <c r="AS38" s="92">
        <v>5698697</v>
      </c>
      <c r="AT38" s="92">
        <v>612039</v>
      </c>
      <c r="AU38" s="92">
        <v>242421</v>
      </c>
      <c r="AV38" s="92">
        <v>0</v>
      </c>
      <c r="AW38" s="92">
        <v>0</v>
      </c>
      <c r="AX38" s="92">
        <v>0</v>
      </c>
      <c r="AY38" s="92">
        <v>0</v>
      </c>
      <c r="AZ38" s="92">
        <v>0</v>
      </c>
      <c r="BA38" s="92">
        <v>0</v>
      </c>
      <c r="BB38" s="92">
        <v>0</v>
      </c>
      <c r="BC38" s="92">
        <v>0</v>
      </c>
      <c r="BD38" s="92">
        <v>0</v>
      </c>
      <c r="BE38" s="92">
        <v>0</v>
      </c>
      <c r="BF38" s="92">
        <v>0</v>
      </c>
      <c r="BG38" s="92">
        <v>0</v>
      </c>
      <c r="BH38" s="92">
        <v>0</v>
      </c>
      <c r="BI38" s="92">
        <v>0</v>
      </c>
      <c r="BJ38" s="92">
        <v>0</v>
      </c>
      <c r="BK38" s="92">
        <v>0</v>
      </c>
      <c r="BL38" s="92">
        <v>0</v>
      </c>
      <c r="BM38" s="92">
        <v>0</v>
      </c>
      <c r="BN38" s="92">
        <v>0</v>
      </c>
      <c r="BO38" s="92">
        <v>0</v>
      </c>
      <c r="BP38" s="92">
        <v>0</v>
      </c>
      <c r="BQ38" s="92">
        <v>0</v>
      </c>
      <c r="BR38" s="92">
        <v>0</v>
      </c>
      <c r="BS38" s="92">
        <v>0</v>
      </c>
      <c r="BT38" s="92">
        <v>0</v>
      </c>
      <c r="BU38" s="92">
        <v>7297655</v>
      </c>
      <c r="BV38" s="92">
        <v>554947</v>
      </c>
      <c r="BW38" s="92">
        <v>0</v>
      </c>
      <c r="BX38" s="92">
        <v>0</v>
      </c>
      <c r="BY38" s="92">
        <v>7811573</v>
      </c>
      <c r="BZ38" s="92">
        <v>225329</v>
      </c>
      <c r="CA38" s="92">
        <v>127707</v>
      </c>
      <c r="CB38" s="92">
        <v>7922</v>
      </c>
      <c r="CC38" s="92">
        <v>30473102</v>
      </c>
      <c r="CD38" s="92">
        <v>8207134</v>
      </c>
      <c r="CE38" s="92">
        <v>1143527</v>
      </c>
      <c r="CF38" s="92">
        <v>0</v>
      </c>
      <c r="CG38" s="92">
        <v>20875031</v>
      </c>
      <c r="CH38" s="92">
        <v>3236279</v>
      </c>
      <c r="CI38" s="92">
        <v>2027814</v>
      </c>
      <c r="CJ38" s="92">
        <v>46780</v>
      </c>
      <c r="CK38" s="92">
        <v>4251663</v>
      </c>
      <c r="CL38" s="92">
        <v>2794154</v>
      </c>
      <c r="CM38" s="92">
        <v>0</v>
      </c>
      <c r="CN38" s="92">
        <v>0</v>
      </c>
      <c r="CO38" s="92">
        <v>4042705</v>
      </c>
      <c r="CP38" s="92">
        <v>432201</v>
      </c>
      <c r="CQ38" s="92">
        <v>420162</v>
      </c>
      <c r="CR38" s="92">
        <v>0</v>
      </c>
      <c r="CS38" s="92">
        <v>17754908</v>
      </c>
      <c r="CT38" s="92">
        <v>16142262</v>
      </c>
      <c r="CU38" s="92">
        <v>1079421</v>
      </c>
      <c r="CV38" s="92">
        <v>0</v>
      </c>
      <c r="CW38" s="92">
        <v>32091127</v>
      </c>
      <c r="CX38" s="92">
        <v>6761399</v>
      </c>
      <c r="CY38" s="92">
        <v>6995217</v>
      </c>
      <c r="CZ38" s="92">
        <v>70796</v>
      </c>
      <c r="DA38" s="92">
        <v>953413</v>
      </c>
      <c r="DB38" s="92">
        <v>172559</v>
      </c>
      <c r="DC38" s="92">
        <v>0</v>
      </c>
      <c r="DD38" s="92">
        <v>0</v>
      </c>
      <c r="DE38" s="92">
        <v>3960630</v>
      </c>
      <c r="DF38" s="92">
        <v>107798</v>
      </c>
      <c r="DG38" s="92">
        <v>89949</v>
      </c>
      <c r="DH38" s="92">
        <v>0</v>
      </c>
      <c r="DI38" s="92">
        <v>6419091</v>
      </c>
      <c r="DJ38" s="92">
        <v>3846425</v>
      </c>
      <c r="DK38" s="92">
        <v>110571</v>
      </c>
      <c r="DL38" s="92">
        <v>0</v>
      </c>
      <c r="DM38" s="92">
        <v>8804006</v>
      </c>
      <c r="DN38" s="92">
        <v>623796</v>
      </c>
      <c r="DO38" s="92">
        <v>731870</v>
      </c>
      <c r="DP38" s="92">
        <v>0</v>
      </c>
      <c r="DQ38" s="92">
        <v>1144542</v>
      </c>
      <c r="DR38" s="92">
        <v>626329</v>
      </c>
      <c r="DS38" s="92">
        <v>16787</v>
      </c>
      <c r="DT38" s="92">
        <v>90430</v>
      </c>
      <c r="DU38" s="92">
        <v>7555370</v>
      </c>
      <c r="DV38" s="92">
        <v>655584</v>
      </c>
      <c r="DW38" s="92">
        <v>510682</v>
      </c>
      <c r="DX38" s="92">
        <v>0</v>
      </c>
      <c r="DY38" s="92">
        <v>1196895</v>
      </c>
      <c r="DZ38" s="92">
        <v>1542027</v>
      </c>
      <c r="EA38" s="92">
        <v>46263</v>
      </c>
      <c r="EB38" s="92">
        <v>0</v>
      </c>
      <c r="EC38" s="92">
        <v>10098501</v>
      </c>
      <c r="ED38" s="92">
        <v>1336581</v>
      </c>
      <c r="EE38" s="92">
        <v>894637</v>
      </c>
      <c r="EF38" s="92">
        <v>0</v>
      </c>
      <c r="EG38" s="92">
        <v>0</v>
      </c>
      <c r="EH38" s="92">
        <v>35834</v>
      </c>
      <c r="EI38" s="92">
        <v>0</v>
      </c>
      <c r="EJ38" s="92">
        <v>0</v>
      </c>
      <c r="EK38" s="92">
        <v>18489</v>
      </c>
      <c r="EL38" s="92">
        <v>22</v>
      </c>
      <c r="EM38" s="92">
        <v>13</v>
      </c>
      <c r="EN38" s="92">
        <v>0</v>
      </c>
      <c r="EO38" s="92">
        <v>1685494</v>
      </c>
      <c r="EP38" s="92">
        <v>2279753</v>
      </c>
      <c r="EQ38" s="92">
        <v>7512739</v>
      </c>
      <c r="ER38" s="92">
        <v>38099</v>
      </c>
      <c r="ES38" s="92">
        <v>32796246</v>
      </c>
      <c r="ET38" s="92">
        <v>2515416</v>
      </c>
      <c r="EU38" s="92">
        <v>4076335</v>
      </c>
      <c r="EV38" s="92">
        <v>11814</v>
      </c>
      <c r="EW38" s="92">
        <v>540183</v>
      </c>
      <c r="EX38" s="92">
        <v>0</v>
      </c>
      <c r="EY38" s="92">
        <v>0</v>
      </c>
      <c r="EZ38" s="92">
        <v>0</v>
      </c>
      <c r="FA38" s="92">
        <v>0</v>
      </c>
      <c r="FB38" s="92">
        <v>0</v>
      </c>
      <c r="FC38" s="92">
        <v>119128</v>
      </c>
      <c r="FD38" s="92">
        <v>0</v>
      </c>
      <c r="FE38" s="92">
        <v>0</v>
      </c>
      <c r="FF38" s="92">
        <v>0</v>
      </c>
      <c r="FG38" s="92">
        <v>0</v>
      </c>
      <c r="FH38" s="92">
        <v>0</v>
      </c>
      <c r="FI38" s="92">
        <v>0</v>
      </c>
      <c r="FJ38" s="92">
        <v>0</v>
      </c>
      <c r="FK38" s="92">
        <v>294</v>
      </c>
      <c r="FL38" s="92">
        <v>0</v>
      </c>
      <c r="FM38" s="92">
        <v>0</v>
      </c>
      <c r="FN38" s="92">
        <v>0</v>
      </c>
      <c r="FO38" s="92">
        <v>0</v>
      </c>
      <c r="FP38" s="92">
        <v>0</v>
      </c>
      <c r="FQ38" s="92">
        <v>0</v>
      </c>
      <c r="FR38" s="92">
        <v>0</v>
      </c>
      <c r="FS38" s="92">
        <v>0</v>
      </c>
      <c r="FT38" s="92">
        <v>0</v>
      </c>
      <c r="FU38" s="92">
        <v>0</v>
      </c>
      <c r="FV38" s="92">
        <v>0</v>
      </c>
      <c r="FW38" s="92">
        <v>0</v>
      </c>
      <c r="FX38" s="92">
        <v>0</v>
      </c>
      <c r="FY38" s="92">
        <v>0</v>
      </c>
      <c r="FZ38" s="92">
        <v>0</v>
      </c>
      <c r="GA38" s="92">
        <v>0</v>
      </c>
      <c r="GB38" s="92">
        <v>0</v>
      </c>
      <c r="GC38" s="92">
        <v>0</v>
      </c>
      <c r="GD38" s="92">
        <v>232732401</v>
      </c>
      <c r="GE38" s="92">
        <v>260096487</v>
      </c>
      <c r="GF38" s="92">
        <v>949809837</v>
      </c>
      <c r="GG38" s="47" t="s">
        <v>389</v>
      </c>
      <c r="GH38" s="47" t="s">
        <v>390</v>
      </c>
      <c r="GI38" s="93">
        <v>8068344640</v>
      </c>
      <c r="GJ38" s="47" t="s">
        <v>391</v>
      </c>
      <c r="GK38" s="47" t="s">
        <v>392</v>
      </c>
      <c r="GL38" s="47" t="s">
        <v>393</v>
      </c>
      <c r="GM38" s="93">
        <v>8068344713</v>
      </c>
      <c r="GN38" s="47" t="s">
        <v>394</v>
      </c>
      <c r="GO38" s="92" cm="1">
        <f t="array" ref="GO38">IFERROR(_xlfn.IFS(ResearchInput[[#This Row],[Type]]="HRI",SUMIFS('FTSE | FTFE'!$P$8:$P$77,'FTSE | FTFE'!$H$8:$H$77,A38),ResearchInput[[#This Row],[Type]]="UNIV",SUMIFS('FTSE | FTFE'!$P$104:$P$139,'FTSE | FTFE'!$H$104:$H$139,A38),OR(ResearchInput[[#This Row],[Type]]="TSTC",ResearchInput[[#This Row],[Type]]="LSC"),SUMIFS('FTSE | FTFE'!$O$88:$O$96,'FTSE | FTFE'!$H$88:$H$96,A38),ResearchInput[[#This Row],[Type]]="AHM",SUMIFS(Hidden!$H$43:$H$46,Hidden!$G$42:$G$45,A38)),"N/A")</f>
        <v>38546</v>
      </c>
      <c r="GP38" s="92" cm="1">
        <f t="array" ref="GP38">IFERROR(_xlfn.IFS(ResearchInput[[#This Row],[Type]]="HRI",SUMIFS('FTSE | FTFE'!$Q$8:$Q$77,'FTSE | FTFE'!$H$8:$H$77,A38),ResearchInput[[#This Row],[Type]]="UNIV",SUMIFS('FTSE | FTFE'!$Q$104:$Q$139,'FTSE | FTFE'!$H$104:$H$139,A38),OR(ResearchInput[[#This Row],[Type]]="TSTC",ResearchInput[[#This Row],[Type]]="LSC"),SUMIFS('FTSE | FTFE'!$P$88:$P$96,'FTSE | FTFE'!$H$88:$H$96,A38)),"N/A")</f>
        <v>1030</v>
      </c>
      <c r="GQ38" s="92">
        <v>0</v>
      </c>
      <c r="GR38" s="92">
        <f>SUM(ResearchInput[[#This Row],[Fed.Comp]],ResearchInput[[#This Row],[Fed.Eng]],ResearchInput[[#This Row],[Fed.Geo]],ResearchInput[[#This Row],[Fed.Life]],ResearchInput[[#This Row],[Fed.Math]],ResearchInput[[#This Row],[Fed.Phys]],ResearchInput[[#This Row],[Fed.Psyc]],ResearchInput[[#This Row],[Fed.Soc]],ResearchInput[[#This Row],[Fed.Othr]],ResearchInput[[#This Row],[Fed.Non]])</f>
        <v>71176763</v>
      </c>
      <c r="GS38" s="92">
        <f>SUM(ResearchInput[[#This Row],[St.Comp]],ResearchInput[[#This Row],[St.Eng]],ResearchInput[[#This Row],[St.Geo]],ResearchInput[[#This Row],[St.Life]],ResearchInput[[#This Row],[St.Math]],ResearchInput[[#This Row],[St.Phys]],ResearchInput[[#This Row],[St.Psyc]],ResearchInput[[#This Row],[St.Soc]],ResearchInput[[#This Row],[St.Othr]],ResearchInput[[#This Row],[St.Non]])</f>
        <v>36201424</v>
      </c>
      <c r="GT38" s="92">
        <f>SUM(ResearchInput[[#This Row],[St.C&amp;G.Comp]],ResearchInput[[#This Row],[St.C&amp;G.Eng]],ResearchInput[[#This Row],[St.C&amp;G.Geo]],ResearchInput[[#This Row],[St.C&amp;G.Life]],ResearchInput[[#This Row],[St.C&amp;G.Math]],ResearchInput[[#This Row],[St.C&amp;G.Phys]],ResearchInput[[#This Row],[St.C&amp;G.Psyc]],ResearchInput[[#This Row],[St.C&amp;G.Soc]],ResearchInput[[#This Row],[St.C&amp;G.Othr]],ResearchInput[[#This Row],[St.C&amp;G.Non]])</f>
        <v>9909308</v>
      </c>
      <c r="GU38" s="92">
        <f>SUM(ResearchInput[[#This Row],[St.All.Comp]],ResearchInput[[#This Row],[St.All.Eng]],ResearchInput[[#This Row],[St.All.Geo]],ResearchInput[[#This Row],[St.All.Life]],ResearchInput[[#This Row],[St.All.Math]],ResearchInput[[#This Row],[St.All.Phys]],ResearchInput[[#This Row],[St.All.Psyc]],ResearchInput[[#This Row],[St.All.Soc]],ResearchInput[[#This Row],[St.All.Othr]],ResearchInput[[#This Row],[St.All.Non]])</f>
        <v>128529</v>
      </c>
      <c r="GV38" s="92">
        <f>SUM(ResearchInput[[#This Row],[Inst.Comp]],ResearchInput[[#This Row],[Inst.Eng]],ResearchInput[[#This Row],[Inst.Geo]],ResearchInput[[#This Row],[Inst.Life]],ResearchInput[[#This Row],[Inst.Math]],ResearchInput[[#This Row],[Inst.Phys]],ResearchInput[[#This Row],[Inst.Psyc]],ResearchInput[[#This Row],[Inst.Soc]],ResearchInput[[#This Row],[Inst.Othr]],ResearchInput[[#This Row],[Inst.Non]])</f>
        <v>128053678</v>
      </c>
      <c r="GW38" s="92">
        <f>SUM(ResearchInput[[#This Row],[P4P.Comp]],ResearchInput[[#This Row],[P4P.Eng]],ResearchInput[[#This Row],[P4P.Geo]],ResearchInput[[#This Row],[P4P.Life]],ResearchInput[[#This Row],[P4P.Math]],ResearchInput[[#This Row],[P4P.Phys]],ResearchInput[[#This Row],[P4P.Psyc]],ResearchInput[[#This Row],[P4P.Soc]],ResearchInput[[#This Row],[P4P.Othr]],ResearchInput[[#This Row],[P4P.Non]])</f>
        <v>15894405</v>
      </c>
      <c r="GX38" s="92">
        <f>SUM(ResearchInput[[#This Row],[PNP.Comp]],ResearchInput[[#This Row],[PNP.Eng]],ResearchInput[[#This Row],[PNP.Geo]],ResearchInput[[#This Row],[PNP.Life]],ResearchInput[[#This Row],[PNP.Math]],ResearchInput[[#This Row],[PNP.Phys]],ResearchInput[[#This Row],[PNP.Psyc]],ResearchInput[[#This Row],[PNP.Soc]],ResearchInput[[#This Row],[PNP.Othr]],ResearchInput[[#This Row],[PNP.Non]])</f>
        <v>15874386</v>
      </c>
      <c r="GY38" s="92">
        <f>SUM(ResearchInput[[#This Row],[P.All.Comp]],ResearchInput[[#This Row],[P.All.Eng]],ResearchInput[[#This Row],[P.All.Geo]],ResearchInput[[#This Row],[P.All.Life]],ResearchInput[[#This Row],[P.All.Math]],ResearchInput[[#This Row],[P.All.Phys]],ResearchInput[[#This Row],[P.All.Psyc]],ResearchInput[[#This Row],[P.All.Soc]],ResearchInput[[#This Row],[P.All.Othr]],ResearchInput[[#This Row],[P.All.Non]])</f>
        <v>137312</v>
      </c>
    </row>
    <row r="39" spans="1:207" s="47" customFormat="1" ht="27" customHeight="1" x14ac:dyDescent="0.25">
      <c r="A39" s="34" t="s">
        <v>192</v>
      </c>
      <c r="B39" s="34" t="s">
        <v>671</v>
      </c>
      <c r="C39" s="35" t="s">
        <v>672</v>
      </c>
      <c r="D39" s="35" t="s">
        <v>673</v>
      </c>
      <c r="E39" s="94">
        <v>602</v>
      </c>
      <c r="F39" s="35" t="s">
        <v>714</v>
      </c>
      <c r="G39" s="35" t="s">
        <v>690</v>
      </c>
      <c r="H39" s="96">
        <v>3541</v>
      </c>
      <c r="I39" s="92">
        <v>405665</v>
      </c>
      <c r="J39" s="92">
        <v>487385</v>
      </c>
      <c r="K39" s="92">
        <v>70963</v>
      </c>
      <c r="L39" s="92">
        <v>0</v>
      </c>
      <c r="M39" s="92">
        <v>76919</v>
      </c>
      <c r="N39" s="92">
        <v>0</v>
      </c>
      <c r="O39" s="92">
        <v>73080</v>
      </c>
      <c r="P39" s="92">
        <v>68659</v>
      </c>
      <c r="Q39" s="92">
        <v>-255506</v>
      </c>
      <c r="R39" s="92">
        <v>-19691</v>
      </c>
      <c r="S39" s="92">
        <v>0</v>
      </c>
      <c r="T39" s="92">
        <v>0</v>
      </c>
      <c r="U39" s="92">
        <v>-43358</v>
      </c>
      <c r="V39" s="92">
        <v>0</v>
      </c>
      <c r="W39" s="92">
        <v>0</v>
      </c>
      <c r="X39" s="92">
        <v>0</v>
      </c>
      <c r="Y39" s="92">
        <v>0</v>
      </c>
      <c r="Z39" s="92">
        <v>0</v>
      </c>
      <c r="AA39" s="92">
        <v>-25493</v>
      </c>
      <c r="AB39" s="92">
        <v>0</v>
      </c>
      <c r="AC39" s="92">
        <v>0</v>
      </c>
      <c r="AD39" s="92">
        <v>0</v>
      </c>
      <c r="AE39" s="92">
        <v>0</v>
      </c>
      <c r="AF39" s="92">
        <v>0</v>
      </c>
      <c r="AG39" s="92">
        <v>94961</v>
      </c>
      <c r="AH39" s="92">
        <v>0</v>
      </c>
      <c r="AI39" s="92">
        <v>4547</v>
      </c>
      <c r="AJ39" s="92">
        <v>0</v>
      </c>
      <c r="AK39" s="92">
        <v>0</v>
      </c>
      <c r="AL39" s="92">
        <v>0</v>
      </c>
      <c r="AM39" s="92">
        <v>1664</v>
      </c>
      <c r="AN39" s="92">
        <v>8949</v>
      </c>
      <c r="AO39" s="92">
        <v>278340</v>
      </c>
      <c r="AP39" s="92">
        <v>16044</v>
      </c>
      <c r="AQ39" s="92">
        <v>0</v>
      </c>
      <c r="AR39" s="92">
        <v>0</v>
      </c>
      <c r="AS39" s="92">
        <v>0</v>
      </c>
      <c r="AT39" s="92">
        <v>0</v>
      </c>
      <c r="AU39" s="92">
        <v>35841</v>
      </c>
      <c r="AV39" s="92">
        <v>0</v>
      </c>
      <c r="AW39" s="92">
        <v>0</v>
      </c>
      <c r="AX39" s="92">
        <v>0</v>
      </c>
      <c r="AY39" s="92">
        <v>0</v>
      </c>
      <c r="AZ39" s="92">
        <v>0</v>
      </c>
      <c r="BA39" s="92">
        <v>0</v>
      </c>
      <c r="BB39" s="92">
        <v>0</v>
      </c>
      <c r="BC39" s="92">
        <v>0</v>
      </c>
      <c r="BD39" s="92">
        <v>0</v>
      </c>
      <c r="BE39" s="92">
        <v>0</v>
      </c>
      <c r="BF39" s="92">
        <v>0</v>
      </c>
      <c r="BG39" s="92">
        <v>0</v>
      </c>
      <c r="BH39" s="92">
        <v>0</v>
      </c>
      <c r="BI39" s="92">
        <v>0</v>
      </c>
      <c r="BJ39" s="92">
        <v>0</v>
      </c>
      <c r="BK39" s="92">
        <v>0</v>
      </c>
      <c r="BL39" s="92">
        <v>0</v>
      </c>
      <c r="BM39" s="92">
        <v>0</v>
      </c>
      <c r="BN39" s="92">
        <v>0</v>
      </c>
      <c r="BO39" s="92">
        <v>0</v>
      </c>
      <c r="BP39" s="92">
        <v>0</v>
      </c>
      <c r="BQ39" s="92">
        <v>0</v>
      </c>
      <c r="BR39" s="92">
        <v>0</v>
      </c>
      <c r="BS39" s="92">
        <v>0</v>
      </c>
      <c r="BT39" s="92">
        <v>0</v>
      </c>
      <c r="BU39" s="92">
        <v>74813</v>
      </c>
      <c r="BV39" s="92">
        <v>0</v>
      </c>
      <c r="BW39" s="92">
        <v>0</v>
      </c>
      <c r="BX39" s="92">
        <v>0</v>
      </c>
      <c r="BY39" s="92">
        <v>0</v>
      </c>
      <c r="BZ39" s="92">
        <v>0</v>
      </c>
      <c r="CA39" s="92">
        <v>0</v>
      </c>
      <c r="CB39" s="92">
        <v>0</v>
      </c>
      <c r="CC39" s="92">
        <v>210038</v>
      </c>
      <c r="CD39" s="92">
        <v>20827</v>
      </c>
      <c r="CE39" s="92">
        <v>0</v>
      </c>
      <c r="CF39" s="92">
        <v>0</v>
      </c>
      <c r="CG39" s="92">
        <v>0</v>
      </c>
      <c r="CH39" s="92">
        <v>0</v>
      </c>
      <c r="CI39" s="92">
        <v>0</v>
      </c>
      <c r="CJ39" s="92">
        <v>0</v>
      </c>
      <c r="CK39" s="92">
        <v>0</v>
      </c>
      <c r="CL39" s="92">
        <v>0</v>
      </c>
      <c r="CM39" s="92">
        <v>0</v>
      </c>
      <c r="CN39" s="92">
        <v>0</v>
      </c>
      <c r="CO39" s="92">
        <v>0</v>
      </c>
      <c r="CP39" s="92">
        <v>0</v>
      </c>
      <c r="CQ39" s="92">
        <v>0</v>
      </c>
      <c r="CR39" s="92">
        <v>0</v>
      </c>
      <c r="CS39" s="92">
        <v>36942</v>
      </c>
      <c r="CT39" s="92">
        <v>398145</v>
      </c>
      <c r="CU39" s="92">
        <v>50017</v>
      </c>
      <c r="CV39" s="92">
        <v>0</v>
      </c>
      <c r="CW39" s="92">
        <v>23800</v>
      </c>
      <c r="CX39" s="92">
        <v>0</v>
      </c>
      <c r="CY39" s="92">
        <v>35326</v>
      </c>
      <c r="CZ39" s="92">
        <v>6000</v>
      </c>
      <c r="DA39" s="92">
        <v>82564</v>
      </c>
      <c r="DB39" s="92">
        <v>0</v>
      </c>
      <c r="DC39" s="92">
        <v>0</v>
      </c>
      <c r="DD39" s="92">
        <v>0</v>
      </c>
      <c r="DE39" s="92">
        <v>0</v>
      </c>
      <c r="DF39" s="92">
        <v>0</v>
      </c>
      <c r="DG39" s="92">
        <v>0</v>
      </c>
      <c r="DH39" s="92">
        <v>0</v>
      </c>
      <c r="DI39" s="92">
        <v>1318</v>
      </c>
      <c r="DJ39" s="92">
        <v>24071</v>
      </c>
      <c r="DK39" s="92">
        <v>0</v>
      </c>
      <c r="DL39" s="92">
        <v>0</v>
      </c>
      <c r="DM39" s="92">
        <v>6848</v>
      </c>
      <c r="DN39" s="92">
        <v>0</v>
      </c>
      <c r="DO39" s="92">
        <v>51468</v>
      </c>
      <c r="DP39" s="92">
        <v>0</v>
      </c>
      <c r="DQ39" s="92">
        <v>0</v>
      </c>
      <c r="DR39" s="92">
        <v>25242</v>
      </c>
      <c r="DS39" s="92">
        <v>0</v>
      </c>
      <c r="DT39" s="92">
        <v>0</v>
      </c>
      <c r="DU39" s="92">
        <v>1878</v>
      </c>
      <c r="DV39" s="92">
        <v>0</v>
      </c>
      <c r="DW39" s="92">
        <v>0</v>
      </c>
      <c r="DX39" s="92">
        <v>0</v>
      </c>
      <c r="DY39" s="92">
        <v>0</v>
      </c>
      <c r="DZ39" s="92">
        <v>11889</v>
      </c>
      <c r="EA39" s="92">
        <v>0</v>
      </c>
      <c r="EB39" s="92">
        <v>0</v>
      </c>
      <c r="EC39" s="92">
        <v>1035</v>
      </c>
      <c r="ED39" s="92">
        <v>0</v>
      </c>
      <c r="EE39" s="92">
        <v>0</v>
      </c>
      <c r="EF39" s="92">
        <v>0</v>
      </c>
      <c r="EG39" s="92">
        <v>117785</v>
      </c>
      <c r="EH39" s="92">
        <v>0</v>
      </c>
      <c r="EI39" s="92">
        <v>0</v>
      </c>
      <c r="EJ39" s="92">
        <v>0</v>
      </c>
      <c r="EK39" s="92">
        <v>0</v>
      </c>
      <c r="EL39" s="92">
        <v>0</v>
      </c>
      <c r="EM39" s="92">
        <v>0</v>
      </c>
      <c r="EN39" s="92">
        <v>0</v>
      </c>
      <c r="EO39" s="92">
        <v>0</v>
      </c>
      <c r="EP39" s="92">
        <v>3564</v>
      </c>
      <c r="EQ39" s="92">
        <v>0</v>
      </c>
      <c r="ER39" s="92">
        <v>0</v>
      </c>
      <c r="ES39" s="92">
        <v>0</v>
      </c>
      <c r="ET39" s="92">
        <v>0</v>
      </c>
      <c r="EU39" s="92">
        <v>23791</v>
      </c>
      <c r="EV39" s="92">
        <v>71608</v>
      </c>
      <c r="EW39" s="92">
        <v>0</v>
      </c>
      <c r="EX39" s="92">
        <v>0</v>
      </c>
      <c r="EY39" s="92">
        <v>0</v>
      </c>
      <c r="EZ39" s="92">
        <v>0</v>
      </c>
      <c r="FA39" s="92">
        <v>0</v>
      </c>
      <c r="FB39" s="92">
        <v>0</v>
      </c>
      <c r="FC39" s="92">
        <v>0</v>
      </c>
      <c r="FD39" s="92">
        <v>0</v>
      </c>
      <c r="FE39" s="92">
        <v>0</v>
      </c>
      <c r="FF39" s="92">
        <v>0</v>
      </c>
      <c r="FG39" s="92">
        <v>0</v>
      </c>
      <c r="FH39" s="92">
        <v>0</v>
      </c>
      <c r="FI39" s="92">
        <v>0</v>
      </c>
      <c r="FJ39" s="92">
        <v>0</v>
      </c>
      <c r="FK39" s="92">
        <v>0</v>
      </c>
      <c r="FL39" s="92">
        <v>0</v>
      </c>
      <c r="FM39" s="92">
        <v>0</v>
      </c>
      <c r="FN39" s="92">
        <v>0</v>
      </c>
      <c r="FO39" s="92">
        <v>0</v>
      </c>
      <c r="FP39" s="92">
        <v>0</v>
      </c>
      <c r="FQ39" s="92">
        <v>0</v>
      </c>
      <c r="FR39" s="92">
        <v>0</v>
      </c>
      <c r="FS39" s="92">
        <v>0</v>
      </c>
      <c r="FT39" s="92">
        <v>0</v>
      </c>
      <c r="FU39" s="92">
        <v>0</v>
      </c>
      <c r="FV39" s="92">
        <v>0</v>
      </c>
      <c r="FW39" s="92">
        <v>0</v>
      </c>
      <c r="FX39" s="92">
        <v>0</v>
      </c>
      <c r="FY39" s="92">
        <v>0</v>
      </c>
      <c r="FZ39" s="92">
        <v>0</v>
      </c>
      <c r="GA39" s="92">
        <v>0</v>
      </c>
      <c r="GB39" s="92">
        <v>0</v>
      </c>
      <c r="GC39" s="92">
        <v>0</v>
      </c>
      <c r="GD39" s="92">
        <v>1182671</v>
      </c>
      <c r="GE39" s="92">
        <v>1512896</v>
      </c>
      <c r="GF39" s="92">
        <v>120725278</v>
      </c>
      <c r="GG39" s="47" t="s">
        <v>395</v>
      </c>
      <c r="GH39" s="47" t="s">
        <v>396</v>
      </c>
      <c r="GI39" s="93">
        <v>3259422014</v>
      </c>
      <c r="GJ39" s="47" t="s">
        <v>397</v>
      </c>
      <c r="GK39" s="47" t="s">
        <v>398</v>
      </c>
      <c r="GL39" s="47" t="s">
        <v>399</v>
      </c>
      <c r="GM39" s="93">
        <v>3259422014</v>
      </c>
      <c r="GN39" s="47" t="s">
        <v>400</v>
      </c>
      <c r="GO39" s="92" cm="1">
        <f t="array" ref="GO39">IFERROR(_xlfn.IFS(ResearchInput[[#This Row],[Type]]="HRI",SUMIFS('FTSE | FTFE'!$P$8:$P$77,'FTSE | FTFE'!$H$8:$H$77,A39),ResearchInput[[#This Row],[Type]]="UNIV",SUMIFS('FTSE | FTFE'!$P$104:$P$139,'FTSE | FTFE'!$H$104:$H$139,A39),OR(ResearchInput[[#This Row],[Type]]="TSTC",ResearchInput[[#This Row],[Type]]="LSC"),SUMIFS('FTSE | FTFE'!$O$88:$O$96,'FTSE | FTFE'!$H$88:$H$96,A39),ResearchInput[[#This Row],[Type]]="AHM",SUMIFS(Hidden!$H$43:$H$46,Hidden!$G$42:$G$45,A39)),"N/A")</f>
        <v>8110</v>
      </c>
      <c r="GP39" s="92" cm="1">
        <f t="array" ref="GP39">IFERROR(_xlfn.IFS(ResearchInput[[#This Row],[Type]]="HRI",SUMIFS('FTSE | FTFE'!$Q$8:$Q$77,'FTSE | FTFE'!$H$8:$H$77,A39),ResearchInput[[#This Row],[Type]]="UNIV",SUMIFS('FTSE | FTFE'!$Q$104:$Q$139,'FTSE | FTFE'!$H$104:$H$139,A39),OR(ResearchInput[[#This Row],[Type]]="TSTC",ResearchInput[[#This Row],[Type]]="LSC"),SUMIFS('FTSE | FTFE'!$P$88:$P$96,'FTSE | FTFE'!$H$88:$H$96,A39)),"N/A")</f>
        <v>170</v>
      </c>
      <c r="GQ39" s="92">
        <v>0</v>
      </c>
      <c r="GR39" s="92">
        <f>SUM(ResearchInput[[#This Row],[Fed.Comp]],ResearchInput[[#This Row],[Fed.Eng]],ResearchInput[[#This Row],[Fed.Geo]],ResearchInput[[#This Row],[Fed.Life]],ResearchInput[[#This Row],[Fed.Math]],ResearchInput[[#This Row],[Fed.Phys]],ResearchInput[[#This Row],[Fed.Psyc]],ResearchInput[[#This Row],[Fed.Soc]],ResearchInput[[#This Row],[Fed.Othr]],ResearchInput[[#This Row],[Fed.Non]])</f>
        <v>523460</v>
      </c>
      <c r="GS39" s="92">
        <f>SUM(ResearchInput[[#This Row],[St.Comp]],ResearchInput[[#This Row],[St.Eng]],ResearchInput[[#This Row],[St.Geo]],ResearchInput[[#This Row],[St.Life]],ResearchInput[[#This Row],[St.Math]],ResearchInput[[#This Row],[St.Phys]],ResearchInput[[#This Row],[St.Psyc]],ResearchInput[[#This Row],[St.Soc]],ResearchInput[[#This Row],[St.Othr]],ResearchInput[[#This Row],[St.Non]])</f>
        <v>483738</v>
      </c>
      <c r="GT39" s="92">
        <f>SUM(ResearchInput[[#This Row],[St.C&amp;G.Comp]],ResearchInput[[#This Row],[St.C&amp;G.Eng]],ResearchInput[[#This Row],[St.C&amp;G.Geo]],ResearchInput[[#This Row],[St.C&amp;G.Life]],ResearchInput[[#This Row],[St.C&amp;G.Math]],ResearchInput[[#This Row],[St.C&amp;G.Phys]],ResearchInput[[#This Row],[St.C&amp;G.Psyc]],ResearchInput[[#This Row],[St.C&amp;G.Soc]],ResearchInput[[#This Row],[St.C&amp;G.Othr]],ResearchInput[[#This Row],[St.C&amp;G.Non]])</f>
        <v>50017</v>
      </c>
      <c r="GU39" s="92">
        <f>SUM(ResearchInput[[#This Row],[St.All.Comp]],ResearchInput[[#This Row],[St.All.Eng]],ResearchInput[[#This Row],[St.All.Geo]],ResearchInput[[#This Row],[St.All.Life]],ResearchInput[[#This Row],[St.All.Math]],ResearchInput[[#This Row],[St.All.Phys]],ResearchInput[[#This Row],[St.All.Psyc]],ResearchInput[[#This Row],[St.All.Soc]],ResearchInput[[#This Row],[St.All.Othr]],ResearchInput[[#This Row],[St.All.Non]])</f>
        <v>0</v>
      </c>
      <c r="GV39" s="92">
        <f>SUM(ResearchInput[[#This Row],[Inst.Comp]],ResearchInput[[#This Row],[Inst.Eng]],ResearchInput[[#This Row],[Inst.Geo]],ResearchInput[[#This Row],[Inst.Life]],ResearchInput[[#This Row],[Inst.Math]],ResearchInput[[#This Row],[Inst.Phys]],ResearchInput[[#This Row],[Inst.Psyc]],ResearchInput[[#This Row],[Inst.Soc]],ResearchInput[[#This Row],[Inst.Othr]],ResearchInput[[#This Row],[Inst.Non]])</f>
        <v>33561</v>
      </c>
      <c r="GW39" s="92">
        <f>SUM(ResearchInput[[#This Row],[P4P.Comp]],ResearchInput[[#This Row],[P4P.Eng]],ResearchInput[[#This Row],[P4P.Geo]],ResearchInput[[#This Row],[P4P.Life]],ResearchInput[[#This Row],[P4P.Math]],ResearchInput[[#This Row],[P4P.Phys]],ResearchInput[[#This Row],[P4P.Psyc]],ResearchInput[[#This Row],[P4P.Soc]],ResearchInput[[#This Row],[P4P.Othr]],ResearchInput[[#This Row],[P4P.Non]])</f>
        <v>0</v>
      </c>
      <c r="GX39" s="92">
        <f>SUM(ResearchInput[[#This Row],[PNP.Comp]],ResearchInput[[#This Row],[PNP.Eng]],ResearchInput[[#This Row],[PNP.Geo]],ResearchInput[[#This Row],[PNP.Life]],ResearchInput[[#This Row],[PNP.Math]],ResearchInput[[#This Row],[PNP.Phys]],ResearchInput[[#This Row],[PNP.Psyc]],ResearchInput[[#This Row],[PNP.Soc]],ResearchInput[[#This Row],[PNP.Othr]],ResearchInput[[#This Row],[PNP.Non]])</f>
        <v>110585</v>
      </c>
      <c r="GY39" s="92">
        <f>SUM(ResearchInput[[#This Row],[P.All.Comp]],ResearchInput[[#This Row],[P.All.Eng]],ResearchInput[[#This Row],[P.All.Geo]],ResearchInput[[#This Row],[P.All.Life]],ResearchInput[[#This Row],[P.All.Math]],ResearchInput[[#This Row],[P.All.Phys]],ResearchInput[[#This Row],[P.All.Psyc]],ResearchInput[[#This Row],[P.All.Soc]],ResearchInput[[#This Row],[P.All.Othr]],ResearchInput[[#This Row],[P.All.Non]])</f>
        <v>77608</v>
      </c>
    </row>
    <row r="40" spans="1:207" s="47" customFormat="1" ht="27" customHeight="1" x14ac:dyDescent="0.25">
      <c r="A40" s="34" t="s">
        <v>194</v>
      </c>
      <c r="B40" s="34" t="s">
        <v>671</v>
      </c>
      <c r="C40" s="35" t="s">
        <v>672</v>
      </c>
      <c r="D40" s="35" t="s">
        <v>673</v>
      </c>
      <c r="E40" s="94">
        <v>603</v>
      </c>
      <c r="F40" s="35" t="s">
        <v>714</v>
      </c>
      <c r="G40" s="35" t="s">
        <v>690</v>
      </c>
      <c r="H40" s="96">
        <v>3592</v>
      </c>
      <c r="I40" s="92">
        <v>312295</v>
      </c>
      <c r="J40" s="92">
        <v>158855</v>
      </c>
      <c r="K40" s="92">
        <v>0</v>
      </c>
      <c r="L40" s="92">
        <v>0</v>
      </c>
      <c r="M40" s="92">
        <v>284562</v>
      </c>
      <c r="N40" s="92">
        <v>-3013</v>
      </c>
      <c r="O40" s="92">
        <v>279390</v>
      </c>
      <c r="P40" s="92">
        <v>18503</v>
      </c>
      <c r="Q40" s="92">
        <v>0</v>
      </c>
      <c r="R40" s="92">
        <v>0</v>
      </c>
      <c r="S40" s="92">
        <v>0</v>
      </c>
      <c r="T40" s="92">
        <v>0</v>
      </c>
      <c r="U40" s="92">
        <v>-16820</v>
      </c>
      <c r="V40" s="92">
        <v>0</v>
      </c>
      <c r="W40" s="92">
        <v>0</v>
      </c>
      <c r="X40" s="92">
        <v>0</v>
      </c>
      <c r="Y40" s="92">
        <v>0</v>
      </c>
      <c r="Z40" s="92">
        <v>0</v>
      </c>
      <c r="AA40" s="92">
        <v>0</v>
      </c>
      <c r="AB40" s="92">
        <v>0</v>
      </c>
      <c r="AC40" s="92">
        <v>0</v>
      </c>
      <c r="AD40" s="92">
        <v>0</v>
      </c>
      <c r="AE40" s="92">
        <v>0</v>
      </c>
      <c r="AF40" s="92">
        <v>0</v>
      </c>
      <c r="AG40" s="92">
        <v>36733</v>
      </c>
      <c r="AH40" s="92">
        <v>0</v>
      </c>
      <c r="AI40" s="92">
        <v>0</v>
      </c>
      <c r="AJ40" s="92">
        <v>0</v>
      </c>
      <c r="AK40" s="92">
        <v>0</v>
      </c>
      <c r="AL40" s="92">
        <v>-1450</v>
      </c>
      <c r="AM40" s="92">
        <v>0</v>
      </c>
      <c r="AN40" s="92">
        <v>4684</v>
      </c>
      <c r="AO40" s="92">
        <v>331218</v>
      </c>
      <c r="AP40" s="92">
        <v>31745</v>
      </c>
      <c r="AQ40" s="92">
        <v>0</v>
      </c>
      <c r="AR40" s="92">
        <v>0</v>
      </c>
      <c r="AS40" s="92">
        <v>0</v>
      </c>
      <c r="AT40" s="92">
        <v>0</v>
      </c>
      <c r="AU40" s="92">
        <v>0</v>
      </c>
      <c r="AV40" s="92">
        <v>0</v>
      </c>
      <c r="AW40" s="92">
        <v>0</v>
      </c>
      <c r="AX40" s="92">
        <v>0</v>
      </c>
      <c r="AY40" s="92">
        <v>0</v>
      </c>
      <c r="AZ40" s="92">
        <v>0</v>
      </c>
      <c r="BA40" s="92">
        <v>0</v>
      </c>
      <c r="BB40" s="92">
        <v>0</v>
      </c>
      <c r="BC40" s="92">
        <v>0</v>
      </c>
      <c r="BD40" s="92">
        <v>0</v>
      </c>
      <c r="BE40" s="92">
        <v>0</v>
      </c>
      <c r="BF40" s="92">
        <v>0</v>
      </c>
      <c r="BG40" s="92">
        <v>0</v>
      </c>
      <c r="BH40" s="92">
        <v>0</v>
      </c>
      <c r="BI40" s="92">
        <v>0</v>
      </c>
      <c r="BJ40" s="92">
        <v>0</v>
      </c>
      <c r="BK40" s="92">
        <v>0</v>
      </c>
      <c r="BL40" s="92">
        <v>0</v>
      </c>
      <c r="BM40" s="92">
        <v>0</v>
      </c>
      <c r="BN40" s="92">
        <v>0</v>
      </c>
      <c r="BO40" s="92">
        <v>0</v>
      </c>
      <c r="BP40" s="92">
        <v>0</v>
      </c>
      <c r="BQ40" s="92">
        <v>0</v>
      </c>
      <c r="BR40" s="92">
        <v>0</v>
      </c>
      <c r="BS40" s="92">
        <v>0</v>
      </c>
      <c r="BT40" s="92">
        <v>0</v>
      </c>
      <c r="BU40" s="92">
        <v>0</v>
      </c>
      <c r="BV40" s="92">
        <v>18040</v>
      </c>
      <c r="BW40" s="92">
        <v>0</v>
      </c>
      <c r="BX40" s="92">
        <v>0</v>
      </c>
      <c r="BY40" s="92">
        <v>6000</v>
      </c>
      <c r="BZ40" s="92">
        <v>0</v>
      </c>
      <c r="CA40" s="92">
        <v>0</v>
      </c>
      <c r="CB40" s="92">
        <v>0</v>
      </c>
      <c r="CC40" s="92">
        <v>0</v>
      </c>
      <c r="CD40" s="92">
        <v>3711</v>
      </c>
      <c r="CE40" s="92">
        <v>0</v>
      </c>
      <c r="CF40" s="92">
        <v>0</v>
      </c>
      <c r="CG40" s="92">
        <v>0</v>
      </c>
      <c r="CH40" s="92">
        <v>-4463</v>
      </c>
      <c r="CI40" s="92">
        <v>0</v>
      </c>
      <c r="CJ40" s="92">
        <v>0</v>
      </c>
      <c r="CK40" s="92">
        <v>48908</v>
      </c>
      <c r="CL40" s="92">
        <v>4986</v>
      </c>
      <c r="CM40" s="92">
        <v>0</v>
      </c>
      <c r="CN40" s="92">
        <v>0</v>
      </c>
      <c r="CO40" s="92">
        <v>62</v>
      </c>
      <c r="CP40" s="92">
        <v>0</v>
      </c>
      <c r="CQ40" s="92">
        <v>21071</v>
      </c>
      <c r="CR40" s="92">
        <v>14516</v>
      </c>
      <c r="CS40" s="92">
        <v>0</v>
      </c>
      <c r="CT40" s="92">
        <v>17674</v>
      </c>
      <c r="CU40" s="92">
        <v>0</v>
      </c>
      <c r="CV40" s="92">
        <v>0</v>
      </c>
      <c r="CW40" s="92">
        <v>9700</v>
      </c>
      <c r="CX40" s="92">
        <v>0</v>
      </c>
      <c r="CY40" s="92">
        <v>22595</v>
      </c>
      <c r="CZ40" s="92">
        <v>1800</v>
      </c>
      <c r="DA40" s="92">
        <v>0</v>
      </c>
      <c r="DB40" s="92">
        <v>0</v>
      </c>
      <c r="DC40" s="92">
        <v>0</v>
      </c>
      <c r="DD40" s="92">
        <v>0</v>
      </c>
      <c r="DE40" s="92">
        <v>0</v>
      </c>
      <c r="DF40" s="92">
        <v>0</v>
      </c>
      <c r="DG40" s="92">
        <v>0</v>
      </c>
      <c r="DH40" s="92">
        <v>0</v>
      </c>
      <c r="DI40" s="92">
        <v>0</v>
      </c>
      <c r="DJ40" s="92">
        <v>35552</v>
      </c>
      <c r="DK40" s="92">
        <v>0</v>
      </c>
      <c r="DL40" s="92">
        <v>0</v>
      </c>
      <c r="DM40" s="92">
        <v>0</v>
      </c>
      <c r="DN40" s="92">
        <v>0</v>
      </c>
      <c r="DO40" s="92">
        <v>12206</v>
      </c>
      <c r="DP40" s="92">
        <v>213</v>
      </c>
      <c r="DQ40" s="92">
        <v>0</v>
      </c>
      <c r="DR40" s="92">
        <v>0</v>
      </c>
      <c r="DS40" s="92">
        <v>0</v>
      </c>
      <c r="DT40" s="92">
        <v>0</v>
      </c>
      <c r="DU40" s="92">
        <v>0</v>
      </c>
      <c r="DV40" s="92">
        <v>0</v>
      </c>
      <c r="DW40" s="92">
        <v>0</v>
      </c>
      <c r="DX40" s="92">
        <v>0</v>
      </c>
      <c r="DY40" s="92">
        <v>0</v>
      </c>
      <c r="DZ40" s="92">
        <v>0</v>
      </c>
      <c r="EA40" s="92">
        <v>0</v>
      </c>
      <c r="EB40" s="92">
        <v>0</v>
      </c>
      <c r="EC40" s="92">
        <v>0</v>
      </c>
      <c r="ED40" s="92">
        <v>0</v>
      </c>
      <c r="EE40" s="92">
        <v>0</v>
      </c>
      <c r="EF40" s="92">
        <v>0</v>
      </c>
      <c r="EG40" s="92">
        <v>513788</v>
      </c>
      <c r="EH40" s="92">
        <v>26158</v>
      </c>
      <c r="EI40" s="92">
        <v>0</v>
      </c>
      <c r="EJ40" s="92">
        <v>0</v>
      </c>
      <c r="EK40" s="92">
        <v>114865</v>
      </c>
      <c r="EL40" s="92">
        <v>0</v>
      </c>
      <c r="EM40" s="92">
        <v>0</v>
      </c>
      <c r="EN40" s="92">
        <v>0</v>
      </c>
      <c r="EO40" s="92">
        <v>117550</v>
      </c>
      <c r="EP40" s="92">
        <v>84479</v>
      </c>
      <c r="EQ40" s="92">
        <v>0</v>
      </c>
      <c r="ER40" s="92">
        <v>0</v>
      </c>
      <c r="ES40" s="92">
        <v>137115</v>
      </c>
      <c r="ET40" s="92">
        <v>0</v>
      </c>
      <c r="EU40" s="92">
        <v>223518</v>
      </c>
      <c r="EV40" s="92">
        <v>6658</v>
      </c>
      <c r="EW40" s="92">
        <v>0</v>
      </c>
      <c r="EX40" s="92">
        <v>0</v>
      </c>
      <c r="EY40" s="92">
        <v>0</v>
      </c>
      <c r="EZ40" s="92">
        <v>0</v>
      </c>
      <c r="FA40" s="92">
        <v>0</v>
      </c>
      <c r="FB40" s="92">
        <v>0</v>
      </c>
      <c r="FC40" s="92">
        <v>0</v>
      </c>
      <c r="FD40" s="92">
        <v>0</v>
      </c>
      <c r="FE40" s="92">
        <v>0</v>
      </c>
      <c r="FF40" s="92">
        <v>0</v>
      </c>
      <c r="FG40" s="92">
        <v>0</v>
      </c>
      <c r="FH40" s="92">
        <v>0</v>
      </c>
      <c r="FI40" s="92">
        <v>0</v>
      </c>
      <c r="FJ40" s="92">
        <v>0</v>
      </c>
      <c r="FK40" s="92">
        <v>0</v>
      </c>
      <c r="FL40" s="92">
        <v>0</v>
      </c>
      <c r="FM40" s="92">
        <v>0</v>
      </c>
      <c r="FN40" s="92">
        <v>0</v>
      </c>
      <c r="FO40" s="92">
        <v>0</v>
      </c>
      <c r="FP40" s="92">
        <v>0</v>
      </c>
      <c r="FQ40" s="92">
        <v>0</v>
      </c>
      <c r="FR40" s="92">
        <v>0</v>
      </c>
      <c r="FS40" s="92">
        <v>0</v>
      </c>
      <c r="FT40" s="92">
        <v>0</v>
      </c>
      <c r="FU40" s="92">
        <v>0</v>
      </c>
      <c r="FV40" s="92">
        <v>0</v>
      </c>
      <c r="FW40" s="92">
        <v>0</v>
      </c>
      <c r="FX40" s="92">
        <v>0</v>
      </c>
      <c r="FY40" s="92">
        <v>0</v>
      </c>
      <c r="FZ40" s="92">
        <v>0</v>
      </c>
      <c r="GA40" s="92">
        <v>0</v>
      </c>
      <c r="GB40" s="92">
        <v>0</v>
      </c>
      <c r="GC40" s="92">
        <v>0</v>
      </c>
      <c r="GD40" s="92">
        <v>1050592</v>
      </c>
      <c r="GE40" s="92">
        <v>1410155</v>
      </c>
      <c r="GF40" s="92">
        <v>81136543</v>
      </c>
      <c r="GG40" s="47" t="s">
        <v>407</v>
      </c>
      <c r="GH40" s="47" t="s">
        <v>408</v>
      </c>
      <c r="GI40" s="93">
        <v>9403974237</v>
      </c>
      <c r="GJ40" s="47" t="s">
        <v>409</v>
      </c>
      <c r="GK40" s="47" t="s">
        <v>410</v>
      </c>
      <c r="GL40" s="47" t="s">
        <v>411</v>
      </c>
      <c r="GM40" s="93">
        <v>9403974275</v>
      </c>
      <c r="GN40" s="47" t="s">
        <v>412</v>
      </c>
      <c r="GO40" s="92" cm="1">
        <f t="array" ref="GO40">IFERROR(_xlfn.IFS(ResearchInput[[#This Row],[Type]]="HRI",SUMIFS('FTSE | FTFE'!$P$8:$P$77,'FTSE | FTFE'!$H$8:$H$77,A40),ResearchInput[[#This Row],[Type]]="UNIV",SUMIFS('FTSE | FTFE'!$P$104:$P$139,'FTSE | FTFE'!$H$104:$H$139,A40),OR(ResearchInput[[#This Row],[Type]]="TSTC",ResearchInput[[#This Row],[Type]]="LSC"),SUMIFS('FTSE | FTFE'!$O$88:$O$96,'FTSE | FTFE'!$H$88:$H$96,A40),ResearchInput[[#This Row],[Type]]="AHM",SUMIFS(Hidden!$H$43:$H$46,Hidden!$G$42:$G$45,A40)),"N/A")</f>
        <v>3977</v>
      </c>
      <c r="GP40" s="92" cm="1">
        <f t="array" ref="GP40">IFERROR(_xlfn.IFS(ResearchInput[[#This Row],[Type]]="HRI",SUMIFS('FTSE | FTFE'!$Q$8:$Q$77,'FTSE | FTFE'!$H$8:$H$77,A40),ResearchInput[[#This Row],[Type]]="UNIV",SUMIFS('FTSE | FTFE'!$Q$104:$Q$139,'FTSE | FTFE'!$H$104:$H$139,A40),OR(ResearchInput[[#This Row],[Type]]="TSTC",ResearchInput[[#This Row],[Type]]="LSC"),SUMIFS('FTSE | FTFE'!$P$88:$P$96,'FTSE | FTFE'!$H$88:$H$96,A40)),"N/A")</f>
        <v>164</v>
      </c>
      <c r="GQ40" s="92">
        <v>0</v>
      </c>
      <c r="GR40" s="92">
        <f>SUM(ResearchInput[[#This Row],[Fed.Comp]],ResearchInput[[#This Row],[Fed.Eng]],ResearchInput[[#This Row],[Fed.Geo]],ResearchInput[[#This Row],[Fed.Life]],ResearchInput[[#This Row],[Fed.Math]],ResearchInput[[#This Row],[Fed.Phys]],ResearchInput[[#This Row],[Fed.Psyc]],ResearchInput[[#This Row],[Fed.Soc]],ResearchInput[[#This Row],[Fed.Othr]],ResearchInput[[#This Row],[Fed.Non]])</f>
        <v>680246</v>
      </c>
      <c r="GS40" s="92">
        <f>SUM(ResearchInput[[#This Row],[St.Comp]],ResearchInput[[#This Row],[St.Eng]],ResearchInput[[#This Row],[St.Geo]],ResearchInput[[#This Row],[St.Life]],ResearchInput[[#This Row],[St.Math]],ResearchInput[[#This Row],[St.Phys]],ResearchInput[[#This Row],[St.Psyc]],ResearchInput[[#This Row],[St.Soc]],ResearchInput[[#This Row],[St.Othr]],ResearchInput[[#This Row],[St.Non]])</f>
        <v>190600</v>
      </c>
      <c r="GT40" s="92">
        <f>SUM(ResearchInput[[#This Row],[St.C&amp;G.Comp]],ResearchInput[[#This Row],[St.C&amp;G.Eng]],ResearchInput[[#This Row],[St.C&amp;G.Geo]],ResearchInput[[#This Row],[St.C&amp;G.Life]],ResearchInput[[#This Row],[St.C&amp;G.Math]],ResearchInput[[#This Row],[St.C&amp;G.Phys]],ResearchInput[[#This Row],[St.C&amp;G.Psyc]],ResearchInput[[#This Row],[St.C&amp;G.Soc]],ResearchInput[[#This Row],[St.C&amp;G.Othr]],ResearchInput[[#This Row],[St.C&amp;G.Non]])</f>
        <v>0</v>
      </c>
      <c r="GU40" s="92">
        <f>SUM(ResearchInput[[#This Row],[St.All.Comp]],ResearchInput[[#This Row],[St.All.Eng]],ResearchInput[[#This Row],[St.All.Geo]],ResearchInput[[#This Row],[St.All.Life]],ResearchInput[[#This Row],[St.All.Math]],ResearchInput[[#This Row],[St.All.Phys]],ResearchInput[[#This Row],[St.All.Psyc]],ResearchInput[[#This Row],[St.All.Soc]],ResearchInput[[#This Row],[St.All.Othr]],ResearchInput[[#This Row],[St.All.Non]])</f>
        <v>0</v>
      </c>
      <c r="GV40" s="92">
        <f>SUM(ResearchInput[[#This Row],[Inst.Comp]],ResearchInput[[#This Row],[Inst.Eng]],ResearchInput[[#This Row],[Inst.Geo]],ResearchInput[[#This Row],[Inst.Life]],ResearchInput[[#This Row],[Inst.Math]],ResearchInput[[#This Row],[Inst.Phys]],ResearchInput[[#This Row],[Inst.Psyc]],ResearchInput[[#This Row],[Inst.Soc]],ResearchInput[[#This Row],[Inst.Othr]],ResearchInput[[#This Row],[Inst.Non]])</f>
        <v>267742</v>
      </c>
      <c r="GW40" s="92">
        <f>SUM(ResearchInput[[#This Row],[P4P.Comp]],ResearchInput[[#This Row],[P4P.Eng]],ResearchInput[[#This Row],[P4P.Geo]],ResearchInput[[#This Row],[P4P.Life]],ResearchInput[[#This Row],[P4P.Math]],ResearchInput[[#This Row],[P4P.Phys]],ResearchInput[[#This Row],[P4P.Psyc]],ResearchInput[[#This Row],[P4P.Soc]],ResearchInput[[#This Row],[P4P.Othr]],ResearchInput[[#This Row],[P4P.Non]])</f>
        <v>-4463</v>
      </c>
      <c r="GX40" s="92">
        <f>SUM(ResearchInput[[#This Row],[PNP.Comp]],ResearchInput[[#This Row],[PNP.Eng]],ResearchInput[[#This Row],[PNP.Geo]],ResearchInput[[#This Row],[PNP.Life]],ResearchInput[[#This Row],[PNP.Math]],ResearchInput[[#This Row],[PNP.Phys]],ResearchInput[[#This Row],[PNP.Psyc]],ResearchInput[[#This Row],[PNP.Soc]],ResearchInput[[#This Row],[PNP.Othr]],ResearchInput[[#This Row],[PNP.Non]])</f>
        <v>279390</v>
      </c>
      <c r="GY40" s="92">
        <f>SUM(ResearchInput[[#This Row],[P.All.Comp]],ResearchInput[[#This Row],[P.All.Eng]],ResearchInput[[#This Row],[P.All.Geo]],ResearchInput[[#This Row],[P.All.Life]],ResearchInput[[#This Row],[P.All.Math]],ResearchInput[[#This Row],[P.All.Phys]],ResearchInput[[#This Row],[P.All.Psyc]],ResearchInput[[#This Row],[P.All.Soc]],ResearchInput[[#This Row],[P.All.Othr]],ResearchInput[[#This Row],[P.All.Non]])</f>
        <v>23187</v>
      </c>
    </row>
    <row r="41" spans="1:207" s="47" customFormat="1" ht="27" customHeight="1" x14ac:dyDescent="0.25">
      <c r="A41" s="34" t="s">
        <v>238</v>
      </c>
      <c r="B41" s="34" t="s">
        <v>671</v>
      </c>
      <c r="C41" s="35" t="s">
        <v>553</v>
      </c>
      <c r="D41" s="35" t="s">
        <v>673</v>
      </c>
      <c r="E41" s="94">
        <v>700</v>
      </c>
      <c r="F41" s="91" t="s">
        <v>716</v>
      </c>
      <c r="G41" s="35" t="s">
        <v>691</v>
      </c>
      <c r="H41" s="96">
        <v>3646</v>
      </c>
      <c r="I41" s="92">
        <v>3449339</v>
      </c>
      <c r="J41" s="92">
        <v>559969</v>
      </c>
      <c r="K41" s="92">
        <v>12482</v>
      </c>
      <c r="L41" s="92">
        <v>0</v>
      </c>
      <c r="M41" s="92">
        <v>1334359</v>
      </c>
      <c r="N41" s="92">
        <v>0</v>
      </c>
      <c r="O41" s="92">
        <v>1215024</v>
      </c>
      <c r="P41" s="92">
        <v>110863</v>
      </c>
      <c r="Q41" s="92">
        <v>0</v>
      </c>
      <c r="R41" s="92">
        <v>0</v>
      </c>
      <c r="S41" s="92">
        <v>0</v>
      </c>
      <c r="T41" s="92">
        <v>0</v>
      </c>
      <c r="U41" s="92">
        <v>0</v>
      </c>
      <c r="V41" s="92">
        <v>0</v>
      </c>
      <c r="W41" s="92">
        <v>0</v>
      </c>
      <c r="X41" s="92">
        <v>0</v>
      </c>
      <c r="Y41" s="92">
        <v>0</v>
      </c>
      <c r="Z41" s="92">
        <v>0</v>
      </c>
      <c r="AA41" s="92">
        <v>0</v>
      </c>
      <c r="AB41" s="92">
        <v>0</v>
      </c>
      <c r="AC41" s="92">
        <v>0</v>
      </c>
      <c r="AD41" s="92">
        <v>0</v>
      </c>
      <c r="AE41" s="92">
        <v>0</v>
      </c>
      <c r="AF41" s="92">
        <v>0</v>
      </c>
      <c r="AG41" s="92">
        <v>0</v>
      </c>
      <c r="AH41" s="92">
        <v>0</v>
      </c>
      <c r="AI41" s="92">
        <v>0</v>
      </c>
      <c r="AJ41" s="92">
        <v>0</v>
      </c>
      <c r="AK41" s="92">
        <v>0</v>
      </c>
      <c r="AL41" s="92">
        <v>0</v>
      </c>
      <c r="AM41" s="92">
        <v>0</v>
      </c>
      <c r="AN41" s="92">
        <v>0</v>
      </c>
      <c r="AO41" s="92">
        <v>5350</v>
      </c>
      <c r="AP41" s="92">
        <v>0</v>
      </c>
      <c r="AQ41" s="92">
        <v>0</v>
      </c>
      <c r="AR41" s="92">
        <v>0</v>
      </c>
      <c r="AS41" s="92">
        <v>95454</v>
      </c>
      <c r="AT41" s="92">
        <v>0</v>
      </c>
      <c r="AU41" s="92">
        <v>0</v>
      </c>
      <c r="AV41" s="92">
        <v>0</v>
      </c>
      <c r="AW41" s="92">
        <v>0</v>
      </c>
      <c r="AX41" s="92">
        <v>0</v>
      </c>
      <c r="AY41" s="92">
        <v>0</v>
      </c>
      <c r="AZ41" s="92">
        <v>0</v>
      </c>
      <c r="BA41" s="92">
        <v>0</v>
      </c>
      <c r="BB41" s="92">
        <v>0</v>
      </c>
      <c r="BC41" s="92">
        <v>0</v>
      </c>
      <c r="BD41" s="92">
        <v>0</v>
      </c>
      <c r="BE41" s="92">
        <v>0</v>
      </c>
      <c r="BF41" s="92">
        <v>0</v>
      </c>
      <c r="BG41" s="92">
        <v>0</v>
      </c>
      <c r="BH41" s="92">
        <v>0</v>
      </c>
      <c r="BI41" s="92">
        <v>0</v>
      </c>
      <c r="BJ41" s="92">
        <v>0</v>
      </c>
      <c r="BK41" s="92">
        <v>0</v>
      </c>
      <c r="BL41" s="92">
        <v>0</v>
      </c>
      <c r="BM41" s="92">
        <v>0</v>
      </c>
      <c r="BN41" s="92">
        <v>0</v>
      </c>
      <c r="BO41" s="92">
        <v>0</v>
      </c>
      <c r="BP41" s="92">
        <v>0</v>
      </c>
      <c r="BQ41" s="92">
        <v>0</v>
      </c>
      <c r="BR41" s="92">
        <v>0</v>
      </c>
      <c r="BS41" s="92">
        <v>0</v>
      </c>
      <c r="BT41" s="92">
        <v>0</v>
      </c>
      <c r="BU41" s="92">
        <v>70521</v>
      </c>
      <c r="BV41" s="92">
        <v>1250</v>
      </c>
      <c r="BW41" s="92">
        <v>0</v>
      </c>
      <c r="BX41" s="92">
        <v>0</v>
      </c>
      <c r="BY41" s="92">
        <v>11422</v>
      </c>
      <c r="BZ41" s="92">
        <v>0</v>
      </c>
      <c r="CA41" s="92">
        <v>0</v>
      </c>
      <c r="CB41" s="92">
        <v>0</v>
      </c>
      <c r="CC41" s="92">
        <v>0</v>
      </c>
      <c r="CD41" s="92">
        <v>0</v>
      </c>
      <c r="CE41" s="92">
        <v>0</v>
      </c>
      <c r="CF41" s="92">
        <v>0</v>
      </c>
      <c r="CG41" s="92">
        <v>0</v>
      </c>
      <c r="CH41" s="92">
        <v>0</v>
      </c>
      <c r="CI41" s="92">
        <v>0</v>
      </c>
      <c r="CJ41" s="92">
        <v>0</v>
      </c>
      <c r="CK41" s="92">
        <v>0</v>
      </c>
      <c r="CL41" s="92">
        <v>0</v>
      </c>
      <c r="CM41" s="92">
        <v>0</v>
      </c>
      <c r="CN41" s="92">
        <v>0</v>
      </c>
      <c r="CO41" s="92">
        <v>0</v>
      </c>
      <c r="CP41" s="92">
        <v>0</v>
      </c>
      <c r="CQ41" s="92">
        <v>0</v>
      </c>
      <c r="CR41" s="92">
        <v>0</v>
      </c>
      <c r="CS41" s="92">
        <v>1059371</v>
      </c>
      <c r="CT41" s="92">
        <v>390483</v>
      </c>
      <c r="CU41" s="92">
        <v>0</v>
      </c>
      <c r="CV41" s="92">
        <v>0</v>
      </c>
      <c r="CW41" s="92">
        <v>590079</v>
      </c>
      <c r="CX41" s="92">
        <v>0</v>
      </c>
      <c r="CY41" s="92">
        <v>295388</v>
      </c>
      <c r="CZ41" s="92">
        <v>110863</v>
      </c>
      <c r="DA41" s="92">
        <v>37701</v>
      </c>
      <c r="DB41" s="92">
        <v>4950</v>
      </c>
      <c r="DC41" s="92">
        <v>0</v>
      </c>
      <c r="DD41" s="92">
        <v>0</v>
      </c>
      <c r="DE41" s="92">
        <v>21513</v>
      </c>
      <c r="DF41" s="92">
        <v>0</v>
      </c>
      <c r="DG41" s="92">
        <v>0</v>
      </c>
      <c r="DH41" s="92">
        <v>0</v>
      </c>
      <c r="DI41" s="92">
        <v>1323104</v>
      </c>
      <c r="DJ41" s="92">
        <v>47231</v>
      </c>
      <c r="DK41" s="92">
        <v>0</v>
      </c>
      <c r="DL41" s="92">
        <v>0</v>
      </c>
      <c r="DM41" s="92">
        <v>417149</v>
      </c>
      <c r="DN41" s="92">
        <v>0</v>
      </c>
      <c r="DO41" s="92">
        <v>85516</v>
      </c>
      <c r="DP41" s="92">
        <v>0</v>
      </c>
      <c r="DQ41" s="92">
        <v>267890</v>
      </c>
      <c r="DR41" s="92">
        <v>24938</v>
      </c>
      <c r="DS41" s="92">
        <v>12482</v>
      </c>
      <c r="DT41" s="92">
        <v>0</v>
      </c>
      <c r="DU41" s="92">
        <v>163090</v>
      </c>
      <c r="DV41" s="92">
        <v>0</v>
      </c>
      <c r="DW41" s="92">
        <v>816256</v>
      </c>
      <c r="DX41" s="92">
        <v>0</v>
      </c>
      <c r="DY41" s="92">
        <v>115814</v>
      </c>
      <c r="DZ41" s="92">
        <v>18117</v>
      </c>
      <c r="EA41" s="92">
        <v>0</v>
      </c>
      <c r="EB41" s="92">
        <v>0</v>
      </c>
      <c r="EC41" s="92">
        <v>11894</v>
      </c>
      <c r="ED41" s="92">
        <v>0</v>
      </c>
      <c r="EE41" s="92">
        <v>13969</v>
      </c>
      <c r="EF41" s="92">
        <v>0</v>
      </c>
      <c r="EG41" s="92">
        <v>135805</v>
      </c>
      <c r="EH41" s="92">
        <v>5027</v>
      </c>
      <c r="EI41" s="92">
        <v>0</v>
      </c>
      <c r="EJ41" s="92">
        <v>0</v>
      </c>
      <c r="EK41" s="92">
        <v>11254</v>
      </c>
      <c r="EL41" s="92">
        <v>0</v>
      </c>
      <c r="EM41" s="92">
        <v>0</v>
      </c>
      <c r="EN41" s="92">
        <v>0</v>
      </c>
      <c r="EO41" s="92">
        <v>444483</v>
      </c>
      <c r="EP41" s="92">
        <v>67973</v>
      </c>
      <c r="EQ41" s="92">
        <v>0</v>
      </c>
      <c r="ER41" s="92">
        <v>0</v>
      </c>
      <c r="ES41" s="92">
        <v>203412</v>
      </c>
      <c r="ET41" s="92">
        <v>0</v>
      </c>
      <c r="EU41" s="92">
        <v>3895</v>
      </c>
      <c r="EV41" s="92">
        <v>0</v>
      </c>
      <c r="EW41" s="92">
        <v>0</v>
      </c>
      <c r="EX41" s="92">
        <v>0</v>
      </c>
      <c r="EY41" s="92">
        <v>0</v>
      </c>
      <c r="EZ41" s="92">
        <v>0</v>
      </c>
      <c r="FA41" s="92">
        <v>0</v>
      </c>
      <c r="FB41" s="92">
        <v>0</v>
      </c>
      <c r="FC41" s="92">
        <v>0</v>
      </c>
      <c r="FD41" s="92">
        <v>0</v>
      </c>
      <c r="FE41" s="92">
        <v>0</v>
      </c>
      <c r="FF41" s="92">
        <v>0</v>
      </c>
      <c r="FG41" s="92">
        <v>0</v>
      </c>
      <c r="FH41" s="92">
        <v>0</v>
      </c>
      <c r="FI41" s="92">
        <v>0</v>
      </c>
      <c r="FJ41" s="92">
        <v>0</v>
      </c>
      <c r="FK41" s="92">
        <v>0</v>
      </c>
      <c r="FL41" s="92">
        <v>0</v>
      </c>
      <c r="FM41" s="92">
        <v>0</v>
      </c>
      <c r="FN41" s="92">
        <v>0</v>
      </c>
      <c r="FO41" s="92">
        <v>0</v>
      </c>
      <c r="FP41" s="92">
        <v>0</v>
      </c>
      <c r="FQ41" s="92">
        <v>0</v>
      </c>
      <c r="FR41" s="92">
        <v>0</v>
      </c>
      <c r="FS41" s="92">
        <v>0</v>
      </c>
      <c r="FT41" s="92">
        <v>0</v>
      </c>
      <c r="FU41" s="92">
        <v>0</v>
      </c>
      <c r="FV41" s="92">
        <v>0</v>
      </c>
      <c r="FW41" s="92">
        <v>0</v>
      </c>
      <c r="FX41" s="92">
        <v>0</v>
      </c>
      <c r="FY41" s="92">
        <v>0</v>
      </c>
      <c r="FZ41" s="92">
        <v>0</v>
      </c>
      <c r="GA41" s="92">
        <v>0</v>
      </c>
      <c r="GB41" s="92">
        <v>0</v>
      </c>
      <c r="GC41" s="92">
        <v>349251</v>
      </c>
      <c r="GD41" s="92">
        <v>7031287</v>
      </c>
      <c r="GE41" s="92">
        <v>7132091</v>
      </c>
      <c r="GF41" s="92">
        <v>214439749</v>
      </c>
      <c r="GG41" s="47" t="s">
        <v>750</v>
      </c>
      <c r="GH41" s="47" t="s">
        <v>751</v>
      </c>
      <c r="GI41" s="93">
        <v>9408983397</v>
      </c>
      <c r="GJ41" s="47" t="s">
        <v>752</v>
      </c>
      <c r="GK41" s="47" t="s">
        <v>753</v>
      </c>
      <c r="GL41" s="47" t="s">
        <v>754</v>
      </c>
      <c r="GM41" s="93">
        <v>9408983543</v>
      </c>
      <c r="GN41" s="47" t="s">
        <v>755</v>
      </c>
      <c r="GO41" s="92" cm="1">
        <f t="array" ref="GO41">IFERROR(_xlfn.IFS(ResearchInput[[#This Row],[Type]]="HRI",SUMIFS('FTSE | FTFE'!$P$8:$P$77,'FTSE | FTFE'!$H$8:$H$77,A41),ResearchInput[[#This Row],[Type]]="UNIV",SUMIFS('FTSE | FTFE'!$P$104:$P$139,'FTSE | FTFE'!$H$104:$H$139,A41),OR(ResearchInput[[#This Row],[Type]]="TSTC",ResearchInput[[#This Row],[Type]]="LSC"),SUMIFS('FTSE | FTFE'!$O$88:$O$96,'FTSE | FTFE'!$H$88:$H$96,A41),ResearchInput[[#This Row],[Type]]="AHM",SUMIFS(Hidden!$H$43:$H$46,Hidden!$G$42:$G$45,A41)),"N/A")</f>
        <v>12629</v>
      </c>
      <c r="GP41" s="92" cm="1">
        <f t="array" ref="GP41">IFERROR(_xlfn.IFS(ResearchInput[[#This Row],[Type]]="HRI",SUMIFS('FTSE | FTFE'!$Q$8:$Q$77,'FTSE | FTFE'!$H$8:$H$77,A41),ResearchInput[[#This Row],[Type]]="UNIV",SUMIFS('FTSE | FTFE'!$Q$104:$Q$139,'FTSE | FTFE'!$H$104:$H$139,A41),OR(ResearchInput[[#This Row],[Type]]="TSTC",ResearchInput[[#This Row],[Type]]="LSC"),SUMIFS('FTSE | FTFE'!$P$88:$P$96,'FTSE | FTFE'!$H$88:$H$96,A41)),"N/A")</f>
        <v>287</v>
      </c>
      <c r="GQ41" s="92">
        <v>0</v>
      </c>
      <c r="GR41" s="92">
        <f>SUM(ResearchInput[[#This Row],[Fed.Comp]],ResearchInput[[#This Row],[Fed.Eng]],ResearchInput[[#This Row],[Fed.Geo]],ResearchInput[[#This Row],[Fed.Life]],ResearchInput[[#This Row],[Fed.Math]],ResearchInput[[#This Row],[Fed.Phys]],ResearchInput[[#This Row],[Fed.Psyc]],ResearchInput[[#This Row],[Fed.Soc]],ResearchInput[[#This Row],[Fed.Othr]],ResearchInput[[#This Row],[Fed.Non]])</f>
        <v>3454689</v>
      </c>
      <c r="GS41" s="92">
        <f>SUM(ResearchInput[[#This Row],[St.Comp]],ResearchInput[[#This Row],[St.Eng]],ResearchInput[[#This Row],[St.Geo]],ResearchInput[[#This Row],[St.Life]],ResearchInput[[#This Row],[St.Math]],ResearchInput[[#This Row],[St.Phys]],ResearchInput[[#This Row],[St.Psyc]],ResearchInput[[#This Row],[St.Soc]],ResearchInput[[#This Row],[St.Othr]],ResearchInput[[#This Row],[St.Non]])</f>
        <v>559969</v>
      </c>
      <c r="GT41" s="92">
        <f>SUM(ResearchInput[[#This Row],[St.C&amp;G.Comp]],ResearchInput[[#This Row],[St.C&amp;G.Eng]],ResearchInput[[#This Row],[St.C&amp;G.Geo]],ResearchInput[[#This Row],[St.C&amp;G.Life]],ResearchInput[[#This Row],[St.C&amp;G.Math]],ResearchInput[[#This Row],[St.C&amp;G.Phys]],ResearchInput[[#This Row],[St.C&amp;G.Psyc]],ResearchInput[[#This Row],[St.C&amp;G.Soc]],ResearchInput[[#This Row],[St.C&amp;G.Othr]],ResearchInput[[#This Row],[St.C&amp;G.Non]])</f>
        <v>12482</v>
      </c>
      <c r="GU41" s="92">
        <f>SUM(ResearchInput[[#This Row],[St.All.Comp]],ResearchInput[[#This Row],[St.All.Eng]],ResearchInput[[#This Row],[St.All.Geo]],ResearchInput[[#This Row],[St.All.Life]],ResearchInput[[#This Row],[St.All.Math]],ResearchInput[[#This Row],[St.All.Phys]],ResearchInput[[#This Row],[St.All.Psyc]],ResearchInput[[#This Row],[St.All.Soc]],ResearchInput[[#This Row],[St.All.Othr]],ResearchInput[[#This Row],[St.All.Non]])</f>
        <v>0</v>
      </c>
      <c r="GV41" s="92">
        <f>SUM(ResearchInput[[#This Row],[Inst.Comp]],ResearchInput[[#This Row],[Inst.Eng]],ResearchInput[[#This Row],[Inst.Geo]],ResearchInput[[#This Row],[Inst.Life]],ResearchInput[[#This Row],[Inst.Math]],ResearchInput[[#This Row],[Inst.Phys]],ResearchInput[[#This Row],[Inst.Psyc]],ResearchInput[[#This Row],[Inst.Soc]],ResearchInput[[#This Row],[Inst.Othr]],ResearchInput[[#This Row],[Inst.Non]])</f>
        <v>1429813</v>
      </c>
      <c r="GW41" s="92">
        <f>SUM(ResearchInput[[#This Row],[P4P.Comp]],ResearchInput[[#This Row],[P4P.Eng]],ResearchInput[[#This Row],[P4P.Geo]],ResearchInput[[#This Row],[P4P.Life]],ResearchInput[[#This Row],[P4P.Math]],ResearchInput[[#This Row],[P4P.Phys]],ResearchInput[[#This Row],[P4P.Psyc]],ResearchInput[[#This Row],[P4P.Soc]],ResearchInput[[#This Row],[P4P.Othr]],ResearchInput[[#This Row],[P4P.Non]])</f>
        <v>0</v>
      </c>
      <c r="GX41" s="92">
        <f>SUM(ResearchInput[[#This Row],[PNP.Comp]],ResearchInput[[#This Row],[PNP.Eng]],ResearchInput[[#This Row],[PNP.Geo]],ResearchInput[[#This Row],[PNP.Life]],ResearchInput[[#This Row],[PNP.Math]],ResearchInput[[#This Row],[PNP.Phys]],ResearchInput[[#This Row],[PNP.Psyc]],ResearchInput[[#This Row],[PNP.Soc]],ResearchInput[[#This Row],[PNP.Othr]],ResearchInput[[#This Row],[PNP.Non]])</f>
        <v>1215024</v>
      </c>
      <c r="GY41" s="92">
        <f>SUM(ResearchInput[[#This Row],[P.All.Comp]],ResearchInput[[#This Row],[P.All.Eng]],ResearchInput[[#This Row],[P.All.Geo]],ResearchInput[[#This Row],[P.All.Life]],ResearchInput[[#This Row],[P.All.Math]],ResearchInput[[#This Row],[P.All.Phys]],ResearchInput[[#This Row],[P.All.Psyc]],ResearchInput[[#This Row],[P.All.Soc]],ResearchInput[[#This Row],[P.All.Othr]],ResearchInput[[#This Row],[P.All.Non]])</f>
        <v>110863</v>
      </c>
    </row>
    <row r="42" spans="1:207" s="47" customFormat="1" ht="27" customHeight="1" x14ac:dyDescent="0.25">
      <c r="A42" s="34" t="s">
        <v>769</v>
      </c>
      <c r="B42" s="34" t="s">
        <v>219</v>
      </c>
      <c r="C42" s="35" t="s">
        <v>677</v>
      </c>
      <c r="D42" s="35" t="s">
        <v>684</v>
      </c>
      <c r="E42" s="94">
        <v>800</v>
      </c>
      <c r="F42" s="35" t="s">
        <v>714</v>
      </c>
      <c r="G42" s="35" t="s">
        <v>553</v>
      </c>
      <c r="H42" s="96">
        <v>110</v>
      </c>
      <c r="I42" s="92">
        <v>0</v>
      </c>
      <c r="J42" s="92">
        <v>0</v>
      </c>
      <c r="K42" s="92">
        <v>0</v>
      </c>
      <c r="L42" s="92">
        <v>0</v>
      </c>
      <c r="M42" s="92">
        <v>0</v>
      </c>
      <c r="N42" s="92">
        <v>0</v>
      </c>
      <c r="O42" s="92">
        <v>0</v>
      </c>
      <c r="P42" s="92">
        <v>0</v>
      </c>
      <c r="Q42" s="92">
        <v>0</v>
      </c>
      <c r="R42" s="92">
        <v>0</v>
      </c>
      <c r="S42" s="92">
        <v>0</v>
      </c>
      <c r="T42" s="92">
        <v>0</v>
      </c>
      <c r="U42" s="92">
        <v>0</v>
      </c>
      <c r="V42" s="92">
        <v>0</v>
      </c>
      <c r="W42" s="92">
        <v>0</v>
      </c>
      <c r="X42" s="92">
        <v>0</v>
      </c>
      <c r="Y42" s="92">
        <v>0</v>
      </c>
      <c r="Z42" s="92">
        <v>0</v>
      </c>
      <c r="AA42" s="92">
        <v>0</v>
      </c>
      <c r="AB42" s="92">
        <v>0</v>
      </c>
      <c r="AC42" s="92">
        <v>0</v>
      </c>
      <c r="AD42" s="92">
        <v>0</v>
      </c>
      <c r="AE42" s="92">
        <v>0</v>
      </c>
      <c r="AF42" s="92">
        <v>0</v>
      </c>
      <c r="AG42" s="92">
        <v>0</v>
      </c>
      <c r="AH42" s="92">
        <v>0</v>
      </c>
      <c r="AI42" s="92">
        <v>0</v>
      </c>
      <c r="AJ42" s="92">
        <v>0</v>
      </c>
      <c r="AK42" s="92">
        <v>0</v>
      </c>
      <c r="AL42" s="92">
        <v>0</v>
      </c>
      <c r="AM42" s="92">
        <v>0</v>
      </c>
      <c r="AN42" s="92">
        <v>0</v>
      </c>
      <c r="AO42" s="92">
        <v>0</v>
      </c>
      <c r="AP42" s="92">
        <v>0</v>
      </c>
      <c r="AQ42" s="92">
        <v>0</v>
      </c>
      <c r="AR42" s="92">
        <v>0</v>
      </c>
      <c r="AS42" s="92">
        <v>0</v>
      </c>
      <c r="AT42" s="92">
        <v>0</v>
      </c>
      <c r="AU42" s="92">
        <v>0</v>
      </c>
      <c r="AV42" s="92">
        <v>0</v>
      </c>
      <c r="AW42" s="92">
        <v>0</v>
      </c>
      <c r="AX42" s="92">
        <v>0</v>
      </c>
      <c r="AY42" s="92">
        <v>0</v>
      </c>
      <c r="AZ42" s="92">
        <v>0</v>
      </c>
      <c r="BA42" s="92">
        <v>0</v>
      </c>
      <c r="BB42" s="92">
        <v>0</v>
      </c>
      <c r="BC42" s="92">
        <v>0</v>
      </c>
      <c r="BD42" s="92">
        <v>0</v>
      </c>
      <c r="BE42" s="92">
        <v>0</v>
      </c>
      <c r="BF42" s="92">
        <v>0</v>
      </c>
      <c r="BG42" s="92">
        <v>0</v>
      </c>
      <c r="BH42" s="92">
        <v>0</v>
      </c>
      <c r="BI42" s="92">
        <v>0</v>
      </c>
      <c r="BJ42" s="92">
        <v>0</v>
      </c>
      <c r="BK42" s="92">
        <v>0</v>
      </c>
      <c r="BL42" s="92">
        <v>0</v>
      </c>
      <c r="BM42" s="92">
        <v>0</v>
      </c>
      <c r="BN42" s="92">
        <v>0</v>
      </c>
      <c r="BO42" s="92">
        <v>0</v>
      </c>
      <c r="BP42" s="92">
        <v>0</v>
      </c>
      <c r="BQ42" s="92">
        <v>0</v>
      </c>
      <c r="BR42" s="92">
        <v>0</v>
      </c>
      <c r="BS42" s="92">
        <v>0</v>
      </c>
      <c r="BT42" s="92">
        <v>0</v>
      </c>
      <c r="BU42" s="92">
        <v>0</v>
      </c>
      <c r="BV42" s="92">
        <v>0</v>
      </c>
      <c r="BW42" s="92">
        <v>0</v>
      </c>
      <c r="BX42" s="92">
        <v>0</v>
      </c>
      <c r="BY42" s="92">
        <v>0</v>
      </c>
      <c r="BZ42" s="92">
        <v>0</v>
      </c>
      <c r="CA42" s="92">
        <v>0</v>
      </c>
      <c r="CB42" s="92">
        <v>0</v>
      </c>
      <c r="CC42" s="92">
        <v>0</v>
      </c>
      <c r="CD42" s="92">
        <v>0</v>
      </c>
      <c r="CE42" s="92">
        <v>0</v>
      </c>
      <c r="CF42" s="92">
        <v>0</v>
      </c>
      <c r="CG42" s="92">
        <v>0</v>
      </c>
      <c r="CH42" s="92">
        <v>0</v>
      </c>
      <c r="CI42" s="92">
        <v>0</v>
      </c>
      <c r="CJ42" s="92">
        <v>0</v>
      </c>
      <c r="CK42" s="92">
        <v>0</v>
      </c>
      <c r="CL42" s="92">
        <v>0</v>
      </c>
      <c r="CM42" s="92">
        <v>0</v>
      </c>
      <c r="CN42" s="92">
        <v>0</v>
      </c>
      <c r="CO42" s="92">
        <v>0</v>
      </c>
      <c r="CP42" s="92">
        <v>0</v>
      </c>
      <c r="CQ42" s="92">
        <v>0</v>
      </c>
      <c r="CR42" s="92">
        <v>0</v>
      </c>
      <c r="CS42" s="92">
        <v>0</v>
      </c>
      <c r="CT42" s="92">
        <v>0</v>
      </c>
      <c r="CU42" s="92">
        <v>0</v>
      </c>
      <c r="CV42" s="92">
        <v>0</v>
      </c>
      <c r="CW42" s="92">
        <v>0</v>
      </c>
      <c r="CX42" s="92">
        <v>0</v>
      </c>
      <c r="CY42" s="92">
        <v>0</v>
      </c>
      <c r="CZ42" s="92">
        <v>0</v>
      </c>
      <c r="DA42" s="92">
        <v>0</v>
      </c>
      <c r="DB42" s="92">
        <v>0</v>
      </c>
      <c r="DC42" s="92">
        <v>0</v>
      </c>
      <c r="DD42" s="92">
        <v>0</v>
      </c>
      <c r="DE42" s="92">
        <v>0</v>
      </c>
      <c r="DF42" s="92">
        <v>0</v>
      </c>
      <c r="DG42" s="92">
        <v>0</v>
      </c>
      <c r="DH42" s="92">
        <v>0</v>
      </c>
      <c r="DI42" s="92">
        <v>0</v>
      </c>
      <c r="DJ42" s="92">
        <v>0</v>
      </c>
      <c r="DK42" s="92">
        <v>0</v>
      </c>
      <c r="DL42" s="92">
        <v>0</v>
      </c>
      <c r="DM42" s="92">
        <v>0</v>
      </c>
      <c r="DN42" s="92">
        <v>0</v>
      </c>
      <c r="DO42" s="92">
        <v>0</v>
      </c>
      <c r="DP42" s="92">
        <v>0</v>
      </c>
      <c r="DQ42" s="92">
        <v>0</v>
      </c>
      <c r="DR42" s="92">
        <v>0</v>
      </c>
      <c r="DS42" s="92">
        <v>0</v>
      </c>
      <c r="DT42" s="92">
        <v>0</v>
      </c>
      <c r="DU42" s="92">
        <v>0</v>
      </c>
      <c r="DV42" s="92">
        <v>0</v>
      </c>
      <c r="DW42" s="92">
        <v>0</v>
      </c>
      <c r="DX42" s="92">
        <v>0</v>
      </c>
      <c r="DY42" s="92">
        <v>0</v>
      </c>
      <c r="DZ42" s="92">
        <v>0</v>
      </c>
      <c r="EA42" s="92">
        <v>0</v>
      </c>
      <c r="EB42" s="92">
        <v>0</v>
      </c>
      <c r="EC42" s="92">
        <v>0</v>
      </c>
      <c r="ED42" s="92">
        <v>0</v>
      </c>
      <c r="EE42" s="92">
        <v>0</v>
      </c>
      <c r="EF42" s="92">
        <v>0</v>
      </c>
      <c r="EG42" s="92">
        <v>0</v>
      </c>
      <c r="EH42" s="92">
        <v>0</v>
      </c>
      <c r="EI42" s="92">
        <v>0</v>
      </c>
      <c r="EJ42" s="92">
        <v>0</v>
      </c>
      <c r="EK42" s="92">
        <v>0</v>
      </c>
      <c r="EL42" s="92">
        <v>0</v>
      </c>
      <c r="EM42" s="92">
        <v>0</v>
      </c>
      <c r="EN42" s="92">
        <v>0</v>
      </c>
      <c r="EO42" s="92">
        <v>0</v>
      </c>
      <c r="EP42" s="92">
        <v>0</v>
      </c>
      <c r="EQ42" s="92">
        <v>0</v>
      </c>
      <c r="ER42" s="92">
        <v>0</v>
      </c>
      <c r="ES42" s="92">
        <v>0</v>
      </c>
      <c r="ET42" s="92">
        <v>0</v>
      </c>
      <c r="EU42" s="92">
        <v>0</v>
      </c>
      <c r="EV42" s="92">
        <v>0</v>
      </c>
      <c r="EW42" s="92">
        <v>0</v>
      </c>
      <c r="EX42" s="92">
        <v>0</v>
      </c>
      <c r="EY42" s="92">
        <v>0</v>
      </c>
      <c r="EZ42" s="92">
        <v>0</v>
      </c>
      <c r="FA42" s="92">
        <v>0</v>
      </c>
      <c r="FB42" s="92">
        <v>0</v>
      </c>
      <c r="FC42" s="92">
        <v>0</v>
      </c>
      <c r="FD42" s="92">
        <v>0</v>
      </c>
      <c r="FE42" s="92">
        <v>0</v>
      </c>
      <c r="FF42" s="92">
        <v>0</v>
      </c>
      <c r="FG42" s="92">
        <v>0</v>
      </c>
      <c r="FH42" s="92">
        <v>0</v>
      </c>
      <c r="FI42" s="92">
        <v>0</v>
      </c>
      <c r="FJ42" s="92">
        <v>0</v>
      </c>
      <c r="FK42" s="92">
        <v>0</v>
      </c>
      <c r="FL42" s="92">
        <v>0</v>
      </c>
      <c r="FM42" s="92">
        <v>0</v>
      </c>
      <c r="FN42" s="92">
        <v>0</v>
      </c>
      <c r="FO42" s="92">
        <v>0</v>
      </c>
      <c r="FP42" s="92">
        <v>0</v>
      </c>
      <c r="FQ42" s="92">
        <v>0</v>
      </c>
      <c r="FR42" s="92">
        <v>0</v>
      </c>
      <c r="FS42" s="92">
        <v>0</v>
      </c>
      <c r="FT42" s="92">
        <v>0</v>
      </c>
      <c r="FU42" s="92">
        <v>0</v>
      </c>
      <c r="FV42" s="92">
        <v>0</v>
      </c>
      <c r="FW42" s="92">
        <v>0</v>
      </c>
      <c r="FX42" s="92">
        <v>0</v>
      </c>
      <c r="FY42" s="92">
        <v>0</v>
      </c>
      <c r="FZ42" s="92">
        <v>0</v>
      </c>
      <c r="GA42" s="92">
        <v>0</v>
      </c>
      <c r="GB42" s="92">
        <v>0</v>
      </c>
      <c r="GC42" s="92">
        <v>0</v>
      </c>
      <c r="GD42" s="92">
        <v>0</v>
      </c>
      <c r="GE42" s="92">
        <v>0</v>
      </c>
      <c r="GF42" s="92">
        <v>14551641</v>
      </c>
      <c r="GG42" s="47" t="s">
        <v>606</v>
      </c>
      <c r="GH42" s="47" t="s">
        <v>607</v>
      </c>
      <c r="GI42" s="93">
        <v>5124636412</v>
      </c>
      <c r="GJ42" s="47" t="s">
        <v>608</v>
      </c>
      <c r="GK42" s="47" t="s">
        <v>540</v>
      </c>
      <c r="GL42" s="47" t="s">
        <v>609</v>
      </c>
      <c r="GM42" s="93">
        <v>5124636449</v>
      </c>
      <c r="GN42" s="47" t="s">
        <v>610</v>
      </c>
      <c r="GO42" s="92" t="str" cm="1">
        <f t="array" ref="GO42">IFERROR(_xlfn.IFS(ResearchInput[[#This Row],[Type]]="HRI",SUMIFS('FTSE | FTFE'!$P$8:$P$77,'FTSE | FTFE'!$H$8:$H$77,A42),ResearchInput[[#This Row],[Type]]="UNIV",SUMIFS('FTSE | FTFE'!$P$104:$P$139,'FTSE | FTFE'!$H$104:$H$139,A42),OR(ResearchInput[[#This Row],[Type]]="TSTC",ResearchInput[[#This Row],[Type]]="LSC"),SUMIFS('FTSE | FTFE'!$O$88:$O$96,'FTSE | FTFE'!$H$88:$H$96,A42),ResearchInput[[#This Row],[Type]]="AHM",SUMIFS(Hidden!$H$43:$H$46,Hidden!$G$42:$G$45,A42)),"N/A")</f>
        <v>N/A</v>
      </c>
      <c r="GP42" s="92" t="str" cm="1">
        <f t="array" ref="GP42">IFERROR(_xlfn.IFS(ResearchInput[[#This Row],[Type]]="HRI",SUMIFS('FTSE | FTFE'!$Q$8:$Q$77,'FTSE | FTFE'!$H$8:$H$77,A42),ResearchInput[[#This Row],[Type]]="UNIV",SUMIFS('FTSE | FTFE'!$Q$104:$Q$139,'FTSE | FTFE'!$H$104:$H$139,A42),OR(ResearchInput[[#This Row],[Type]]="TSTC",ResearchInput[[#This Row],[Type]]="LSC"),SUMIFS('FTSE | FTFE'!$P$88:$P$96,'FTSE | FTFE'!$H$88:$H$96,A42)),"N/A")</f>
        <v>N/A</v>
      </c>
      <c r="GQ42" s="92">
        <v>0</v>
      </c>
      <c r="GR42" s="92">
        <f>SUM(ResearchInput[[#This Row],[Fed.Comp]],ResearchInput[[#This Row],[Fed.Eng]],ResearchInput[[#This Row],[Fed.Geo]],ResearchInput[[#This Row],[Fed.Life]],ResearchInput[[#This Row],[Fed.Math]],ResearchInput[[#This Row],[Fed.Phys]],ResearchInput[[#This Row],[Fed.Psyc]],ResearchInput[[#This Row],[Fed.Soc]],ResearchInput[[#This Row],[Fed.Othr]],ResearchInput[[#This Row],[Fed.Non]])</f>
        <v>0</v>
      </c>
      <c r="GS42" s="92">
        <f>SUM(ResearchInput[[#This Row],[St.Comp]],ResearchInput[[#This Row],[St.Eng]],ResearchInput[[#This Row],[St.Geo]],ResearchInput[[#This Row],[St.Life]],ResearchInput[[#This Row],[St.Math]],ResearchInput[[#This Row],[St.Phys]],ResearchInput[[#This Row],[St.Psyc]],ResearchInput[[#This Row],[St.Soc]],ResearchInput[[#This Row],[St.Othr]],ResearchInput[[#This Row],[St.Non]])</f>
        <v>0</v>
      </c>
      <c r="GT42" s="92">
        <f>SUM(ResearchInput[[#This Row],[St.C&amp;G.Comp]],ResearchInput[[#This Row],[St.C&amp;G.Eng]],ResearchInput[[#This Row],[St.C&amp;G.Geo]],ResearchInput[[#This Row],[St.C&amp;G.Life]],ResearchInput[[#This Row],[St.C&amp;G.Math]],ResearchInput[[#This Row],[St.C&amp;G.Phys]],ResearchInput[[#This Row],[St.C&amp;G.Psyc]],ResearchInput[[#This Row],[St.C&amp;G.Soc]],ResearchInput[[#This Row],[St.C&amp;G.Othr]],ResearchInput[[#This Row],[St.C&amp;G.Non]])</f>
        <v>0</v>
      </c>
      <c r="GU42" s="92">
        <f>SUM(ResearchInput[[#This Row],[St.All.Comp]],ResearchInput[[#This Row],[St.All.Eng]],ResearchInput[[#This Row],[St.All.Geo]],ResearchInput[[#This Row],[St.All.Life]],ResearchInput[[#This Row],[St.All.Math]],ResearchInput[[#This Row],[St.All.Phys]],ResearchInput[[#This Row],[St.All.Psyc]],ResearchInput[[#This Row],[St.All.Soc]],ResearchInput[[#This Row],[St.All.Othr]],ResearchInput[[#This Row],[St.All.Non]])</f>
        <v>0</v>
      </c>
      <c r="GV42" s="92">
        <f>SUM(ResearchInput[[#This Row],[Inst.Comp]],ResearchInput[[#This Row],[Inst.Eng]],ResearchInput[[#This Row],[Inst.Geo]],ResearchInput[[#This Row],[Inst.Life]],ResearchInput[[#This Row],[Inst.Math]],ResearchInput[[#This Row],[Inst.Phys]],ResearchInput[[#This Row],[Inst.Psyc]],ResearchInput[[#This Row],[Inst.Soc]],ResearchInput[[#This Row],[Inst.Othr]],ResearchInput[[#This Row],[Inst.Non]])</f>
        <v>0</v>
      </c>
      <c r="GW42" s="92">
        <f>SUM(ResearchInput[[#This Row],[P4P.Comp]],ResearchInput[[#This Row],[P4P.Eng]],ResearchInput[[#This Row],[P4P.Geo]],ResearchInput[[#This Row],[P4P.Life]],ResearchInput[[#This Row],[P4P.Math]],ResearchInput[[#This Row],[P4P.Phys]],ResearchInput[[#This Row],[P4P.Psyc]],ResearchInput[[#This Row],[P4P.Soc]],ResearchInput[[#This Row],[P4P.Othr]],ResearchInput[[#This Row],[P4P.Non]])</f>
        <v>0</v>
      </c>
      <c r="GX42" s="92">
        <f>SUM(ResearchInput[[#This Row],[PNP.Comp]],ResearchInput[[#This Row],[PNP.Eng]],ResearchInput[[#This Row],[PNP.Geo]],ResearchInput[[#This Row],[PNP.Life]],ResearchInput[[#This Row],[PNP.Math]],ResearchInput[[#This Row],[PNP.Phys]],ResearchInput[[#This Row],[PNP.Psyc]],ResearchInput[[#This Row],[PNP.Soc]],ResearchInput[[#This Row],[PNP.Othr]],ResearchInput[[#This Row],[PNP.Non]])</f>
        <v>0</v>
      </c>
      <c r="GY42" s="92">
        <f>SUM(ResearchInput[[#This Row],[P.All.Comp]],ResearchInput[[#This Row],[P.All.Eng]],ResearchInput[[#This Row],[P.All.Geo]],ResearchInput[[#This Row],[P.All.Life]],ResearchInput[[#This Row],[P.All.Math]],ResearchInput[[#This Row],[P.All.Phys]],ResearchInput[[#This Row],[P.All.Psyc]],ResearchInput[[#This Row],[P.All.Soc]],ResearchInput[[#This Row],[P.All.Othr]],ResearchInput[[#This Row],[P.All.Non]])</f>
        <v>0</v>
      </c>
    </row>
    <row r="43" spans="1:207" s="47" customFormat="1" ht="27" customHeight="1" x14ac:dyDescent="0.25">
      <c r="A43" s="34" t="s">
        <v>188</v>
      </c>
      <c r="B43" s="34" t="s">
        <v>671</v>
      </c>
      <c r="C43" s="35" t="s">
        <v>677</v>
      </c>
      <c r="D43" s="35" t="s">
        <v>673</v>
      </c>
      <c r="E43" s="94">
        <v>801</v>
      </c>
      <c r="F43" s="35" t="s">
        <v>714</v>
      </c>
      <c r="G43" s="35" t="s">
        <v>692</v>
      </c>
      <c r="H43" s="96">
        <v>3581</v>
      </c>
      <c r="I43" s="92">
        <v>3173464</v>
      </c>
      <c r="J43" s="92">
        <v>4651446</v>
      </c>
      <c r="K43" s="92">
        <v>603879</v>
      </c>
      <c r="L43" s="92">
        <v>531013</v>
      </c>
      <c r="M43" s="92">
        <v>94953</v>
      </c>
      <c r="N43" s="92">
        <v>605247</v>
      </c>
      <c r="O43" s="92">
        <v>30861</v>
      </c>
      <c r="P43" s="92">
        <v>0</v>
      </c>
      <c r="Q43" s="92">
        <v>-704661</v>
      </c>
      <c r="R43" s="92">
        <v>-4651446</v>
      </c>
      <c r="S43" s="92">
        <v>-41311</v>
      </c>
      <c r="T43" s="92">
        <v>-602823</v>
      </c>
      <c r="U43" s="92">
        <v>0</v>
      </c>
      <c r="V43" s="92">
        <v>-119532</v>
      </c>
      <c r="W43" s="92">
        <v>-1445</v>
      </c>
      <c r="X43" s="92">
        <v>0</v>
      </c>
      <c r="Y43" s="92">
        <v>0</v>
      </c>
      <c r="Z43" s="92">
        <v>0</v>
      </c>
      <c r="AA43" s="92">
        <v>0</v>
      </c>
      <c r="AB43" s="92">
        <v>0</v>
      </c>
      <c r="AC43" s="92">
        <v>0</v>
      </c>
      <c r="AD43" s="92">
        <v>0</v>
      </c>
      <c r="AE43" s="92">
        <v>0</v>
      </c>
      <c r="AF43" s="92">
        <v>0</v>
      </c>
      <c r="AG43" s="92">
        <v>704661</v>
      </c>
      <c r="AH43" s="92">
        <v>0</v>
      </c>
      <c r="AI43" s="92">
        <v>41311</v>
      </c>
      <c r="AJ43" s="92">
        <v>0</v>
      </c>
      <c r="AK43" s="92">
        <v>0</v>
      </c>
      <c r="AL43" s="92">
        <v>119532</v>
      </c>
      <c r="AM43" s="92">
        <v>1445</v>
      </c>
      <c r="AN43" s="92">
        <v>0</v>
      </c>
      <c r="AO43" s="92">
        <v>0</v>
      </c>
      <c r="AP43" s="92">
        <v>624597</v>
      </c>
      <c r="AQ43" s="92">
        <v>0</v>
      </c>
      <c r="AR43" s="92">
        <v>71810</v>
      </c>
      <c r="AS43" s="92">
        <v>0</v>
      </c>
      <c r="AT43" s="92">
        <v>0</v>
      </c>
      <c r="AU43" s="92">
        <v>0</v>
      </c>
      <c r="AV43" s="92">
        <v>0</v>
      </c>
      <c r="AW43" s="92">
        <v>0</v>
      </c>
      <c r="AX43" s="92">
        <v>0</v>
      </c>
      <c r="AY43" s="92">
        <v>0</v>
      </c>
      <c r="AZ43" s="92">
        <v>0</v>
      </c>
      <c r="BA43" s="92">
        <v>0</v>
      </c>
      <c r="BB43" s="92">
        <v>0</v>
      </c>
      <c r="BC43" s="92">
        <v>0</v>
      </c>
      <c r="BD43" s="92">
        <v>0</v>
      </c>
      <c r="BE43" s="92">
        <v>0</v>
      </c>
      <c r="BF43" s="92">
        <v>0</v>
      </c>
      <c r="BG43" s="92">
        <v>0</v>
      </c>
      <c r="BH43" s="92">
        <v>0</v>
      </c>
      <c r="BI43" s="92">
        <v>0</v>
      </c>
      <c r="BJ43" s="92">
        <v>0</v>
      </c>
      <c r="BK43" s="92">
        <v>0</v>
      </c>
      <c r="BL43" s="92">
        <v>0</v>
      </c>
      <c r="BM43" s="92">
        <v>0</v>
      </c>
      <c r="BN43" s="92">
        <v>0</v>
      </c>
      <c r="BO43" s="92">
        <v>0</v>
      </c>
      <c r="BP43" s="92">
        <v>0</v>
      </c>
      <c r="BQ43" s="92">
        <v>0</v>
      </c>
      <c r="BR43" s="92">
        <v>0</v>
      </c>
      <c r="BS43" s="92">
        <v>0</v>
      </c>
      <c r="BT43" s="92">
        <v>0</v>
      </c>
      <c r="BU43" s="92">
        <v>38105</v>
      </c>
      <c r="BV43" s="92">
        <v>0</v>
      </c>
      <c r="BW43" s="92">
        <v>0</v>
      </c>
      <c r="BX43" s="92">
        <v>0</v>
      </c>
      <c r="BY43" s="92">
        <v>0</v>
      </c>
      <c r="BZ43" s="92">
        <v>44033</v>
      </c>
      <c r="CA43" s="92">
        <v>0</v>
      </c>
      <c r="CB43" s="92">
        <v>0</v>
      </c>
      <c r="CC43" s="92">
        <v>2683214</v>
      </c>
      <c r="CD43" s="92">
        <v>373304</v>
      </c>
      <c r="CE43" s="92">
        <v>537667</v>
      </c>
      <c r="CF43" s="92">
        <v>0</v>
      </c>
      <c r="CG43" s="92">
        <v>23436</v>
      </c>
      <c r="CH43" s="92">
        <v>287911</v>
      </c>
      <c r="CI43" s="92">
        <v>15897</v>
      </c>
      <c r="CJ43" s="92">
        <v>0</v>
      </c>
      <c r="CK43" s="92">
        <v>0</v>
      </c>
      <c r="CL43" s="92">
        <v>0</v>
      </c>
      <c r="CM43" s="92">
        <v>0</v>
      </c>
      <c r="CN43" s="92">
        <v>0</v>
      </c>
      <c r="CO43" s="92">
        <v>0</v>
      </c>
      <c r="CP43" s="92">
        <v>0</v>
      </c>
      <c r="CQ43" s="92">
        <v>0</v>
      </c>
      <c r="CR43" s="92">
        <v>0</v>
      </c>
      <c r="CS43" s="92">
        <v>51339</v>
      </c>
      <c r="CT43" s="92">
        <v>0</v>
      </c>
      <c r="CU43" s="92">
        <v>1405</v>
      </c>
      <c r="CV43" s="92">
        <v>0</v>
      </c>
      <c r="CW43" s="92">
        <v>0</v>
      </c>
      <c r="CX43" s="92">
        <v>6483</v>
      </c>
      <c r="CY43" s="92">
        <v>0</v>
      </c>
      <c r="CZ43" s="92">
        <v>0</v>
      </c>
      <c r="DA43" s="92">
        <v>0</v>
      </c>
      <c r="DB43" s="92">
        <v>0</v>
      </c>
      <c r="DC43" s="92">
        <v>0</v>
      </c>
      <c r="DD43" s="92">
        <v>0</v>
      </c>
      <c r="DE43" s="92">
        <v>0</v>
      </c>
      <c r="DF43" s="92">
        <v>0</v>
      </c>
      <c r="DG43" s="92">
        <v>0</v>
      </c>
      <c r="DH43" s="92">
        <v>0</v>
      </c>
      <c r="DI43" s="92">
        <v>192352</v>
      </c>
      <c r="DJ43" s="92">
        <v>28590</v>
      </c>
      <c r="DK43" s="92">
        <v>0</v>
      </c>
      <c r="DL43" s="92">
        <v>0</v>
      </c>
      <c r="DM43" s="92">
        <v>0</v>
      </c>
      <c r="DN43" s="92">
        <v>198093</v>
      </c>
      <c r="DO43" s="92">
        <v>0</v>
      </c>
      <c r="DP43" s="92">
        <v>0</v>
      </c>
      <c r="DQ43" s="92">
        <v>0</v>
      </c>
      <c r="DR43" s="92">
        <v>0</v>
      </c>
      <c r="DS43" s="92">
        <v>0</v>
      </c>
      <c r="DT43" s="92">
        <v>0</v>
      </c>
      <c r="DU43" s="92">
        <v>64122</v>
      </c>
      <c r="DV43" s="92">
        <v>420</v>
      </c>
      <c r="DW43" s="92">
        <v>0</v>
      </c>
      <c r="DX43" s="92">
        <v>0</v>
      </c>
      <c r="DY43" s="92">
        <v>165859</v>
      </c>
      <c r="DZ43" s="92">
        <v>0</v>
      </c>
      <c r="EA43" s="92">
        <v>0</v>
      </c>
      <c r="EB43" s="92">
        <v>0</v>
      </c>
      <c r="EC43" s="92">
        <v>0</v>
      </c>
      <c r="ED43" s="92">
        <v>0</v>
      </c>
      <c r="EE43" s="92">
        <v>0</v>
      </c>
      <c r="EF43" s="92">
        <v>0</v>
      </c>
      <c r="EG43" s="92">
        <v>41610</v>
      </c>
      <c r="EH43" s="92">
        <v>15000</v>
      </c>
      <c r="EI43" s="92">
        <v>58211</v>
      </c>
      <c r="EJ43" s="92">
        <v>0</v>
      </c>
      <c r="EK43" s="92">
        <v>0</v>
      </c>
      <c r="EL43" s="92">
        <v>0</v>
      </c>
      <c r="EM43" s="92">
        <v>0</v>
      </c>
      <c r="EN43" s="92">
        <v>0</v>
      </c>
      <c r="EO43" s="92">
        <v>985</v>
      </c>
      <c r="EP43" s="92">
        <v>207703</v>
      </c>
      <c r="EQ43" s="92">
        <v>6596</v>
      </c>
      <c r="ER43" s="92">
        <v>0</v>
      </c>
      <c r="ES43" s="92">
        <v>7395</v>
      </c>
      <c r="ET43" s="92">
        <v>68307</v>
      </c>
      <c r="EU43" s="92">
        <v>14964</v>
      </c>
      <c r="EV43" s="92">
        <v>0</v>
      </c>
      <c r="EW43" s="92">
        <v>0</v>
      </c>
      <c r="EX43" s="92">
        <v>0</v>
      </c>
      <c r="EY43" s="92">
        <v>0</v>
      </c>
      <c r="EZ43" s="92">
        <v>0</v>
      </c>
      <c r="FA43" s="92">
        <v>0</v>
      </c>
      <c r="FB43" s="92">
        <v>0</v>
      </c>
      <c r="FC43" s="92">
        <v>0</v>
      </c>
      <c r="FD43" s="92">
        <v>0</v>
      </c>
      <c r="FE43" s="92">
        <v>0</v>
      </c>
      <c r="FF43" s="92">
        <v>0</v>
      </c>
      <c r="FG43" s="92">
        <v>0</v>
      </c>
      <c r="FH43" s="92">
        <v>0</v>
      </c>
      <c r="FI43" s="92">
        <v>0</v>
      </c>
      <c r="FJ43" s="92">
        <v>0</v>
      </c>
      <c r="FK43" s="92">
        <v>0</v>
      </c>
      <c r="FL43" s="92">
        <v>0</v>
      </c>
      <c r="FM43" s="92">
        <v>0</v>
      </c>
      <c r="FN43" s="92">
        <v>0</v>
      </c>
      <c r="FO43" s="92">
        <v>0</v>
      </c>
      <c r="FP43" s="92">
        <v>0</v>
      </c>
      <c r="FQ43" s="92">
        <v>0</v>
      </c>
      <c r="FR43" s="92">
        <v>0</v>
      </c>
      <c r="FS43" s="92">
        <v>0</v>
      </c>
      <c r="FT43" s="92">
        <v>0</v>
      </c>
      <c r="FU43" s="92">
        <v>0</v>
      </c>
      <c r="FV43" s="92">
        <v>0</v>
      </c>
      <c r="FW43" s="92">
        <v>0</v>
      </c>
      <c r="FX43" s="92">
        <v>0</v>
      </c>
      <c r="FY43" s="92">
        <v>0</v>
      </c>
      <c r="FZ43" s="92">
        <v>0</v>
      </c>
      <c r="GA43" s="92">
        <v>0</v>
      </c>
      <c r="GB43" s="92">
        <v>0</v>
      </c>
      <c r="GC43" s="92">
        <v>0</v>
      </c>
      <c r="GD43" s="92">
        <v>9690863</v>
      </c>
      <c r="GE43" s="92">
        <v>10229560</v>
      </c>
      <c r="GF43" s="92">
        <v>197760619</v>
      </c>
      <c r="GG43" s="47" t="s">
        <v>371</v>
      </c>
      <c r="GH43" s="47" t="s">
        <v>372</v>
      </c>
      <c r="GI43" s="93">
        <v>4098801788</v>
      </c>
      <c r="GJ43" s="47" t="s">
        <v>373</v>
      </c>
      <c r="GK43" s="47" t="s">
        <v>374</v>
      </c>
      <c r="GL43" s="47" t="s">
        <v>375</v>
      </c>
      <c r="GM43" s="93">
        <v>4098808990</v>
      </c>
      <c r="GN43" s="47" t="s">
        <v>376</v>
      </c>
      <c r="GO43" s="92" cm="1">
        <f t="array" ref="GO43">IFERROR(_xlfn.IFS(ResearchInput[[#This Row],[Type]]="HRI",SUMIFS('FTSE | FTFE'!$P$8:$P$77,'FTSE | FTFE'!$H$8:$H$77,A43),ResearchInput[[#This Row],[Type]]="UNIV",SUMIFS('FTSE | FTFE'!$P$104:$P$139,'FTSE | FTFE'!$H$104:$H$139,A43),OR(ResearchInput[[#This Row],[Type]]="TSTC",ResearchInput[[#This Row],[Type]]="LSC"),SUMIFS('FTSE | FTFE'!$O$88:$O$96,'FTSE | FTFE'!$H$88:$H$96,A43),ResearchInput[[#This Row],[Type]]="AHM",SUMIFS(Hidden!$H$43:$H$46,Hidden!$G$42:$G$45,A43)),"N/A")</f>
        <v>14170</v>
      </c>
      <c r="GP43" s="92" cm="1">
        <f t="array" ref="GP43">IFERROR(_xlfn.IFS(ResearchInput[[#This Row],[Type]]="HRI",SUMIFS('FTSE | FTFE'!$Q$8:$Q$77,'FTSE | FTFE'!$H$8:$H$77,A43),ResearchInput[[#This Row],[Type]]="UNIV",SUMIFS('FTSE | FTFE'!$Q$104:$Q$139,'FTSE | FTFE'!$H$104:$H$139,A43),OR(ResearchInput[[#This Row],[Type]]="TSTC",ResearchInput[[#This Row],[Type]]="LSC"),SUMIFS('FTSE | FTFE'!$P$88:$P$96,'FTSE | FTFE'!$H$88:$H$96,A43)),"N/A")</f>
        <v>269</v>
      </c>
      <c r="GQ43" s="92">
        <v>0</v>
      </c>
      <c r="GR43" s="92">
        <f>SUM(ResearchInput[[#This Row],[Fed.Comp]],ResearchInput[[#This Row],[Fed.Eng]],ResearchInput[[#This Row],[Fed.Geo]],ResearchInput[[#This Row],[Fed.Life]],ResearchInput[[#This Row],[Fed.Math]],ResearchInput[[#This Row],[Fed.Phys]],ResearchInput[[#This Row],[Fed.Psyc]],ResearchInput[[#This Row],[Fed.Soc]],ResearchInput[[#This Row],[Fed.Othr]],ResearchInput[[#This Row],[Fed.Non]])</f>
        <v>3173464</v>
      </c>
      <c r="GS43" s="92">
        <f>SUM(ResearchInput[[#This Row],[St.Comp]],ResearchInput[[#This Row],[St.Eng]],ResearchInput[[#This Row],[St.Geo]],ResearchInput[[#This Row],[St.Life]],ResearchInput[[#This Row],[St.Math]],ResearchInput[[#This Row],[St.Phys]],ResearchInput[[#This Row],[St.Psyc]],ResearchInput[[#This Row],[St.Soc]],ResearchInput[[#This Row],[St.Othr]],ResearchInput[[#This Row],[St.Non]])</f>
        <v>624597</v>
      </c>
      <c r="GT43" s="92">
        <f>SUM(ResearchInput[[#This Row],[St.C&amp;G.Comp]],ResearchInput[[#This Row],[St.C&amp;G.Eng]],ResearchInput[[#This Row],[St.C&amp;G.Geo]],ResearchInput[[#This Row],[St.C&amp;G.Life]],ResearchInput[[#This Row],[St.C&amp;G.Math]],ResearchInput[[#This Row],[St.C&amp;G.Phys]],ResearchInput[[#This Row],[St.C&amp;G.Psyc]],ResearchInput[[#This Row],[St.C&amp;G.Soc]],ResearchInput[[#This Row],[St.C&amp;G.Othr]],ResearchInput[[#This Row],[St.C&amp;G.Non]])</f>
        <v>603879</v>
      </c>
      <c r="GU43" s="92">
        <f>SUM(ResearchInput[[#This Row],[St.All.Comp]],ResearchInput[[#This Row],[St.All.Eng]],ResearchInput[[#This Row],[St.All.Geo]],ResearchInput[[#This Row],[St.All.Life]],ResearchInput[[#This Row],[St.All.Math]],ResearchInput[[#This Row],[St.All.Phys]],ResearchInput[[#This Row],[St.All.Psyc]],ResearchInput[[#This Row],[St.All.Soc]],ResearchInput[[#This Row],[St.All.Othr]],ResearchInput[[#This Row],[St.All.Non]])</f>
        <v>0</v>
      </c>
      <c r="GV43" s="92">
        <f>SUM(ResearchInput[[#This Row],[Inst.Comp]],ResearchInput[[#This Row],[Inst.Eng]],ResearchInput[[#This Row],[Inst.Geo]],ResearchInput[[#This Row],[Inst.Life]],ResearchInput[[#This Row],[Inst.Math]],ResearchInput[[#This Row],[Inst.Phys]],ResearchInput[[#This Row],[Inst.Psyc]],ResearchInput[[#This Row],[Inst.Soc]],ResearchInput[[#This Row],[Inst.Othr]],ResearchInput[[#This Row],[Inst.Non]])</f>
        <v>94953</v>
      </c>
      <c r="GW43" s="92">
        <f>SUM(ResearchInput[[#This Row],[P4P.Comp]],ResearchInput[[#This Row],[P4P.Eng]],ResearchInput[[#This Row],[P4P.Geo]],ResearchInput[[#This Row],[P4P.Life]],ResearchInput[[#This Row],[P4P.Math]],ResearchInput[[#This Row],[P4P.Phys]],ResearchInput[[#This Row],[P4P.Psyc]],ResearchInput[[#This Row],[P4P.Soc]],ResearchInput[[#This Row],[P4P.Othr]],ResearchInput[[#This Row],[P4P.Non]])</f>
        <v>605247</v>
      </c>
      <c r="GX43" s="92">
        <f>SUM(ResearchInput[[#This Row],[PNP.Comp]],ResearchInput[[#This Row],[PNP.Eng]],ResearchInput[[#This Row],[PNP.Geo]],ResearchInput[[#This Row],[PNP.Life]],ResearchInput[[#This Row],[PNP.Math]],ResearchInput[[#This Row],[PNP.Phys]],ResearchInput[[#This Row],[PNP.Psyc]],ResearchInput[[#This Row],[PNP.Soc]],ResearchInput[[#This Row],[PNP.Othr]],ResearchInput[[#This Row],[PNP.Non]])</f>
        <v>30861</v>
      </c>
      <c r="GY43" s="92">
        <f>SUM(ResearchInput[[#This Row],[P.All.Comp]],ResearchInput[[#This Row],[P.All.Eng]],ResearchInput[[#This Row],[P.All.Geo]],ResearchInput[[#This Row],[P.All.Life]],ResearchInput[[#This Row],[P.All.Math]],ResearchInput[[#This Row],[P.All.Phys]],ResearchInput[[#This Row],[P.All.Psyc]],ResearchInput[[#This Row],[P.All.Soc]],ResearchInput[[#This Row],[P.All.Othr]],ResearchInput[[#This Row],[P.All.Non]])</f>
        <v>0</v>
      </c>
    </row>
    <row r="44" spans="1:207" s="47" customFormat="1" ht="27" customHeight="1" x14ac:dyDescent="0.25">
      <c r="A44" s="34" t="s">
        <v>206</v>
      </c>
      <c r="B44" s="34" t="s">
        <v>675</v>
      </c>
      <c r="C44" s="35" t="s">
        <v>676</v>
      </c>
      <c r="D44" s="35" t="s">
        <v>676</v>
      </c>
      <c r="E44" s="94">
        <v>802</v>
      </c>
      <c r="F44" s="91" t="s">
        <v>716</v>
      </c>
      <c r="G44" s="35" t="s">
        <v>553</v>
      </c>
      <c r="H44" s="96">
        <v>36273</v>
      </c>
      <c r="I44" s="92">
        <v>0</v>
      </c>
      <c r="J44" s="92">
        <v>0</v>
      </c>
      <c r="K44" s="92">
        <v>0</v>
      </c>
      <c r="L44" s="92">
        <v>0</v>
      </c>
      <c r="M44" s="92">
        <v>0</v>
      </c>
      <c r="N44" s="92">
        <v>0</v>
      </c>
      <c r="O44" s="92">
        <v>0</v>
      </c>
      <c r="P44" s="92">
        <v>0</v>
      </c>
      <c r="Q44" s="92">
        <v>0</v>
      </c>
      <c r="R44" s="92">
        <v>0</v>
      </c>
      <c r="S44" s="92">
        <v>0</v>
      </c>
      <c r="T44" s="92">
        <v>0</v>
      </c>
      <c r="U44" s="92">
        <v>0</v>
      </c>
      <c r="V44" s="92">
        <v>0</v>
      </c>
      <c r="W44" s="92">
        <v>0</v>
      </c>
      <c r="X44" s="92">
        <v>0</v>
      </c>
      <c r="Y44" s="92">
        <v>0</v>
      </c>
      <c r="Z44" s="92">
        <v>0</v>
      </c>
      <c r="AA44" s="92">
        <v>0</v>
      </c>
      <c r="AB44" s="92">
        <v>0</v>
      </c>
      <c r="AC44" s="92">
        <v>0</v>
      </c>
      <c r="AD44" s="92">
        <v>0</v>
      </c>
      <c r="AE44" s="92">
        <v>0</v>
      </c>
      <c r="AF44" s="92">
        <v>0</v>
      </c>
      <c r="AG44" s="92">
        <v>0</v>
      </c>
      <c r="AH44" s="92">
        <v>0</v>
      </c>
      <c r="AI44" s="92">
        <v>0</v>
      </c>
      <c r="AJ44" s="92">
        <v>0</v>
      </c>
      <c r="AK44" s="92">
        <v>0</v>
      </c>
      <c r="AL44" s="92">
        <v>0</v>
      </c>
      <c r="AM44" s="92">
        <v>0</v>
      </c>
      <c r="AN44" s="92">
        <v>0</v>
      </c>
      <c r="AO44" s="92">
        <v>0</v>
      </c>
      <c r="AP44" s="92">
        <v>0</v>
      </c>
      <c r="AQ44" s="92">
        <v>0</v>
      </c>
      <c r="AR44" s="92">
        <v>0</v>
      </c>
      <c r="AS44" s="92">
        <v>0</v>
      </c>
      <c r="AT44" s="92">
        <v>0</v>
      </c>
      <c r="AU44" s="92">
        <v>0</v>
      </c>
      <c r="AV44" s="92">
        <v>0</v>
      </c>
      <c r="AW44" s="92">
        <v>0</v>
      </c>
      <c r="AX44" s="92">
        <v>0</v>
      </c>
      <c r="AY44" s="92">
        <v>0</v>
      </c>
      <c r="AZ44" s="92">
        <v>0</v>
      </c>
      <c r="BA44" s="92">
        <v>0</v>
      </c>
      <c r="BB44" s="92">
        <v>0</v>
      </c>
      <c r="BC44" s="92">
        <v>0</v>
      </c>
      <c r="BD44" s="92">
        <v>0</v>
      </c>
      <c r="BE44" s="92">
        <v>0</v>
      </c>
      <c r="BF44" s="92">
        <v>0</v>
      </c>
      <c r="BG44" s="92">
        <v>0</v>
      </c>
      <c r="BH44" s="92">
        <v>0</v>
      </c>
      <c r="BI44" s="92">
        <v>0</v>
      </c>
      <c r="BJ44" s="92">
        <v>0</v>
      </c>
      <c r="BK44" s="92">
        <v>0</v>
      </c>
      <c r="BL44" s="92">
        <v>0</v>
      </c>
      <c r="BM44" s="92">
        <v>0</v>
      </c>
      <c r="BN44" s="92">
        <v>0</v>
      </c>
      <c r="BO44" s="92">
        <v>0</v>
      </c>
      <c r="BP44" s="92">
        <v>0</v>
      </c>
      <c r="BQ44" s="92">
        <v>0</v>
      </c>
      <c r="BR44" s="92">
        <v>0</v>
      </c>
      <c r="BS44" s="92">
        <v>0</v>
      </c>
      <c r="BT44" s="92">
        <v>0</v>
      </c>
      <c r="BU44" s="92">
        <v>0</v>
      </c>
      <c r="BV44" s="92">
        <v>0</v>
      </c>
      <c r="BW44" s="92">
        <v>0</v>
      </c>
      <c r="BX44" s="92">
        <v>0</v>
      </c>
      <c r="BY44" s="92">
        <v>0</v>
      </c>
      <c r="BZ44" s="92">
        <v>0</v>
      </c>
      <c r="CA44" s="92">
        <v>0</v>
      </c>
      <c r="CB44" s="92">
        <v>0</v>
      </c>
      <c r="CC44" s="92">
        <v>0</v>
      </c>
      <c r="CD44" s="92">
        <v>0</v>
      </c>
      <c r="CE44" s="92">
        <v>0</v>
      </c>
      <c r="CF44" s="92">
        <v>0</v>
      </c>
      <c r="CG44" s="92">
        <v>0</v>
      </c>
      <c r="CH44" s="92">
        <v>0</v>
      </c>
      <c r="CI44" s="92">
        <v>0</v>
      </c>
      <c r="CJ44" s="92">
        <v>0</v>
      </c>
      <c r="CK44" s="92">
        <v>0</v>
      </c>
      <c r="CL44" s="92">
        <v>0</v>
      </c>
      <c r="CM44" s="92">
        <v>0</v>
      </c>
      <c r="CN44" s="92">
        <v>0</v>
      </c>
      <c r="CO44" s="92">
        <v>0</v>
      </c>
      <c r="CP44" s="92">
        <v>0</v>
      </c>
      <c r="CQ44" s="92">
        <v>0</v>
      </c>
      <c r="CR44" s="92">
        <v>0</v>
      </c>
      <c r="CS44" s="92">
        <v>0</v>
      </c>
      <c r="CT44" s="92">
        <v>0</v>
      </c>
      <c r="CU44" s="92">
        <v>0</v>
      </c>
      <c r="CV44" s="92">
        <v>0</v>
      </c>
      <c r="CW44" s="92">
        <v>0</v>
      </c>
      <c r="CX44" s="92">
        <v>0</v>
      </c>
      <c r="CY44" s="92">
        <v>0</v>
      </c>
      <c r="CZ44" s="92">
        <v>0</v>
      </c>
      <c r="DA44" s="92">
        <v>0</v>
      </c>
      <c r="DB44" s="92">
        <v>0</v>
      </c>
      <c r="DC44" s="92">
        <v>0</v>
      </c>
      <c r="DD44" s="92">
        <v>0</v>
      </c>
      <c r="DE44" s="92">
        <v>0</v>
      </c>
      <c r="DF44" s="92">
        <v>0</v>
      </c>
      <c r="DG44" s="92">
        <v>0</v>
      </c>
      <c r="DH44" s="92">
        <v>0</v>
      </c>
      <c r="DI44" s="92">
        <v>0</v>
      </c>
      <c r="DJ44" s="92">
        <v>0</v>
      </c>
      <c r="DK44" s="92">
        <v>0</v>
      </c>
      <c r="DL44" s="92">
        <v>0</v>
      </c>
      <c r="DM44" s="92">
        <v>0</v>
      </c>
      <c r="DN44" s="92">
        <v>0</v>
      </c>
      <c r="DO44" s="92">
        <v>0</v>
      </c>
      <c r="DP44" s="92">
        <v>0</v>
      </c>
      <c r="DQ44" s="92">
        <v>0</v>
      </c>
      <c r="DR44" s="92">
        <v>0</v>
      </c>
      <c r="DS44" s="92">
        <v>0</v>
      </c>
      <c r="DT44" s="92">
        <v>0</v>
      </c>
      <c r="DU44" s="92">
        <v>0</v>
      </c>
      <c r="DV44" s="92">
        <v>0</v>
      </c>
      <c r="DW44" s="92">
        <v>0</v>
      </c>
      <c r="DX44" s="92">
        <v>0</v>
      </c>
      <c r="DY44" s="92">
        <v>0</v>
      </c>
      <c r="DZ44" s="92">
        <v>0</v>
      </c>
      <c r="EA44" s="92">
        <v>0</v>
      </c>
      <c r="EB44" s="92">
        <v>0</v>
      </c>
      <c r="EC44" s="92">
        <v>0</v>
      </c>
      <c r="ED44" s="92">
        <v>0</v>
      </c>
      <c r="EE44" s="92">
        <v>0</v>
      </c>
      <c r="EF44" s="92">
        <v>0</v>
      </c>
      <c r="EG44" s="92">
        <v>0</v>
      </c>
      <c r="EH44" s="92">
        <v>0</v>
      </c>
      <c r="EI44" s="92">
        <v>0</v>
      </c>
      <c r="EJ44" s="92">
        <v>0</v>
      </c>
      <c r="EK44" s="92">
        <v>0</v>
      </c>
      <c r="EL44" s="92">
        <v>0</v>
      </c>
      <c r="EM44" s="92">
        <v>0</v>
      </c>
      <c r="EN44" s="92">
        <v>0</v>
      </c>
      <c r="EO44" s="92">
        <v>0</v>
      </c>
      <c r="EP44" s="92">
        <v>0</v>
      </c>
      <c r="EQ44" s="92">
        <v>0</v>
      </c>
      <c r="ER44" s="92">
        <v>0</v>
      </c>
      <c r="ES44" s="92">
        <v>0</v>
      </c>
      <c r="ET44" s="92">
        <v>0</v>
      </c>
      <c r="EU44" s="92">
        <v>0</v>
      </c>
      <c r="EV44" s="92">
        <v>0</v>
      </c>
      <c r="EW44" s="92">
        <v>0</v>
      </c>
      <c r="EX44" s="92">
        <v>0</v>
      </c>
      <c r="EY44" s="92">
        <v>0</v>
      </c>
      <c r="EZ44" s="92">
        <v>0</v>
      </c>
      <c r="FA44" s="92">
        <v>0</v>
      </c>
      <c r="FB44" s="92">
        <v>0</v>
      </c>
      <c r="FC44" s="92">
        <v>0</v>
      </c>
      <c r="FD44" s="92">
        <v>0</v>
      </c>
      <c r="FE44" s="92">
        <v>0</v>
      </c>
      <c r="FF44" s="92">
        <v>0</v>
      </c>
      <c r="FG44" s="92">
        <v>0</v>
      </c>
      <c r="FH44" s="92">
        <v>0</v>
      </c>
      <c r="FI44" s="92">
        <v>0</v>
      </c>
      <c r="FJ44" s="92">
        <v>0</v>
      </c>
      <c r="FK44" s="92">
        <v>0</v>
      </c>
      <c r="FL44" s="92">
        <v>0</v>
      </c>
      <c r="FM44" s="92">
        <v>0</v>
      </c>
      <c r="FN44" s="92">
        <v>0</v>
      </c>
      <c r="FO44" s="92">
        <v>0</v>
      </c>
      <c r="FP44" s="92">
        <v>0</v>
      </c>
      <c r="FQ44" s="92">
        <v>0</v>
      </c>
      <c r="FR44" s="92">
        <v>0</v>
      </c>
      <c r="FS44" s="92">
        <v>0</v>
      </c>
      <c r="FT44" s="92">
        <v>0</v>
      </c>
      <c r="FU44" s="92">
        <v>0</v>
      </c>
      <c r="FV44" s="92">
        <v>0</v>
      </c>
      <c r="FW44" s="92">
        <v>0</v>
      </c>
      <c r="FX44" s="92">
        <v>0</v>
      </c>
      <c r="FY44" s="92">
        <v>0</v>
      </c>
      <c r="FZ44" s="92">
        <v>0</v>
      </c>
      <c r="GA44" s="92">
        <v>0</v>
      </c>
      <c r="GB44" s="92">
        <v>0</v>
      </c>
      <c r="GC44" s="92">
        <v>0</v>
      </c>
      <c r="GD44" s="92">
        <v>0</v>
      </c>
      <c r="GE44" s="92">
        <v>0</v>
      </c>
      <c r="GF44" s="92">
        <v>47245154</v>
      </c>
      <c r="GG44" s="47" t="s">
        <v>386</v>
      </c>
      <c r="GH44" s="47" t="s">
        <v>473</v>
      </c>
      <c r="GI44" s="93">
        <v>4092475134</v>
      </c>
      <c r="GJ44" s="47" t="s">
        <v>474</v>
      </c>
      <c r="GK44" s="47" t="s">
        <v>475</v>
      </c>
      <c r="GL44" s="47" t="s">
        <v>476</v>
      </c>
      <c r="GM44" s="93">
        <v>4098392065</v>
      </c>
      <c r="GN44" s="47" t="s">
        <v>477</v>
      </c>
      <c r="GO44" s="92" cm="1">
        <f t="array" ref="GO44">IFERROR(_xlfn.IFS(ResearchInput[[#This Row],[Type]]="HRI",SUMIFS('FTSE | FTFE'!$P$8:$P$77,'FTSE | FTFE'!$H$8:$H$77,A44),ResearchInput[[#This Row],[Type]]="UNIV",SUMIFS('FTSE | FTFE'!$P$104:$P$139,'FTSE | FTFE'!$H$104:$H$139,A44),OR(ResearchInput[[#This Row],[Type]]="TSTC",ResearchInput[[#This Row],[Type]]="LSC"),SUMIFS('FTSE | FTFE'!$O$88:$O$96,'FTSE | FTFE'!$H$88:$H$96,A44),ResearchInput[[#This Row],[Type]]="AHM",SUMIFS(Hidden!$H$43:$H$46,Hidden!$G$42:$G$45,A44)),"N/A")</f>
        <v>3487</v>
      </c>
      <c r="GP44" s="92" cm="1">
        <f t="array" ref="GP44">IFERROR(_xlfn.IFS(ResearchInput[[#This Row],[Type]]="HRI",SUMIFS('FTSE | FTFE'!$Q$8:$Q$77,'FTSE | FTFE'!$H$8:$H$77,A44),ResearchInput[[#This Row],[Type]]="UNIV",SUMIFS('FTSE | FTFE'!$Q$104:$Q$139,'FTSE | FTFE'!$H$104:$H$139,A44),OR(ResearchInput[[#This Row],[Type]]="TSTC",ResearchInput[[#This Row],[Type]]="LSC"),SUMIFS('FTSE | FTFE'!$P$88:$P$96,'FTSE | FTFE'!$H$88:$H$96,A44)),"N/A")</f>
        <v>138.75</v>
      </c>
      <c r="GQ44" s="92">
        <v>0</v>
      </c>
      <c r="GR44" s="92">
        <f>SUM(ResearchInput[[#This Row],[Fed.Comp]],ResearchInput[[#This Row],[Fed.Eng]],ResearchInput[[#This Row],[Fed.Geo]],ResearchInput[[#This Row],[Fed.Life]],ResearchInput[[#This Row],[Fed.Math]],ResearchInput[[#This Row],[Fed.Phys]],ResearchInput[[#This Row],[Fed.Psyc]],ResearchInput[[#This Row],[Fed.Soc]],ResearchInput[[#This Row],[Fed.Othr]],ResearchInput[[#This Row],[Fed.Non]])</f>
        <v>0</v>
      </c>
      <c r="GS44" s="92">
        <f>SUM(ResearchInput[[#This Row],[St.Comp]],ResearchInput[[#This Row],[St.Eng]],ResearchInput[[#This Row],[St.Geo]],ResearchInput[[#This Row],[St.Life]],ResearchInput[[#This Row],[St.Math]],ResearchInput[[#This Row],[St.Phys]],ResearchInput[[#This Row],[St.Psyc]],ResearchInput[[#This Row],[St.Soc]],ResearchInput[[#This Row],[St.Othr]],ResearchInput[[#This Row],[St.Non]])</f>
        <v>0</v>
      </c>
      <c r="GT44" s="92">
        <f>SUM(ResearchInput[[#This Row],[St.C&amp;G.Comp]],ResearchInput[[#This Row],[St.C&amp;G.Eng]],ResearchInput[[#This Row],[St.C&amp;G.Geo]],ResearchInput[[#This Row],[St.C&amp;G.Life]],ResearchInput[[#This Row],[St.C&amp;G.Math]],ResearchInput[[#This Row],[St.C&amp;G.Phys]],ResearchInput[[#This Row],[St.C&amp;G.Psyc]],ResearchInput[[#This Row],[St.C&amp;G.Soc]],ResearchInput[[#This Row],[St.C&amp;G.Othr]],ResearchInput[[#This Row],[St.C&amp;G.Non]])</f>
        <v>0</v>
      </c>
      <c r="GU44" s="92">
        <f>SUM(ResearchInput[[#This Row],[St.All.Comp]],ResearchInput[[#This Row],[St.All.Eng]],ResearchInput[[#This Row],[St.All.Geo]],ResearchInput[[#This Row],[St.All.Life]],ResearchInput[[#This Row],[St.All.Math]],ResearchInput[[#This Row],[St.All.Phys]],ResearchInput[[#This Row],[St.All.Psyc]],ResearchInput[[#This Row],[St.All.Soc]],ResearchInput[[#This Row],[St.All.Othr]],ResearchInput[[#This Row],[St.All.Non]])</f>
        <v>0</v>
      </c>
      <c r="GV44" s="92">
        <f>SUM(ResearchInput[[#This Row],[Inst.Comp]],ResearchInput[[#This Row],[Inst.Eng]],ResearchInput[[#This Row],[Inst.Geo]],ResearchInput[[#This Row],[Inst.Life]],ResearchInput[[#This Row],[Inst.Math]],ResearchInput[[#This Row],[Inst.Phys]],ResearchInput[[#This Row],[Inst.Psyc]],ResearchInput[[#This Row],[Inst.Soc]],ResearchInput[[#This Row],[Inst.Othr]],ResearchInput[[#This Row],[Inst.Non]])</f>
        <v>0</v>
      </c>
      <c r="GW44" s="92">
        <f>SUM(ResearchInput[[#This Row],[P4P.Comp]],ResearchInput[[#This Row],[P4P.Eng]],ResearchInput[[#This Row],[P4P.Geo]],ResearchInput[[#This Row],[P4P.Life]],ResearchInput[[#This Row],[P4P.Math]],ResearchInput[[#This Row],[P4P.Phys]],ResearchInput[[#This Row],[P4P.Psyc]],ResearchInput[[#This Row],[P4P.Soc]],ResearchInput[[#This Row],[P4P.Othr]],ResearchInput[[#This Row],[P4P.Non]])</f>
        <v>0</v>
      </c>
      <c r="GX44" s="92">
        <f>SUM(ResearchInput[[#This Row],[PNP.Comp]],ResearchInput[[#This Row],[PNP.Eng]],ResearchInput[[#This Row],[PNP.Geo]],ResearchInput[[#This Row],[PNP.Life]],ResearchInput[[#This Row],[PNP.Math]],ResearchInput[[#This Row],[PNP.Phys]],ResearchInput[[#This Row],[PNP.Psyc]],ResearchInput[[#This Row],[PNP.Soc]],ResearchInput[[#This Row],[PNP.Othr]],ResearchInput[[#This Row],[PNP.Non]])</f>
        <v>0</v>
      </c>
      <c r="GY44" s="92">
        <f>SUM(ResearchInput[[#This Row],[P.All.Comp]],ResearchInput[[#This Row],[P.All.Eng]],ResearchInput[[#This Row],[P.All.Geo]],ResearchInput[[#This Row],[P.All.Life]],ResearchInput[[#This Row],[P.All.Math]],ResearchInput[[#This Row],[P.All.Phys]],ResearchInput[[#This Row],[P.All.Psyc]],ResearchInput[[#This Row],[P.All.Soc]],ResearchInput[[#This Row],[P.All.Othr]],ResearchInput[[#This Row],[P.All.Non]])</f>
        <v>0</v>
      </c>
    </row>
    <row r="45" spans="1:207" s="47" customFormat="1" ht="27" customHeight="1" x14ac:dyDescent="0.25">
      <c r="A45" s="34" t="s">
        <v>207</v>
      </c>
      <c r="B45" s="34" t="s">
        <v>675</v>
      </c>
      <c r="C45" s="35" t="s">
        <v>676</v>
      </c>
      <c r="D45" s="35" t="s">
        <v>676</v>
      </c>
      <c r="E45" s="94">
        <v>803</v>
      </c>
      <c r="F45" s="91" t="s">
        <v>716</v>
      </c>
      <c r="G45" s="35" t="s">
        <v>553</v>
      </c>
      <c r="H45" s="96">
        <v>23582</v>
      </c>
      <c r="I45" s="92">
        <v>0</v>
      </c>
      <c r="J45" s="92">
        <v>0</v>
      </c>
      <c r="K45" s="92">
        <v>0</v>
      </c>
      <c r="L45" s="92">
        <v>0</v>
      </c>
      <c r="M45" s="92">
        <v>0</v>
      </c>
      <c r="N45" s="92">
        <v>0</v>
      </c>
      <c r="O45" s="92">
        <v>0</v>
      </c>
      <c r="P45" s="92">
        <v>0</v>
      </c>
      <c r="Q45" s="92">
        <v>0</v>
      </c>
      <c r="R45" s="92">
        <v>0</v>
      </c>
      <c r="S45" s="92">
        <v>0</v>
      </c>
      <c r="T45" s="92">
        <v>0</v>
      </c>
      <c r="U45" s="92">
        <v>0</v>
      </c>
      <c r="V45" s="92">
        <v>0</v>
      </c>
      <c r="W45" s="92">
        <v>0</v>
      </c>
      <c r="X45" s="92">
        <v>0</v>
      </c>
      <c r="Y45" s="92">
        <v>0</v>
      </c>
      <c r="Z45" s="92">
        <v>0</v>
      </c>
      <c r="AA45" s="92">
        <v>0</v>
      </c>
      <c r="AB45" s="92">
        <v>0</v>
      </c>
      <c r="AC45" s="92">
        <v>0</v>
      </c>
      <c r="AD45" s="92">
        <v>0</v>
      </c>
      <c r="AE45" s="92">
        <v>0</v>
      </c>
      <c r="AF45" s="92">
        <v>0</v>
      </c>
      <c r="AG45" s="92">
        <v>0</v>
      </c>
      <c r="AH45" s="92">
        <v>0</v>
      </c>
      <c r="AI45" s="92">
        <v>0</v>
      </c>
      <c r="AJ45" s="92">
        <v>0</v>
      </c>
      <c r="AK45" s="92">
        <v>0</v>
      </c>
      <c r="AL45" s="92">
        <v>0</v>
      </c>
      <c r="AM45" s="92">
        <v>0</v>
      </c>
      <c r="AN45" s="92">
        <v>0</v>
      </c>
      <c r="AO45" s="92">
        <v>0</v>
      </c>
      <c r="AP45" s="92">
        <v>0</v>
      </c>
      <c r="AQ45" s="92">
        <v>0</v>
      </c>
      <c r="AR45" s="92">
        <v>0</v>
      </c>
      <c r="AS45" s="92">
        <v>0</v>
      </c>
      <c r="AT45" s="92">
        <v>0</v>
      </c>
      <c r="AU45" s="92">
        <v>0</v>
      </c>
      <c r="AV45" s="92">
        <v>0</v>
      </c>
      <c r="AW45" s="92">
        <v>0</v>
      </c>
      <c r="AX45" s="92">
        <v>0</v>
      </c>
      <c r="AY45" s="92">
        <v>0</v>
      </c>
      <c r="AZ45" s="92">
        <v>0</v>
      </c>
      <c r="BA45" s="92">
        <v>0</v>
      </c>
      <c r="BB45" s="92">
        <v>0</v>
      </c>
      <c r="BC45" s="92">
        <v>0</v>
      </c>
      <c r="BD45" s="92">
        <v>0</v>
      </c>
      <c r="BE45" s="92">
        <v>0</v>
      </c>
      <c r="BF45" s="92">
        <v>0</v>
      </c>
      <c r="BG45" s="92">
        <v>0</v>
      </c>
      <c r="BH45" s="92">
        <v>0</v>
      </c>
      <c r="BI45" s="92">
        <v>0</v>
      </c>
      <c r="BJ45" s="92">
        <v>0</v>
      </c>
      <c r="BK45" s="92">
        <v>0</v>
      </c>
      <c r="BL45" s="92">
        <v>0</v>
      </c>
      <c r="BM45" s="92">
        <v>0</v>
      </c>
      <c r="BN45" s="92">
        <v>0</v>
      </c>
      <c r="BO45" s="92">
        <v>0</v>
      </c>
      <c r="BP45" s="92">
        <v>0</v>
      </c>
      <c r="BQ45" s="92">
        <v>0</v>
      </c>
      <c r="BR45" s="92">
        <v>0</v>
      </c>
      <c r="BS45" s="92">
        <v>0</v>
      </c>
      <c r="BT45" s="92">
        <v>0</v>
      </c>
      <c r="BU45" s="92">
        <v>0</v>
      </c>
      <c r="BV45" s="92">
        <v>0</v>
      </c>
      <c r="BW45" s="92">
        <v>0</v>
      </c>
      <c r="BX45" s="92">
        <v>0</v>
      </c>
      <c r="BY45" s="92">
        <v>0</v>
      </c>
      <c r="BZ45" s="92">
        <v>0</v>
      </c>
      <c r="CA45" s="92">
        <v>0</v>
      </c>
      <c r="CB45" s="92">
        <v>0</v>
      </c>
      <c r="CC45" s="92">
        <v>0</v>
      </c>
      <c r="CD45" s="92">
        <v>0</v>
      </c>
      <c r="CE45" s="92">
        <v>0</v>
      </c>
      <c r="CF45" s="92">
        <v>0</v>
      </c>
      <c r="CG45" s="92">
        <v>0</v>
      </c>
      <c r="CH45" s="92">
        <v>0</v>
      </c>
      <c r="CI45" s="92">
        <v>0</v>
      </c>
      <c r="CJ45" s="92">
        <v>0</v>
      </c>
      <c r="CK45" s="92">
        <v>0</v>
      </c>
      <c r="CL45" s="92">
        <v>0</v>
      </c>
      <c r="CM45" s="92">
        <v>0</v>
      </c>
      <c r="CN45" s="92">
        <v>0</v>
      </c>
      <c r="CO45" s="92">
        <v>0</v>
      </c>
      <c r="CP45" s="92">
        <v>0</v>
      </c>
      <c r="CQ45" s="92">
        <v>0</v>
      </c>
      <c r="CR45" s="92">
        <v>0</v>
      </c>
      <c r="CS45" s="92">
        <v>0</v>
      </c>
      <c r="CT45" s="92">
        <v>0</v>
      </c>
      <c r="CU45" s="92">
        <v>0</v>
      </c>
      <c r="CV45" s="92">
        <v>0</v>
      </c>
      <c r="CW45" s="92">
        <v>0</v>
      </c>
      <c r="CX45" s="92">
        <v>0</v>
      </c>
      <c r="CY45" s="92">
        <v>0</v>
      </c>
      <c r="CZ45" s="92">
        <v>0</v>
      </c>
      <c r="DA45" s="92">
        <v>0</v>
      </c>
      <c r="DB45" s="92">
        <v>0</v>
      </c>
      <c r="DC45" s="92">
        <v>0</v>
      </c>
      <c r="DD45" s="92">
        <v>0</v>
      </c>
      <c r="DE45" s="92">
        <v>0</v>
      </c>
      <c r="DF45" s="92">
        <v>0</v>
      </c>
      <c r="DG45" s="92">
        <v>0</v>
      </c>
      <c r="DH45" s="92">
        <v>0</v>
      </c>
      <c r="DI45" s="92">
        <v>0</v>
      </c>
      <c r="DJ45" s="92">
        <v>0</v>
      </c>
      <c r="DK45" s="92">
        <v>0</v>
      </c>
      <c r="DL45" s="92">
        <v>0</v>
      </c>
      <c r="DM45" s="92">
        <v>0</v>
      </c>
      <c r="DN45" s="92">
        <v>0</v>
      </c>
      <c r="DO45" s="92">
        <v>0</v>
      </c>
      <c r="DP45" s="92">
        <v>0</v>
      </c>
      <c r="DQ45" s="92">
        <v>0</v>
      </c>
      <c r="DR45" s="92">
        <v>0</v>
      </c>
      <c r="DS45" s="92">
        <v>0</v>
      </c>
      <c r="DT45" s="92">
        <v>0</v>
      </c>
      <c r="DU45" s="92">
        <v>0</v>
      </c>
      <c r="DV45" s="92">
        <v>0</v>
      </c>
      <c r="DW45" s="92">
        <v>0</v>
      </c>
      <c r="DX45" s="92">
        <v>0</v>
      </c>
      <c r="DY45" s="92">
        <v>0</v>
      </c>
      <c r="DZ45" s="92">
        <v>0</v>
      </c>
      <c r="EA45" s="92">
        <v>0</v>
      </c>
      <c r="EB45" s="92">
        <v>0</v>
      </c>
      <c r="EC45" s="92">
        <v>0</v>
      </c>
      <c r="ED45" s="92">
        <v>0</v>
      </c>
      <c r="EE45" s="92">
        <v>0</v>
      </c>
      <c r="EF45" s="92">
        <v>0</v>
      </c>
      <c r="EG45" s="92">
        <v>0</v>
      </c>
      <c r="EH45" s="92">
        <v>0</v>
      </c>
      <c r="EI45" s="92">
        <v>0</v>
      </c>
      <c r="EJ45" s="92">
        <v>0</v>
      </c>
      <c r="EK45" s="92">
        <v>0</v>
      </c>
      <c r="EL45" s="92">
        <v>0</v>
      </c>
      <c r="EM45" s="92">
        <v>0</v>
      </c>
      <c r="EN45" s="92">
        <v>0</v>
      </c>
      <c r="EO45" s="92">
        <v>0</v>
      </c>
      <c r="EP45" s="92">
        <v>0</v>
      </c>
      <c r="EQ45" s="92">
        <v>0</v>
      </c>
      <c r="ER45" s="92">
        <v>0</v>
      </c>
      <c r="ES45" s="92">
        <v>0</v>
      </c>
      <c r="ET45" s="92">
        <v>0</v>
      </c>
      <c r="EU45" s="92">
        <v>0</v>
      </c>
      <c r="EV45" s="92">
        <v>0</v>
      </c>
      <c r="EW45" s="92">
        <v>0</v>
      </c>
      <c r="EX45" s="92">
        <v>0</v>
      </c>
      <c r="EY45" s="92">
        <v>0</v>
      </c>
      <c r="EZ45" s="92">
        <v>0</v>
      </c>
      <c r="FA45" s="92">
        <v>0</v>
      </c>
      <c r="FB45" s="92">
        <v>0</v>
      </c>
      <c r="FC45" s="92">
        <v>0</v>
      </c>
      <c r="FD45" s="92">
        <v>0</v>
      </c>
      <c r="FE45" s="92">
        <v>0</v>
      </c>
      <c r="FF45" s="92">
        <v>0</v>
      </c>
      <c r="FG45" s="92">
        <v>0</v>
      </c>
      <c r="FH45" s="92">
        <v>0</v>
      </c>
      <c r="FI45" s="92">
        <v>0</v>
      </c>
      <c r="FJ45" s="92">
        <v>0</v>
      </c>
      <c r="FK45" s="92">
        <v>0</v>
      </c>
      <c r="FL45" s="92">
        <v>0</v>
      </c>
      <c r="FM45" s="92">
        <v>0</v>
      </c>
      <c r="FN45" s="92">
        <v>0</v>
      </c>
      <c r="FO45" s="92">
        <v>0</v>
      </c>
      <c r="FP45" s="92">
        <v>0</v>
      </c>
      <c r="FQ45" s="92">
        <v>0</v>
      </c>
      <c r="FR45" s="92">
        <v>0</v>
      </c>
      <c r="FS45" s="92">
        <v>0</v>
      </c>
      <c r="FT45" s="92">
        <v>0</v>
      </c>
      <c r="FU45" s="92">
        <v>0</v>
      </c>
      <c r="FV45" s="92">
        <v>0</v>
      </c>
      <c r="FW45" s="92">
        <v>0</v>
      </c>
      <c r="FX45" s="92">
        <v>0</v>
      </c>
      <c r="FY45" s="92">
        <v>0</v>
      </c>
      <c r="FZ45" s="92">
        <v>0</v>
      </c>
      <c r="GA45" s="92">
        <v>0</v>
      </c>
      <c r="GB45" s="92">
        <v>0</v>
      </c>
      <c r="GC45" s="92">
        <v>0</v>
      </c>
      <c r="GD45" s="92">
        <v>0</v>
      </c>
      <c r="GE45" s="92">
        <v>0</v>
      </c>
      <c r="GF45" s="92">
        <v>35559342</v>
      </c>
      <c r="GG45" s="47" t="s">
        <v>485</v>
      </c>
      <c r="GH45" s="47" t="s">
        <v>486</v>
      </c>
      <c r="GI45" s="93">
        <v>4098823365</v>
      </c>
      <c r="GJ45" s="47" t="s">
        <v>487</v>
      </c>
      <c r="GK45" s="47" t="s">
        <v>488</v>
      </c>
      <c r="GL45" s="47" t="s">
        <v>489</v>
      </c>
      <c r="GM45" s="93">
        <v>4098823915</v>
      </c>
      <c r="GN45" s="47" t="s">
        <v>490</v>
      </c>
      <c r="GO45" s="92" cm="1">
        <f t="array" ref="GO45">IFERROR(_xlfn.IFS(ResearchInput[[#This Row],[Type]]="HRI",SUMIFS('FTSE | FTFE'!$P$8:$P$77,'FTSE | FTFE'!$H$8:$H$77,A45),ResearchInput[[#This Row],[Type]]="UNIV",SUMIFS('FTSE | FTFE'!$P$104:$P$139,'FTSE | FTFE'!$H$104:$H$139,A45),OR(ResearchInput[[#This Row],[Type]]="TSTC",ResearchInput[[#This Row],[Type]]="LSC"),SUMIFS('FTSE | FTFE'!$O$88:$O$96,'FTSE | FTFE'!$H$88:$H$96,A45),ResearchInput[[#This Row],[Type]]="AHM",SUMIFS(Hidden!$H$43:$H$46,Hidden!$G$42:$G$45,A45)),"N/A")</f>
        <v>2060</v>
      </c>
      <c r="GP45" s="92" cm="1">
        <f t="array" ref="GP45">IFERROR(_xlfn.IFS(ResearchInput[[#This Row],[Type]]="HRI",SUMIFS('FTSE | FTFE'!$Q$8:$Q$77,'FTSE | FTFE'!$H$8:$H$77,A45),ResearchInput[[#This Row],[Type]]="UNIV",SUMIFS('FTSE | FTFE'!$Q$104:$Q$139,'FTSE | FTFE'!$H$104:$H$139,A45),OR(ResearchInput[[#This Row],[Type]]="TSTC",ResearchInput[[#This Row],[Type]]="LSC"),SUMIFS('FTSE | FTFE'!$P$88:$P$96,'FTSE | FTFE'!$H$88:$H$96,A45)),"N/A")</f>
        <v>84.23</v>
      </c>
      <c r="GQ45" s="92">
        <v>0</v>
      </c>
      <c r="GR45" s="92">
        <f>SUM(ResearchInput[[#This Row],[Fed.Comp]],ResearchInput[[#This Row],[Fed.Eng]],ResearchInput[[#This Row],[Fed.Geo]],ResearchInput[[#This Row],[Fed.Life]],ResearchInput[[#This Row],[Fed.Math]],ResearchInput[[#This Row],[Fed.Phys]],ResearchInput[[#This Row],[Fed.Psyc]],ResearchInput[[#This Row],[Fed.Soc]],ResearchInput[[#This Row],[Fed.Othr]],ResearchInput[[#This Row],[Fed.Non]])</f>
        <v>0</v>
      </c>
      <c r="GS45" s="92">
        <f>SUM(ResearchInput[[#This Row],[St.Comp]],ResearchInput[[#This Row],[St.Eng]],ResearchInput[[#This Row],[St.Geo]],ResearchInput[[#This Row],[St.Life]],ResearchInput[[#This Row],[St.Math]],ResearchInput[[#This Row],[St.Phys]],ResearchInput[[#This Row],[St.Psyc]],ResearchInput[[#This Row],[St.Soc]],ResearchInput[[#This Row],[St.Othr]],ResearchInput[[#This Row],[St.Non]])</f>
        <v>0</v>
      </c>
      <c r="GT45" s="92">
        <f>SUM(ResearchInput[[#This Row],[St.C&amp;G.Comp]],ResearchInput[[#This Row],[St.C&amp;G.Eng]],ResearchInput[[#This Row],[St.C&amp;G.Geo]],ResearchInput[[#This Row],[St.C&amp;G.Life]],ResearchInput[[#This Row],[St.C&amp;G.Math]],ResearchInput[[#This Row],[St.C&amp;G.Phys]],ResearchInput[[#This Row],[St.C&amp;G.Psyc]],ResearchInput[[#This Row],[St.C&amp;G.Soc]],ResearchInput[[#This Row],[St.C&amp;G.Othr]],ResearchInput[[#This Row],[St.C&amp;G.Non]])</f>
        <v>0</v>
      </c>
      <c r="GU45" s="92">
        <f>SUM(ResearchInput[[#This Row],[St.All.Comp]],ResearchInput[[#This Row],[St.All.Eng]],ResearchInput[[#This Row],[St.All.Geo]],ResearchInput[[#This Row],[St.All.Life]],ResearchInput[[#This Row],[St.All.Math]],ResearchInput[[#This Row],[St.All.Phys]],ResearchInput[[#This Row],[St.All.Psyc]],ResearchInput[[#This Row],[St.All.Soc]],ResearchInput[[#This Row],[St.All.Othr]],ResearchInput[[#This Row],[St.All.Non]])</f>
        <v>0</v>
      </c>
      <c r="GV45" s="92">
        <f>SUM(ResearchInput[[#This Row],[Inst.Comp]],ResearchInput[[#This Row],[Inst.Eng]],ResearchInput[[#This Row],[Inst.Geo]],ResearchInput[[#This Row],[Inst.Life]],ResearchInput[[#This Row],[Inst.Math]],ResearchInput[[#This Row],[Inst.Phys]],ResearchInput[[#This Row],[Inst.Psyc]],ResearchInput[[#This Row],[Inst.Soc]],ResearchInput[[#This Row],[Inst.Othr]],ResearchInput[[#This Row],[Inst.Non]])</f>
        <v>0</v>
      </c>
      <c r="GW45" s="92">
        <f>SUM(ResearchInput[[#This Row],[P4P.Comp]],ResearchInput[[#This Row],[P4P.Eng]],ResearchInput[[#This Row],[P4P.Geo]],ResearchInput[[#This Row],[P4P.Life]],ResearchInput[[#This Row],[P4P.Math]],ResearchInput[[#This Row],[P4P.Phys]],ResearchInput[[#This Row],[P4P.Psyc]],ResearchInput[[#This Row],[P4P.Soc]],ResearchInput[[#This Row],[P4P.Othr]],ResearchInput[[#This Row],[P4P.Non]])</f>
        <v>0</v>
      </c>
      <c r="GX45" s="92">
        <f>SUM(ResearchInput[[#This Row],[PNP.Comp]],ResearchInput[[#This Row],[PNP.Eng]],ResearchInput[[#This Row],[PNP.Geo]],ResearchInput[[#This Row],[PNP.Life]],ResearchInput[[#This Row],[PNP.Math]],ResearchInput[[#This Row],[PNP.Phys]],ResearchInput[[#This Row],[PNP.Psyc]],ResearchInput[[#This Row],[PNP.Soc]],ResearchInput[[#This Row],[PNP.Othr]],ResearchInput[[#This Row],[PNP.Non]])</f>
        <v>0</v>
      </c>
      <c r="GY45" s="92">
        <f>SUM(ResearchInput[[#This Row],[P.All.Comp]],ResearchInput[[#This Row],[P.All.Eng]],ResearchInput[[#This Row],[P.All.Geo]],ResearchInput[[#This Row],[P.All.Life]],ResearchInput[[#This Row],[P.All.Math]],ResearchInput[[#This Row],[P.All.Phys]],ResearchInput[[#This Row],[P.All.Psyc]],ResearchInput[[#This Row],[P.All.Soc]],ResearchInput[[#This Row],[P.All.Othr]],ResearchInput[[#This Row],[P.All.Non]])</f>
        <v>0</v>
      </c>
    </row>
    <row r="46" spans="1:207" s="47" customFormat="1" ht="27" customHeight="1" x14ac:dyDescent="0.25">
      <c r="A46" s="34" t="s">
        <v>210</v>
      </c>
      <c r="B46" s="34" t="s">
        <v>675</v>
      </c>
      <c r="C46" s="35" t="s">
        <v>676</v>
      </c>
      <c r="D46" s="35" t="s">
        <v>676</v>
      </c>
      <c r="E46" s="94">
        <v>804</v>
      </c>
      <c r="F46" s="91" t="s">
        <v>716</v>
      </c>
      <c r="G46" s="35" t="s">
        <v>553</v>
      </c>
      <c r="H46" s="96">
        <v>23485</v>
      </c>
      <c r="I46" s="92">
        <v>0</v>
      </c>
      <c r="J46" s="92">
        <v>0</v>
      </c>
      <c r="K46" s="92">
        <v>0</v>
      </c>
      <c r="L46" s="92">
        <v>0</v>
      </c>
      <c r="M46" s="92">
        <v>0</v>
      </c>
      <c r="N46" s="92">
        <v>0</v>
      </c>
      <c r="O46" s="92">
        <v>0</v>
      </c>
      <c r="P46" s="92">
        <v>0</v>
      </c>
      <c r="Q46" s="92">
        <v>0</v>
      </c>
      <c r="R46" s="92">
        <v>0</v>
      </c>
      <c r="S46" s="92">
        <v>0</v>
      </c>
      <c r="T46" s="92">
        <v>0</v>
      </c>
      <c r="U46" s="92">
        <v>0</v>
      </c>
      <c r="V46" s="92">
        <v>0</v>
      </c>
      <c r="W46" s="92">
        <v>0</v>
      </c>
      <c r="X46" s="92">
        <v>0</v>
      </c>
      <c r="Y46" s="92">
        <v>0</v>
      </c>
      <c r="Z46" s="92">
        <v>0</v>
      </c>
      <c r="AA46" s="92">
        <v>0</v>
      </c>
      <c r="AB46" s="92">
        <v>0</v>
      </c>
      <c r="AC46" s="92">
        <v>0</v>
      </c>
      <c r="AD46" s="92">
        <v>0</v>
      </c>
      <c r="AE46" s="92">
        <v>0</v>
      </c>
      <c r="AF46" s="92">
        <v>0</v>
      </c>
      <c r="AG46" s="92">
        <v>0</v>
      </c>
      <c r="AH46" s="92">
        <v>0</v>
      </c>
      <c r="AI46" s="92">
        <v>0</v>
      </c>
      <c r="AJ46" s="92">
        <v>0</v>
      </c>
      <c r="AK46" s="92">
        <v>0</v>
      </c>
      <c r="AL46" s="92">
        <v>0</v>
      </c>
      <c r="AM46" s="92">
        <v>0</v>
      </c>
      <c r="AN46" s="92">
        <v>0</v>
      </c>
      <c r="AO46" s="92">
        <v>0</v>
      </c>
      <c r="AP46" s="92">
        <v>0</v>
      </c>
      <c r="AQ46" s="92">
        <v>0</v>
      </c>
      <c r="AR46" s="92">
        <v>0</v>
      </c>
      <c r="AS46" s="92">
        <v>0</v>
      </c>
      <c r="AT46" s="92">
        <v>0</v>
      </c>
      <c r="AU46" s="92">
        <v>0</v>
      </c>
      <c r="AV46" s="92">
        <v>0</v>
      </c>
      <c r="AW46" s="92">
        <v>0</v>
      </c>
      <c r="AX46" s="92">
        <v>0</v>
      </c>
      <c r="AY46" s="92">
        <v>0</v>
      </c>
      <c r="AZ46" s="92">
        <v>0</v>
      </c>
      <c r="BA46" s="92">
        <v>0</v>
      </c>
      <c r="BB46" s="92">
        <v>0</v>
      </c>
      <c r="BC46" s="92">
        <v>0</v>
      </c>
      <c r="BD46" s="92">
        <v>0</v>
      </c>
      <c r="BE46" s="92">
        <v>0</v>
      </c>
      <c r="BF46" s="92">
        <v>0</v>
      </c>
      <c r="BG46" s="92">
        <v>0</v>
      </c>
      <c r="BH46" s="92">
        <v>0</v>
      </c>
      <c r="BI46" s="92">
        <v>0</v>
      </c>
      <c r="BJ46" s="92">
        <v>0</v>
      </c>
      <c r="BK46" s="92">
        <v>0</v>
      </c>
      <c r="BL46" s="92">
        <v>0</v>
      </c>
      <c r="BM46" s="92">
        <v>0</v>
      </c>
      <c r="BN46" s="92">
        <v>0</v>
      </c>
      <c r="BO46" s="92">
        <v>0</v>
      </c>
      <c r="BP46" s="92">
        <v>0</v>
      </c>
      <c r="BQ46" s="92">
        <v>0</v>
      </c>
      <c r="BR46" s="92">
        <v>0</v>
      </c>
      <c r="BS46" s="92">
        <v>0</v>
      </c>
      <c r="BT46" s="92">
        <v>0</v>
      </c>
      <c r="BU46" s="92">
        <v>0</v>
      </c>
      <c r="BV46" s="92">
        <v>0</v>
      </c>
      <c r="BW46" s="92">
        <v>0</v>
      </c>
      <c r="BX46" s="92">
        <v>0</v>
      </c>
      <c r="BY46" s="92">
        <v>0</v>
      </c>
      <c r="BZ46" s="92">
        <v>0</v>
      </c>
      <c r="CA46" s="92">
        <v>0</v>
      </c>
      <c r="CB46" s="92">
        <v>0</v>
      </c>
      <c r="CC46" s="92">
        <v>0</v>
      </c>
      <c r="CD46" s="92">
        <v>0</v>
      </c>
      <c r="CE46" s="92">
        <v>0</v>
      </c>
      <c r="CF46" s="92">
        <v>0</v>
      </c>
      <c r="CG46" s="92">
        <v>0</v>
      </c>
      <c r="CH46" s="92">
        <v>0</v>
      </c>
      <c r="CI46" s="92">
        <v>0</v>
      </c>
      <c r="CJ46" s="92">
        <v>0</v>
      </c>
      <c r="CK46" s="92">
        <v>0</v>
      </c>
      <c r="CL46" s="92">
        <v>0</v>
      </c>
      <c r="CM46" s="92">
        <v>0</v>
      </c>
      <c r="CN46" s="92">
        <v>0</v>
      </c>
      <c r="CO46" s="92">
        <v>0</v>
      </c>
      <c r="CP46" s="92">
        <v>0</v>
      </c>
      <c r="CQ46" s="92">
        <v>0</v>
      </c>
      <c r="CR46" s="92">
        <v>0</v>
      </c>
      <c r="CS46" s="92">
        <v>0</v>
      </c>
      <c r="CT46" s="92">
        <v>0</v>
      </c>
      <c r="CU46" s="92">
        <v>0</v>
      </c>
      <c r="CV46" s="92">
        <v>0</v>
      </c>
      <c r="CW46" s="92">
        <v>0</v>
      </c>
      <c r="CX46" s="92">
        <v>0</v>
      </c>
      <c r="CY46" s="92">
        <v>0</v>
      </c>
      <c r="CZ46" s="92">
        <v>0</v>
      </c>
      <c r="DA46" s="92">
        <v>0</v>
      </c>
      <c r="DB46" s="92">
        <v>0</v>
      </c>
      <c r="DC46" s="92">
        <v>0</v>
      </c>
      <c r="DD46" s="92">
        <v>0</v>
      </c>
      <c r="DE46" s="92">
        <v>0</v>
      </c>
      <c r="DF46" s="92">
        <v>0</v>
      </c>
      <c r="DG46" s="92">
        <v>0</v>
      </c>
      <c r="DH46" s="92">
        <v>0</v>
      </c>
      <c r="DI46" s="92">
        <v>0</v>
      </c>
      <c r="DJ46" s="92">
        <v>0</v>
      </c>
      <c r="DK46" s="92">
        <v>0</v>
      </c>
      <c r="DL46" s="92">
        <v>0</v>
      </c>
      <c r="DM46" s="92">
        <v>0</v>
      </c>
      <c r="DN46" s="92">
        <v>0</v>
      </c>
      <c r="DO46" s="92">
        <v>0</v>
      </c>
      <c r="DP46" s="92">
        <v>0</v>
      </c>
      <c r="DQ46" s="92">
        <v>0</v>
      </c>
      <c r="DR46" s="92">
        <v>0</v>
      </c>
      <c r="DS46" s="92">
        <v>0</v>
      </c>
      <c r="DT46" s="92">
        <v>0</v>
      </c>
      <c r="DU46" s="92">
        <v>0</v>
      </c>
      <c r="DV46" s="92">
        <v>0</v>
      </c>
      <c r="DW46" s="92">
        <v>0</v>
      </c>
      <c r="DX46" s="92">
        <v>0</v>
      </c>
      <c r="DY46" s="92">
        <v>0</v>
      </c>
      <c r="DZ46" s="92">
        <v>0</v>
      </c>
      <c r="EA46" s="92">
        <v>0</v>
      </c>
      <c r="EB46" s="92">
        <v>0</v>
      </c>
      <c r="EC46" s="92">
        <v>0</v>
      </c>
      <c r="ED46" s="92">
        <v>0</v>
      </c>
      <c r="EE46" s="92">
        <v>0</v>
      </c>
      <c r="EF46" s="92">
        <v>0</v>
      </c>
      <c r="EG46" s="92">
        <v>0</v>
      </c>
      <c r="EH46" s="92">
        <v>0</v>
      </c>
      <c r="EI46" s="92">
        <v>0</v>
      </c>
      <c r="EJ46" s="92">
        <v>0</v>
      </c>
      <c r="EK46" s="92">
        <v>0</v>
      </c>
      <c r="EL46" s="92">
        <v>0</v>
      </c>
      <c r="EM46" s="92">
        <v>0</v>
      </c>
      <c r="EN46" s="92">
        <v>0</v>
      </c>
      <c r="EO46" s="92">
        <v>0</v>
      </c>
      <c r="EP46" s="92">
        <v>0</v>
      </c>
      <c r="EQ46" s="92">
        <v>0</v>
      </c>
      <c r="ER46" s="92">
        <v>0</v>
      </c>
      <c r="ES46" s="92">
        <v>0</v>
      </c>
      <c r="ET46" s="92">
        <v>0</v>
      </c>
      <c r="EU46" s="92">
        <v>0</v>
      </c>
      <c r="EV46" s="92">
        <v>0</v>
      </c>
      <c r="EW46" s="92">
        <v>0</v>
      </c>
      <c r="EX46" s="92">
        <v>0</v>
      </c>
      <c r="EY46" s="92">
        <v>0</v>
      </c>
      <c r="EZ46" s="92">
        <v>0</v>
      </c>
      <c r="FA46" s="92">
        <v>0</v>
      </c>
      <c r="FB46" s="92">
        <v>0</v>
      </c>
      <c r="FC46" s="92">
        <v>0</v>
      </c>
      <c r="FD46" s="92">
        <v>0</v>
      </c>
      <c r="FE46" s="92">
        <v>0</v>
      </c>
      <c r="FF46" s="92">
        <v>0</v>
      </c>
      <c r="FG46" s="92">
        <v>0</v>
      </c>
      <c r="FH46" s="92">
        <v>0</v>
      </c>
      <c r="FI46" s="92">
        <v>0</v>
      </c>
      <c r="FJ46" s="92">
        <v>0</v>
      </c>
      <c r="FK46" s="92">
        <v>0</v>
      </c>
      <c r="FL46" s="92">
        <v>0</v>
      </c>
      <c r="FM46" s="92">
        <v>0</v>
      </c>
      <c r="FN46" s="92">
        <v>0</v>
      </c>
      <c r="FO46" s="92">
        <v>0</v>
      </c>
      <c r="FP46" s="92">
        <v>0</v>
      </c>
      <c r="FQ46" s="92">
        <v>0</v>
      </c>
      <c r="FR46" s="92">
        <v>0</v>
      </c>
      <c r="FS46" s="92">
        <v>0</v>
      </c>
      <c r="FT46" s="92">
        <v>0</v>
      </c>
      <c r="FU46" s="92">
        <v>0</v>
      </c>
      <c r="FV46" s="92">
        <v>0</v>
      </c>
      <c r="FW46" s="92">
        <v>0</v>
      </c>
      <c r="FX46" s="92">
        <v>0</v>
      </c>
      <c r="FY46" s="92">
        <v>0</v>
      </c>
      <c r="FZ46" s="92">
        <v>0</v>
      </c>
      <c r="GA46" s="92">
        <v>0</v>
      </c>
      <c r="GB46" s="92">
        <v>0</v>
      </c>
      <c r="GC46" s="92">
        <v>0</v>
      </c>
      <c r="GD46" s="92">
        <v>0</v>
      </c>
      <c r="GE46" s="92">
        <v>0</v>
      </c>
      <c r="GF46" s="92">
        <v>79712301</v>
      </c>
      <c r="GG46" s="47" t="s">
        <v>497</v>
      </c>
      <c r="GH46" s="47" t="s">
        <v>498</v>
      </c>
      <c r="GI46" s="93">
        <v>4099846125</v>
      </c>
      <c r="GJ46" s="47" t="s">
        <v>499</v>
      </c>
      <c r="GK46" s="47" t="s">
        <v>500</v>
      </c>
      <c r="GL46" s="47" t="s">
        <v>501</v>
      </c>
      <c r="GM46" s="93">
        <v>4099846129</v>
      </c>
      <c r="GN46" s="47" t="s">
        <v>502</v>
      </c>
      <c r="GO46" s="92" cm="1">
        <f t="array" ref="GO46">IFERROR(_xlfn.IFS(ResearchInput[[#This Row],[Type]]="HRI",SUMIFS('FTSE | FTFE'!$P$8:$P$77,'FTSE | FTFE'!$H$8:$H$77,A46),ResearchInput[[#This Row],[Type]]="UNIV",SUMIFS('FTSE | FTFE'!$P$104:$P$139,'FTSE | FTFE'!$H$104:$H$139,A46),OR(ResearchInput[[#This Row],[Type]]="TSTC",ResearchInput[[#This Row],[Type]]="LSC"),SUMIFS('FTSE | FTFE'!$O$88:$O$96,'FTSE | FTFE'!$H$88:$H$96,A46),ResearchInput[[#This Row],[Type]]="AHM",SUMIFS(Hidden!$H$43:$H$46,Hidden!$G$42:$G$45,A46)),"N/A")</f>
        <v>2668</v>
      </c>
      <c r="GP46" s="92" cm="1">
        <f t="array" ref="GP46">IFERROR(_xlfn.IFS(ResearchInput[[#This Row],[Type]]="HRI",SUMIFS('FTSE | FTFE'!$Q$8:$Q$77,'FTSE | FTFE'!$H$8:$H$77,A46),ResearchInput[[#This Row],[Type]]="UNIV",SUMIFS('FTSE | FTFE'!$Q$104:$Q$139,'FTSE | FTFE'!$H$104:$H$139,A46),OR(ResearchInput[[#This Row],[Type]]="TSTC",ResearchInput[[#This Row],[Type]]="LSC"),SUMIFS('FTSE | FTFE'!$P$88:$P$96,'FTSE | FTFE'!$H$88:$H$96,A46)),"N/A")</f>
        <v>116.64</v>
      </c>
      <c r="GQ46" s="92">
        <v>0</v>
      </c>
      <c r="GR46" s="92">
        <f>SUM(ResearchInput[[#This Row],[Fed.Comp]],ResearchInput[[#This Row],[Fed.Eng]],ResearchInput[[#This Row],[Fed.Geo]],ResearchInput[[#This Row],[Fed.Life]],ResearchInput[[#This Row],[Fed.Math]],ResearchInput[[#This Row],[Fed.Phys]],ResearchInput[[#This Row],[Fed.Psyc]],ResearchInput[[#This Row],[Fed.Soc]],ResearchInput[[#This Row],[Fed.Othr]],ResearchInput[[#This Row],[Fed.Non]])</f>
        <v>0</v>
      </c>
      <c r="GS46" s="92">
        <f>SUM(ResearchInput[[#This Row],[St.Comp]],ResearchInput[[#This Row],[St.Eng]],ResearchInput[[#This Row],[St.Geo]],ResearchInput[[#This Row],[St.Life]],ResearchInput[[#This Row],[St.Math]],ResearchInput[[#This Row],[St.Phys]],ResearchInput[[#This Row],[St.Psyc]],ResearchInput[[#This Row],[St.Soc]],ResearchInput[[#This Row],[St.Othr]],ResearchInput[[#This Row],[St.Non]])</f>
        <v>0</v>
      </c>
      <c r="GT46" s="92">
        <f>SUM(ResearchInput[[#This Row],[St.C&amp;G.Comp]],ResearchInput[[#This Row],[St.C&amp;G.Eng]],ResearchInput[[#This Row],[St.C&amp;G.Geo]],ResearchInput[[#This Row],[St.C&amp;G.Life]],ResearchInput[[#This Row],[St.C&amp;G.Math]],ResearchInput[[#This Row],[St.C&amp;G.Phys]],ResearchInput[[#This Row],[St.C&amp;G.Psyc]],ResearchInput[[#This Row],[St.C&amp;G.Soc]],ResearchInput[[#This Row],[St.C&amp;G.Othr]],ResearchInput[[#This Row],[St.C&amp;G.Non]])</f>
        <v>0</v>
      </c>
      <c r="GU46" s="92">
        <f>SUM(ResearchInput[[#This Row],[St.All.Comp]],ResearchInput[[#This Row],[St.All.Eng]],ResearchInput[[#This Row],[St.All.Geo]],ResearchInput[[#This Row],[St.All.Life]],ResearchInput[[#This Row],[St.All.Math]],ResearchInput[[#This Row],[St.All.Phys]],ResearchInput[[#This Row],[St.All.Psyc]],ResearchInput[[#This Row],[St.All.Soc]],ResearchInput[[#This Row],[St.All.Othr]],ResearchInput[[#This Row],[St.All.Non]])</f>
        <v>0</v>
      </c>
      <c r="GV46" s="92">
        <f>SUM(ResearchInput[[#This Row],[Inst.Comp]],ResearchInput[[#This Row],[Inst.Eng]],ResearchInput[[#This Row],[Inst.Geo]],ResearchInput[[#This Row],[Inst.Life]],ResearchInput[[#This Row],[Inst.Math]],ResearchInput[[#This Row],[Inst.Phys]],ResearchInput[[#This Row],[Inst.Psyc]],ResearchInput[[#This Row],[Inst.Soc]],ResearchInput[[#This Row],[Inst.Othr]],ResearchInput[[#This Row],[Inst.Non]])</f>
        <v>0</v>
      </c>
      <c r="GW46" s="92">
        <f>SUM(ResearchInput[[#This Row],[P4P.Comp]],ResearchInput[[#This Row],[P4P.Eng]],ResearchInput[[#This Row],[P4P.Geo]],ResearchInput[[#This Row],[P4P.Life]],ResearchInput[[#This Row],[P4P.Math]],ResearchInput[[#This Row],[P4P.Phys]],ResearchInput[[#This Row],[P4P.Psyc]],ResearchInput[[#This Row],[P4P.Soc]],ResearchInput[[#This Row],[P4P.Othr]],ResearchInput[[#This Row],[P4P.Non]])</f>
        <v>0</v>
      </c>
      <c r="GX46" s="92">
        <f>SUM(ResearchInput[[#This Row],[PNP.Comp]],ResearchInput[[#This Row],[PNP.Eng]],ResearchInput[[#This Row],[PNP.Geo]],ResearchInput[[#This Row],[PNP.Life]],ResearchInput[[#This Row],[PNP.Math]],ResearchInput[[#This Row],[PNP.Phys]],ResearchInput[[#This Row],[PNP.Psyc]],ResearchInput[[#This Row],[PNP.Soc]],ResearchInput[[#This Row],[PNP.Othr]],ResearchInput[[#This Row],[PNP.Non]])</f>
        <v>0</v>
      </c>
      <c r="GY46" s="92">
        <f>SUM(ResearchInput[[#This Row],[P.All.Comp]],ResearchInput[[#This Row],[P.All.Eng]],ResearchInput[[#This Row],[P.All.Geo]],ResearchInput[[#This Row],[P.All.Life]],ResearchInput[[#This Row],[P.All.Math]],ResearchInput[[#This Row],[P.All.Phys]],ResearchInput[[#This Row],[P.All.Psyc]],ResearchInput[[#This Row],[P.All.Soc]],ResearchInput[[#This Row],[P.All.Othr]],ResearchInput[[#This Row],[P.All.Non]])</f>
        <v>0</v>
      </c>
    </row>
    <row r="47" spans="1:207" s="47" customFormat="1" ht="27" customHeight="1" x14ac:dyDescent="0.25">
      <c r="A47" s="34" t="s">
        <v>377</v>
      </c>
      <c r="B47" s="34" t="s">
        <v>678</v>
      </c>
      <c r="C47" s="35" t="s">
        <v>677</v>
      </c>
      <c r="D47" s="35" t="s">
        <v>679</v>
      </c>
      <c r="E47" s="94">
        <v>805</v>
      </c>
      <c r="F47" s="35" t="s">
        <v>714</v>
      </c>
      <c r="G47" s="35" t="s">
        <v>553</v>
      </c>
      <c r="H47" s="96">
        <v>3606</v>
      </c>
      <c r="I47" s="92">
        <v>5210128</v>
      </c>
      <c r="J47" s="92">
        <v>0</v>
      </c>
      <c r="K47" s="92">
        <v>671709</v>
      </c>
      <c r="L47" s="92">
        <v>0</v>
      </c>
      <c r="M47" s="92">
        <v>22510751</v>
      </c>
      <c r="N47" s="92">
        <v>11055</v>
      </c>
      <c r="O47" s="92">
        <v>459243</v>
      </c>
      <c r="P47" s="92">
        <v>56039</v>
      </c>
      <c r="Q47" s="92">
        <v>0</v>
      </c>
      <c r="R47" s="92">
        <v>0</v>
      </c>
      <c r="S47" s="92">
        <v>0</v>
      </c>
      <c r="T47" s="92">
        <v>0</v>
      </c>
      <c r="U47" s="92">
        <v>0</v>
      </c>
      <c r="V47" s="92">
        <v>0</v>
      </c>
      <c r="W47" s="92">
        <v>0</v>
      </c>
      <c r="X47" s="92">
        <v>0</v>
      </c>
      <c r="Y47" s="92">
        <v>-69380</v>
      </c>
      <c r="Z47" s="92">
        <v>0</v>
      </c>
      <c r="AA47" s="92">
        <v>0</v>
      </c>
      <c r="AB47" s="92">
        <v>0</v>
      </c>
      <c r="AC47" s="92">
        <v>0</v>
      </c>
      <c r="AD47" s="92">
        <v>0</v>
      </c>
      <c r="AE47" s="92">
        <v>0</v>
      </c>
      <c r="AF47" s="92">
        <v>0</v>
      </c>
      <c r="AG47" s="92">
        <v>934643</v>
      </c>
      <c r="AH47" s="92">
        <v>0</v>
      </c>
      <c r="AI47" s="92">
        <v>92436</v>
      </c>
      <c r="AJ47" s="92">
        <v>0</v>
      </c>
      <c r="AK47" s="92">
        <v>0</v>
      </c>
      <c r="AL47" s="92">
        <v>1120</v>
      </c>
      <c r="AM47" s="92">
        <v>24065</v>
      </c>
      <c r="AN47" s="92">
        <v>275</v>
      </c>
      <c r="AO47" s="92">
        <v>181535</v>
      </c>
      <c r="AP47" s="92">
        <v>0</v>
      </c>
      <c r="AQ47" s="92">
        <v>17820</v>
      </c>
      <c r="AR47" s="92">
        <v>0</v>
      </c>
      <c r="AS47" s="92">
        <v>91832</v>
      </c>
      <c r="AT47" s="92">
        <v>0</v>
      </c>
      <c r="AU47" s="92">
        <v>0</v>
      </c>
      <c r="AV47" s="92">
        <v>0</v>
      </c>
      <c r="AW47" s="92">
        <v>0</v>
      </c>
      <c r="AX47" s="92">
        <v>0</v>
      </c>
      <c r="AY47" s="92">
        <v>0</v>
      </c>
      <c r="AZ47" s="92">
        <v>0</v>
      </c>
      <c r="BA47" s="92">
        <v>0</v>
      </c>
      <c r="BB47" s="92">
        <v>0</v>
      </c>
      <c r="BC47" s="92">
        <v>0</v>
      </c>
      <c r="BD47" s="92">
        <v>0</v>
      </c>
      <c r="BE47" s="92">
        <v>0</v>
      </c>
      <c r="BF47" s="92">
        <v>0</v>
      </c>
      <c r="BG47" s="92">
        <v>0</v>
      </c>
      <c r="BH47" s="92">
        <v>0</v>
      </c>
      <c r="BI47" s="92">
        <v>0</v>
      </c>
      <c r="BJ47" s="92">
        <v>0</v>
      </c>
      <c r="BK47" s="92">
        <v>0</v>
      </c>
      <c r="BL47" s="92">
        <v>0</v>
      </c>
      <c r="BM47" s="92">
        <v>0</v>
      </c>
      <c r="BN47" s="92">
        <v>0</v>
      </c>
      <c r="BO47" s="92">
        <v>0</v>
      </c>
      <c r="BP47" s="92">
        <v>0</v>
      </c>
      <c r="BQ47" s="92">
        <v>0</v>
      </c>
      <c r="BR47" s="92">
        <v>0</v>
      </c>
      <c r="BS47" s="92">
        <v>0</v>
      </c>
      <c r="BT47" s="92">
        <v>0</v>
      </c>
      <c r="BU47" s="92">
        <v>806129</v>
      </c>
      <c r="BV47" s="92">
        <v>0</v>
      </c>
      <c r="BW47" s="92">
        <v>0</v>
      </c>
      <c r="BX47" s="92">
        <v>0</v>
      </c>
      <c r="BY47" s="92">
        <v>417290</v>
      </c>
      <c r="BZ47" s="92">
        <v>0</v>
      </c>
      <c r="CA47" s="92">
        <v>68098</v>
      </c>
      <c r="CB47" s="92">
        <v>0</v>
      </c>
      <c r="CC47" s="92">
        <v>0</v>
      </c>
      <c r="CD47" s="92">
        <v>0</v>
      </c>
      <c r="CE47" s="92">
        <v>0</v>
      </c>
      <c r="CF47" s="92">
        <v>0</v>
      </c>
      <c r="CG47" s="92">
        <v>5078</v>
      </c>
      <c r="CH47" s="92">
        <v>0</v>
      </c>
      <c r="CI47" s="92">
        <v>0</v>
      </c>
      <c r="CJ47" s="92">
        <v>0</v>
      </c>
      <c r="CK47" s="92">
        <v>110044</v>
      </c>
      <c r="CL47" s="92">
        <v>0</v>
      </c>
      <c r="CM47" s="92">
        <v>54</v>
      </c>
      <c r="CN47" s="92">
        <v>0</v>
      </c>
      <c r="CO47" s="92">
        <v>399021</v>
      </c>
      <c r="CP47" s="92">
        <v>0</v>
      </c>
      <c r="CQ47" s="92">
        <v>0</v>
      </c>
      <c r="CR47" s="92">
        <v>0</v>
      </c>
      <c r="CS47" s="92">
        <v>1510920</v>
      </c>
      <c r="CT47" s="92">
        <v>0</v>
      </c>
      <c r="CU47" s="92">
        <v>267552</v>
      </c>
      <c r="CV47" s="92">
        <v>0</v>
      </c>
      <c r="CW47" s="92">
        <v>4044949</v>
      </c>
      <c r="CX47" s="92">
        <v>4070</v>
      </c>
      <c r="CY47" s="92">
        <v>74819</v>
      </c>
      <c r="CZ47" s="92">
        <v>2110</v>
      </c>
      <c r="DA47" s="92">
        <v>17149</v>
      </c>
      <c r="DB47" s="92">
        <v>0</v>
      </c>
      <c r="DC47" s="92">
        <v>0</v>
      </c>
      <c r="DD47" s="92">
        <v>0</v>
      </c>
      <c r="DE47" s="92">
        <v>691054</v>
      </c>
      <c r="DF47" s="92">
        <v>0</v>
      </c>
      <c r="DG47" s="92">
        <v>13715</v>
      </c>
      <c r="DH47" s="92">
        <v>0</v>
      </c>
      <c r="DI47" s="92">
        <v>184086</v>
      </c>
      <c r="DJ47" s="92">
        <v>0</v>
      </c>
      <c r="DK47" s="92">
        <v>0</v>
      </c>
      <c r="DL47" s="92">
        <v>0</v>
      </c>
      <c r="DM47" s="92">
        <v>566166</v>
      </c>
      <c r="DN47" s="92">
        <v>0</v>
      </c>
      <c r="DO47" s="92">
        <v>72051</v>
      </c>
      <c r="DP47" s="92">
        <v>0</v>
      </c>
      <c r="DQ47" s="92">
        <v>87506</v>
      </c>
      <c r="DR47" s="92">
        <v>0</v>
      </c>
      <c r="DS47" s="92">
        <v>0</v>
      </c>
      <c r="DT47" s="92">
        <v>0</v>
      </c>
      <c r="DU47" s="92">
        <v>699527</v>
      </c>
      <c r="DV47" s="92">
        <v>8105</v>
      </c>
      <c r="DW47" s="92">
        <v>1000</v>
      </c>
      <c r="DX47" s="92">
        <v>0</v>
      </c>
      <c r="DY47" s="92">
        <v>23059</v>
      </c>
      <c r="DZ47" s="92">
        <v>0</v>
      </c>
      <c r="EA47" s="92">
        <v>0</v>
      </c>
      <c r="EB47" s="92">
        <v>0</v>
      </c>
      <c r="EC47" s="92">
        <v>634683</v>
      </c>
      <c r="ED47" s="92">
        <v>0</v>
      </c>
      <c r="EE47" s="92">
        <v>7268</v>
      </c>
      <c r="EF47" s="92">
        <v>54204</v>
      </c>
      <c r="EG47" s="92">
        <v>0</v>
      </c>
      <c r="EH47" s="92">
        <v>0</v>
      </c>
      <c r="EI47" s="92">
        <v>0</v>
      </c>
      <c r="EJ47" s="92">
        <v>0</v>
      </c>
      <c r="EK47" s="92">
        <v>495820</v>
      </c>
      <c r="EL47" s="92">
        <v>0</v>
      </c>
      <c r="EM47" s="92">
        <v>0</v>
      </c>
      <c r="EN47" s="92">
        <v>0</v>
      </c>
      <c r="EO47" s="92">
        <v>3518033</v>
      </c>
      <c r="EP47" s="92">
        <v>0</v>
      </c>
      <c r="EQ47" s="92">
        <v>514359</v>
      </c>
      <c r="ER47" s="92">
        <v>0</v>
      </c>
      <c r="ES47" s="92">
        <v>14648995</v>
      </c>
      <c r="ET47" s="92">
        <v>0</v>
      </c>
      <c r="EU47" s="92">
        <v>246357</v>
      </c>
      <c r="EV47" s="92">
        <v>0</v>
      </c>
      <c r="EW47" s="92">
        <v>0</v>
      </c>
      <c r="EX47" s="92">
        <v>0</v>
      </c>
      <c r="EY47" s="92">
        <v>0</v>
      </c>
      <c r="EZ47" s="92">
        <v>0</v>
      </c>
      <c r="FA47" s="92">
        <v>1509195</v>
      </c>
      <c r="FB47" s="92">
        <v>0</v>
      </c>
      <c r="FC47" s="92">
        <v>438</v>
      </c>
      <c r="FD47" s="92">
        <v>0</v>
      </c>
      <c r="FE47" s="92">
        <v>0</v>
      </c>
      <c r="FF47" s="92">
        <v>0</v>
      </c>
      <c r="FG47" s="92">
        <v>0</v>
      </c>
      <c r="FH47" s="92">
        <v>0</v>
      </c>
      <c r="FI47" s="92">
        <v>0</v>
      </c>
      <c r="FJ47" s="92">
        <v>0</v>
      </c>
      <c r="FK47" s="92">
        <v>0</v>
      </c>
      <c r="FL47" s="92">
        <v>0</v>
      </c>
      <c r="FM47" s="92">
        <v>0</v>
      </c>
      <c r="FN47" s="92">
        <v>0</v>
      </c>
      <c r="FO47" s="92">
        <v>0</v>
      </c>
      <c r="FP47" s="92">
        <v>0</v>
      </c>
      <c r="FQ47" s="92">
        <v>0</v>
      </c>
      <c r="FR47" s="92">
        <v>0</v>
      </c>
      <c r="FS47" s="92">
        <v>0</v>
      </c>
      <c r="FT47" s="92">
        <v>0</v>
      </c>
      <c r="FU47" s="92">
        <v>0</v>
      </c>
      <c r="FV47" s="92">
        <v>0</v>
      </c>
      <c r="FW47" s="92">
        <v>0</v>
      </c>
      <c r="FX47" s="92">
        <v>0</v>
      </c>
      <c r="FY47" s="92">
        <v>0</v>
      </c>
      <c r="FZ47" s="92">
        <v>0</v>
      </c>
      <c r="GA47" s="92">
        <v>0</v>
      </c>
      <c r="GB47" s="92">
        <v>0</v>
      </c>
      <c r="GC47" s="92">
        <v>0</v>
      </c>
      <c r="GD47" s="92">
        <v>28918925</v>
      </c>
      <c r="GE47" s="92">
        <v>29140732</v>
      </c>
      <c r="GF47" s="92">
        <v>333300401</v>
      </c>
      <c r="GG47" s="47" t="s">
        <v>378</v>
      </c>
      <c r="GH47" s="47" t="s">
        <v>339</v>
      </c>
      <c r="GI47" s="93">
        <v>9362943405</v>
      </c>
      <c r="GJ47" s="47" t="s">
        <v>379</v>
      </c>
      <c r="GK47" s="47" t="s">
        <v>378</v>
      </c>
      <c r="GL47" s="47" t="s">
        <v>380</v>
      </c>
      <c r="GM47" s="93">
        <v>9362943860</v>
      </c>
      <c r="GN47" s="47" t="s">
        <v>381</v>
      </c>
      <c r="GO47" s="92" cm="1">
        <f t="array" ref="GO47">IFERROR(_xlfn.IFS(ResearchInput[[#This Row],[Type]]="HRI",SUMIFS('FTSE | FTFE'!$P$8:$P$77,'FTSE | FTFE'!$H$8:$H$77,A47),ResearchInput[[#This Row],[Type]]="UNIV",SUMIFS('FTSE | FTFE'!$P$104:$P$139,'FTSE | FTFE'!$H$104:$H$139,A47),OR(ResearchInput[[#This Row],[Type]]="TSTC",ResearchInput[[#This Row],[Type]]="LSC"),SUMIFS('FTSE | FTFE'!$O$88:$O$96,'FTSE | FTFE'!$H$88:$H$96,A47),ResearchInput[[#This Row],[Type]]="AHM",SUMIFS(Hidden!$H$43:$H$46,Hidden!$G$42:$G$45,A47)),"N/A")</f>
        <v>0</v>
      </c>
      <c r="GP47" s="92" t="str" cm="1">
        <f t="array" ref="GP47">IFERROR(_xlfn.IFS(ResearchInput[[#This Row],[Type]]="HRI",SUMIFS('FTSE | FTFE'!$Q$8:$Q$77,'FTSE | FTFE'!$H$8:$H$77,A47),ResearchInput[[#This Row],[Type]]="UNIV",SUMIFS('FTSE | FTFE'!$Q$104:$Q$139,'FTSE | FTFE'!$H$104:$H$139,A47),OR(ResearchInput[[#This Row],[Type]]="TSTC",ResearchInput[[#This Row],[Type]]="LSC"),SUMIFS('FTSE | FTFE'!$P$88:$P$96,'FTSE | FTFE'!$H$88:$H$96,A47)),"N/A")</f>
        <v>N/A</v>
      </c>
      <c r="GQ47" s="92">
        <v>0</v>
      </c>
      <c r="GR47" s="92">
        <f>SUM(ResearchInput[[#This Row],[Fed.Comp]],ResearchInput[[#This Row],[Fed.Eng]],ResearchInput[[#This Row],[Fed.Geo]],ResearchInput[[#This Row],[Fed.Life]],ResearchInput[[#This Row],[Fed.Math]],ResearchInput[[#This Row],[Fed.Phys]],ResearchInput[[#This Row],[Fed.Psyc]],ResearchInput[[#This Row],[Fed.Soc]],ResearchInput[[#This Row],[Fed.Othr]],ResearchInput[[#This Row],[Fed.Non]])</f>
        <v>6256926</v>
      </c>
      <c r="GS47" s="92">
        <f>SUM(ResearchInput[[#This Row],[St.Comp]],ResearchInput[[#This Row],[St.Eng]],ResearchInput[[#This Row],[St.Geo]],ResearchInput[[#This Row],[St.Life]],ResearchInput[[#This Row],[St.Math]],ResearchInput[[#This Row],[St.Phys]],ResearchInput[[#This Row],[St.Psyc]],ResearchInput[[#This Row],[St.Soc]],ResearchInput[[#This Row],[St.Othr]],ResearchInput[[#This Row],[St.Non]])</f>
        <v>0</v>
      </c>
      <c r="GT47" s="92">
        <f>SUM(ResearchInput[[#This Row],[St.C&amp;G.Comp]],ResearchInput[[#This Row],[St.C&amp;G.Eng]],ResearchInput[[#This Row],[St.C&amp;G.Geo]],ResearchInput[[#This Row],[St.C&amp;G.Life]],ResearchInput[[#This Row],[St.C&amp;G.Math]],ResearchInput[[#This Row],[St.C&amp;G.Phys]],ResearchInput[[#This Row],[St.C&amp;G.Psyc]],ResearchInput[[#This Row],[St.C&amp;G.Soc]],ResearchInput[[#This Row],[St.C&amp;G.Othr]],ResearchInput[[#This Row],[St.C&amp;G.Non]])</f>
        <v>781965</v>
      </c>
      <c r="GU47" s="92">
        <f>SUM(ResearchInput[[#This Row],[St.All.Comp]],ResearchInput[[#This Row],[St.All.Eng]],ResearchInput[[#This Row],[St.All.Geo]],ResearchInput[[#This Row],[St.All.Life]],ResearchInput[[#This Row],[St.All.Math]],ResearchInput[[#This Row],[St.All.Phys]],ResearchInput[[#This Row],[St.All.Psyc]],ResearchInput[[#This Row],[St.All.Soc]],ResearchInput[[#This Row],[St.All.Othr]],ResearchInput[[#This Row],[St.All.Non]])</f>
        <v>0</v>
      </c>
      <c r="GV47" s="92">
        <f>SUM(ResearchInput[[#This Row],[Inst.Comp]],ResearchInput[[#This Row],[Inst.Eng]],ResearchInput[[#This Row],[Inst.Geo]],ResearchInput[[#This Row],[Inst.Life]],ResearchInput[[#This Row],[Inst.Math]],ResearchInput[[#This Row],[Inst.Phys]],ResearchInput[[#This Row],[Inst.Psyc]],ResearchInput[[#This Row],[Inst.Soc]],ResearchInput[[#This Row],[Inst.Othr]],ResearchInput[[#This Row],[Inst.Non]])</f>
        <v>22602583</v>
      </c>
      <c r="GW47" s="92">
        <f>SUM(ResearchInput[[#This Row],[P4P.Comp]],ResearchInput[[#This Row],[P4P.Eng]],ResearchInput[[#This Row],[P4P.Geo]],ResearchInput[[#This Row],[P4P.Life]],ResearchInput[[#This Row],[P4P.Math]],ResearchInput[[#This Row],[P4P.Phys]],ResearchInput[[#This Row],[P4P.Psyc]],ResearchInput[[#This Row],[P4P.Soc]],ResearchInput[[#This Row],[P4P.Othr]],ResearchInput[[#This Row],[P4P.Non]])</f>
        <v>12175</v>
      </c>
      <c r="GX47" s="92">
        <f>SUM(ResearchInput[[#This Row],[PNP.Comp]],ResearchInput[[#This Row],[PNP.Eng]],ResearchInput[[#This Row],[PNP.Geo]],ResearchInput[[#This Row],[PNP.Life]],ResearchInput[[#This Row],[PNP.Math]],ResearchInput[[#This Row],[PNP.Phys]],ResearchInput[[#This Row],[PNP.Psyc]],ResearchInput[[#This Row],[PNP.Soc]],ResearchInput[[#This Row],[PNP.Othr]],ResearchInput[[#This Row],[PNP.Non]])</f>
        <v>483308</v>
      </c>
      <c r="GY47" s="92">
        <f>SUM(ResearchInput[[#This Row],[P.All.Comp]],ResearchInput[[#This Row],[P.All.Eng]],ResearchInput[[#This Row],[P.All.Geo]],ResearchInput[[#This Row],[P.All.Life]],ResearchInput[[#This Row],[P.All.Math]],ResearchInput[[#This Row],[P.All.Phys]],ResearchInput[[#This Row],[P.All.Psyc]],ResearchInput[[#This Row],[P.All.Soc]],ResearchInput[[#This Row],[P.All.Othr]],ResearchInput[[#This Row],[P.All.Non]])</f>
        <v>56314</v>
      </c>
    </row>
    <row r="48" spans="1:207" s="47" customFormat="1" ht="27" customHeight="1" x14ac:dyDescent="0.25">
      <c r="A48" s="34" t="s">
        <v>189</v>
      </c>
      <c r="B48" s="34" t="s">
        <v>671</v>
      </c>
      <c r="C48" s="35" t="s">
        <v>553</v>
      </c>
      <c r="D48" s="35" t="s">
        <v>673</v>
      </c>
      <c r="E48" s="94">
        <v>806</v>
      </c>
      <c r="F48" s="35" t="s">
        <v>714</v>
      </c>
      <c r="G48" s="35" t="s">
        <v>691</v>
      </c>
      <c r="H48" s="96">
        <v>3606</v>
      </c>
      <c r="I48" s="92">
        <v>5210128</v>
      </c>
      <c r="J48" s="92">
        <v>0</v>
      </c>
      <c r="K48" s="92">
        <v>671709</v>
      </c>
      <c r="L48" s="92">
        <v>0</v>
      </c>
      <c r="M48" s="92">
        <v>20994030</v>
      </c>
      <c r="N48" s="92">
        <v>11055</v>
      </c>
      <c r="O48" s="92">
        <v>439969</v>
      </c>
      <c r="P48" s="92">
        <v>56039</v>
      </c>
      <c r="Q48" s="92">
        <v>0</v>
      </c>
      <c r="R48" s="92">
        <v>0</v>
      </c>
      <c r="S48" s="92">
        <v>0</v>
      </c>
      <c r="T48" s="92">
        <v>0</v>
      </c>
      <c r="U48" s="92">
        <v>0</v>
      </c>
      <c r="V48" s="92">
        <v>0</v>
      </c>
      <c r="W48" s="92">
        <v>0</v>
      </c>
      <c r="X48" s="92">
        <v>0</v>
      </c>
      <c r="Y48" s="92">
        <v>-69380</v>
      </c>
      <c r="Z48" s="92">
        <v>0</v>
      </c>
      <c r="AA48" s="92">
        <v>0</v>
      </c>
      <c r="AB48" s="92">
        <v>0</v>
      </c>
      <c r="AC48" s="92">
        <v>0</v>
      </c>
      <c r="AD48" s="92">
        <v>0</v>
      </c>
      <c r="AE48" s="92">
        <v>0</v>
      </c>
      <c r="AF48" s="92">
        <v>0</v>
      </c>
      <c r="AG48" s="92">
        <v>934643</v>
      </c>
      <c r="AH48" s="92">
        <v>0</v>
      </c>
      <c r="AI48" s="92">
        <v>92436</v>
      </c>
      <c r="AJ48" s="92">
        <v>0</v>
      </c>
      <c r="AK48" s="92">
        <v>0</v>
      </c>
      <c r="AL48" s="92">
        <v>1120</v>
      </c>
      <c r="AM48" s="92">
        <v>24065</v>
      </c>
      <c r="AN48" s="92">
        <v>275</v>
      </c>
      <c r="AO48" s="92">
        <v>181535</v>
      </c>
      <c r="AP48" s="92">
        <v>0</v>
      </c>
      <c r="AQ48" s="92">
        <v>17820</v>
      </c>
      <c r="AR48" s="92">
        <v>0</v>
      </c>
      <c r="AS48" s="92">
        <v>65172</v>
      </c>
      <c r="AT48" s="92">
        <v>0</v>
      </c>
      <c r="AU48" s="92">
        <v>0</v>
      </c>
      <c r="AV48" s="92">
        <v>0</v>
      </c>
      <c r="AW48" s="92">
        <v>0</v>
      </c>
      <c r="AX48" s="92">
        <v>0</v>
      </c>
      <c r="AY48" s="92">
        <v>0</v>
      </c>
      <c r="AZ48" s="92">
        <v>0</v>
      </c>
      <c r="BA48" s="92">
        <v>0</v>
      </c>
      <c r="BB48" s="92">
        <v>0</v>
      </c>
      <c r="BC48" s="92">
        <v>0</v>
      </c>
      <c r="BD48" s="92">
        <v>0</v>
      </c>
      <c r="BE48" s="92">
        <v>0</v>
      </c>
      <c r="BF48" s="92">
        <v>0</v>
      </c>
      <c r="BG48" s="92">
        <v>0</v>
      </c>
      <c r="BH48" s="92">
        <v>0</v>
      </c>
      <c r="BI48" s="92">
        <v>0</v>
      </c>
      <c r="BJ48" s="92">
        <v>0</v>
      </c>
      <c r="BK48" s="92">
        <v>0</v>
      </c>
      <c r="BL48" s="92">
        <v>0</v>
      </c>
      <c r="BM48" s="92">
        <v>0</v>
      </c>
      <c r="BN48" s="92">
        <v>0</v>
      </c>
      <c r="BO48" s="92">
        <v>0</v>
      </c>
      <c r="BP48" s="92">
        <v>0</v>
      </c>
      <c r="BQ48" s="92">
        <v>0</v>
      </c>
      <c r="BR48" s="92">
        <v>0</v>
      </c>
      <c r="BS48" s="92">
        <v>0</v>
      </c>
      <c r="BT48" s="92">
        <v>0</v>
      </c>
      <c r="BU48" s="92">
        <v>806129</v>
      </c>
      <c r="BV48" s="92">
        <v>0</v>
      </c>
      <c r="BW48" s="92">
        <v>0</v>
      </c>
      <c r="BX48" s="92">
        <v>0</v>
      </c>
      <c r="BY48" s="92">
        <v>417290</v>
      </c>
      <c r="BZ48" s="92">
        <v>0</v>
      </c>
      <c r="CA48" s="92">
        <v>68098</v>
      </c>
      <c r="CB48" s="92">
        <v>0</v>
      </c>
      <c r="CC48" s="92">
        <v>0</v>
      </c>
      <c r="CD48" s="92">
        <v>0</v>
      </c>
      <c r="CE48" s="92">
        <v>0</v>
      </c>
      <c r="CF48" s="92">
        <v>0</v>
      </c>
      <c r="CG48" s="92">
        <v>5078</v>
      </c>
      <c r="CH48" s="92">
        <v>0</v>
      </c>
      <c r="CI48" s="92">
        <v>0</v>
      </c>
      <c r="CJ48" s="92">
        <v>0</v>
      </c>
      <c r="CK48" s="92">
        <v>110044</v>
      </c>
      <c r="CL48" s="92">
        <v>0</v>
      </c>
      <c r="CM48" s="92">
        <v>54</v>
      </c>
      <c r="CN48" s="92">
        <v>0</v>
      </c>
      <c r="CO48" s="92">
        <v>399021</v>
      </c>
      <c r="CP48" s="92">
        <v>0</v>
      </c>
      <c r="CQ48" s="92">
        <v>0</v>
      </c>
      <c r="CR48" s="92">
        <v>0</v>
      </c>
      <c r="CS48" s="92">
        <v>1510920</v>
      </c>
      <c r="CT48" s="92">
        <v>0</v>
      </c>
      <c r="CU48" s="92">
        <v>267552</v>
      </c>
      <c r="CV48" s="92">
        <v>0</v>
      </c>
      <c r="CW48" s="92">
        <v>2501568</v>
      </c>
      <c r="CX48" s="92">
        <v>4070</v>
      </c>
      <c r="CY48" s="92">
        <v>55545</v>
      </c>
      <c r="CZ48" s="92">
        <v>2110</v>
      </c>
      <c r="DA48" s="92">
        <v>17149</v>
      </c>
      <c r="DB48" s="92">
        <v>0</v>
      </c>
      <c r="DC48" s="92">
        <v>0</v>
      </c>
      <c r="DD48" s="92">
        <v>0</v>
      </c>
      <c r="DE48" s="92">
        <v>691054</v>
      </c>
      <c r="DF48" s="92">
        <v>0</v>
      </c>
      <c r="DG48" s="92">
        <v>13715</v>
      </c>
      <c r="DH48" s="92">
        <v>0</v>
      </c>
      <c r="DI48" s="92">
        <v>184086</v>
      </c>
      <c r="DJ48" s="92">
        <v>0</v>
      </c>
      <c r="DK48" s="92">
        <v>0</v>
      </c>
      <c r="DL48" s="92">
        <v>0</v>
      </c>
      <c r="DM48" s="92">
        <v>566166</v>
      </c>
      <c r="DN48" s="92">
        <v>0</v>
      </c>
      <c r="DO48" s="92">
        <v>72051</v>
      </c>
      <c r="DP48" s="92">
        <v>0</v>
      </c>
      <c r="DQ48" s="92">
        <v>87506</v>
      </c>
      <c r="DR48" s="92">
        <v>0</v>
      </c>
      <c r="DS48" s="92">
        <v>0</v>
      </c>
      <c r="DT48" s="92">
        <v>0</v>
      </c>
      <c r="DU48" s="92">
        <v>699527</v>
      </c>
      <c r="DV48" s="92">
        <v>8105</v>
      </c>
      <c r="DW48" s="92">
        <v>1000</v>
      </c>
      <c r="DX48" s="92">
        <v>0</v>
      </c>
      <c r="DY48" s="92">
        <v>23059</v>
      </c>
      <c r="DZ48" s="92">
        <v>0</v>
      </c>
      <c r="EA48" s="92">
        <v>0</v>
      </c>
      <c r="EB48" s="92">
        <v>0</v>
      </c>
      <c r="EC48" s="92">
        <v>634683</v>
      </c>
      <c r="ED48" s="92">
        <v>0</v>
      </c>
      <c r="EE48" s="92">
        <v>7268</v>
      </c>
      <c r="EF48" s="92">
        <v>54204</v>
      </c>
      <c r="EG48" s="92">
        <v>0</v>
      </c>
      <c r="EH48" s="92">
        <v>0</v>
      </c>
      <c r="EI48" s="92">
        <v>0</v>
      </c>
      <c r="EJ48" s="92">
        <v>0</v>
      </c>
      <c r="EK48" s="92">
        <v>495820</v>
      </c>
      <c r="EL48" s="92">
        <v>0</v>
      </c>
      <c r="EM48" s="92">
        <v>0</v>
      </c>
      <c r="EN48" s="92">
        <v>0</v>
      </c>
      <c r="EO48" s="92">
        <v>3518033</v>
      </c>
      <c r="EP48" s="92">
        <v>0</v>
      </c>
      <c r="EQ48" s="92">
        <v>514359</v>
      </c>
      <c r="ER48" s="92">
        <v>0</v>
      </c>
      <c r="ES48" s="92">
        <v>14648995</v>
      </c>
      <c r="ET48" s="92">
        <v>0</v>
      </c>
      <c r="EU48" s="92">
        <v>246357</v>
      </c>
      <c r="EV48" s="92">
        <v>0</v>
      </c>
      <c r="EW48" s="92">
        <v>0</v>
      </c>
      <c r="EX48" s="92">
        <v>0</v>
      </c>
      <c r="EY48" s="92">
        <v>0</v>
      </c>
      <c r="EZ48" s="92">
        <v>0</v>
      </c>
      <c r="FA48" s="92">
        <v>0</v>
      </c>
      <c r="FB48" s="92">
        <v>0</v>
      </c>
      <c r="FC48" s="92">
        <v>0</v>
      </c>
      <c r="FD48" s="92">
        <v>0</v>
      </c>
      <c r="FE48" s="92">
        <v>0</v>
      </c>
      <c r="FF48" s="92">
        <v>0</v>
      </c>
      <c r="FG48" s="92">
        <v>0</v>
      </c>
      <c r="FH48" s="92">
        <v>0</v>
      </c>
      <c r="FI48" s="92">
        <v>0</v>
      </c>
      <c r="FJ48" s="92">
        <v>0</v>
      </c>
      <c r="FK48" s="92">
        <v>0</v>
      </c>
      <c r="FL48" s="92">
        <v>0</v>
      </c>
      <c r="FM48" s="92">
        <v>0</v>
      </c>
      <c r="FN48" s="92">
        <v>0</v>
      </c>
      <c r="FO48" s="92">
        <v>0</v>
      </c>
      <c r="FP48" s="92">
        <v>0</v>
      </c>
      <c r="FQ48" s="92">
        <v>0</v>
      </c>
      <c r="FR48" s="92">
        <v>0</v>
      </c>
      <c r="FS48" s="92">
        <v>0</v>
      </c>
      <c r="FT48" s="92">
        <v>0</v>
      </c>
      <c r="FU48" s="92">
        <v>0</v>
      </c>
      <c r="FV48" s="92">
        <v>0</v>
      </c>
      <c r="FW48" s="92">
        <v>0</v>
      </c>
      <c r="FX48" s="92">
        <v>0</v>
      </c>
      <c r="FY48" s="92">
        <v>0</v>
      </c>
      <c r="FZ48" s="92">
        <v>0</v>
      </c>
      <c r="GA48" s="92">
        <v>0</v>
      </c>
      <c r="GB48" s="92">
        <v>0</v>
      </c>
      <c r="GC48" s="92">
        <v>0</v>
      </c>
      <c r="GD48" s="92">
        <v>27382930</v>
      </c>
      <c r="GE48" s="92">
        <v>27578077</v>
      </c>
      <c r="GF48" s="92">
        <v>306192335</v>
      </c>
      <c r="GG48" s="47" t="s">
        <v>378</v>
      </c>
      <c r="GH48" s="47" t="s">
        <v>339</v>
      </c>
      <c r="GI48" s="93">
        <v>9362943405</v>
      </c>
      <c r="GJ48" s="47" t="s">
        <v>382</v>
      </c>
      <c r="GK48" s="47" t="s">
        <v>378</v>
      </c>
      <c r="GL48" s="47" t="s">
        <v>380</v>
      </c>
      <c r="GM48" s="93">
        <v>9362943860</v>
      </c>
      <c r="GN48" s="47" t="s">
        <v>381</v>
      </c>
      <c r="GO48" s="92" cm="1">
        <f t="array" ref="GO48">IFERROR(_xlfn.IFS(ResearchInput[[#This Row],[Type]]="HRI",SUMIFS('FTSE | FTFE'!$P$8:$P$77,'FTSE | FTFE'!$H$8:$H$77,A48),ResearchInput[[#This Row],[Type]]="UNIV",SUMIFS('FTSE | FTFE'!$P$104:$P$139,'FTSE | FTFE'!$H$104:$H$139,A48),OR(ResearchInput[[#This Row],[Type]]="TSTC",ResearchInput[[#This Row],[Type]]="LSC"),SUMIFS('FTSE | FTFE'!$O$88:$O$96,'FTSE | FTFE'!$H$88:$H$96,A48),ResearchInput[[#This Row],[Type]]="AHM",SUMIFS(Hidden!$H$43:$H$46,Hidden!$G$42:$G$45,A48)),"N/A")</f>
        <v>17145</v>
      </c>
      <c r="GP48" s="92" cm="1">
        <f t="array" ref="GP48">IFERROR(_xlfn.IFS(ResearchInput[[#This Row],[Type]]="HRI",SUMIFS('FTSE | FTFE'!$Q$8:$Q$77,'FTSE | FTFE'!$H$8:$H$77,A48),ResearchInput[[#This Row],[Type]]="UNIV",SUMIFS('FTSE | FTFE'!$Q$104:$Q$139,'FTSE | FTFE'!$H$104:$H$139,A48),OR(ResearchInput[[#This Row],[Type]]="TSTC",ResearchInput[[#This Row],[Type]]="LSC"),SUMIFS('FTSE | FTFE'!$P$88:$P$96,'FTSE | FTFE'!$H$88:$H$96,A48)),"N/A")</f>
        <v>397</v>
      </c>
      <c r="GQ48" s="92">
        <v>0</v>
      </c>
      <c r="GR48" s="92">
        <f>SUM(ResearchInput[[#This Row],[Fed.Comp]],ResearchInput[[#This Row],[Fed.Eng]],ResearchInput[[#This Row],[Fed.Geo]],ResearchInput[[#This Row],[Fed.Life]],ResearchInput[[#This Row],[Fed.Math]],ResearchInput[[#This Row],[Fed.Phys]],ResearchInput[[#This Row],[Fed.Psyc]],ResearchInput[[#This Row],[Fed.Soc]],ResearchInput[[#This Row],[Fed.Othr]],ResearchInput[[#This Row],[Fed.Non]])</f>
        <v>6256926</v>
      </c>
      <c r="GS48" s="92">
        <f>SUM(ResearchInput[[#This Row],[St.Comp]],ResearchInput[[#This Row],[St.Eng]],ResearchInput[[#This Row],[St.Geo]],ResearchInput[[#This Row],[St.Life]],ResearchInput[[#This Row],[St.Math]],ResearchInput[[#This Row],[St.Phys]],ResearchInput[[#This Row],[St.Psyc]],ResearchInput[[#This Row],[St.Soc]],ResearchInput[[#This Row],[St.Othr]],ResearchInput[[#This Row],[St.Non]])</f>
        <v>0</v>
      </c>
      <c r="GT48" s="92">
        <f>SUM(ResearchInput[[#This Row],[St.C&amp;G.Comp]],ResearchInput[[#This Row],[St.C&amp;G.Eng]],ResearchInput[[#This Row],[St.C&amp;G.Geo]],ResearchInput[[#This Row],[St.C&amp;G.Life]],ResearchInput[[#This Row],[St.C&amp;G.Math]],ResearchInput[[#This Row],[St.C&amp;G.Phys]],ResearchInput[[#This Row],[St.C&amp;G.Psyc]],ResearchInput[[#This Row],[St.C&amp;G.Soc]],ResearchInput[[#This Row],[St.C&amp;G.Othr]],ResearchInput[[#This Row],[St.C&amp;G.Non]])</f>
        <v>781965</v>
      </c>
      <c r="GU48" s="92">
        <f>SUM(ResearchInput[[#This Row],[St.All.Comp]],ResearchInput[[#This Row],[St.All.Eng]],ResearchInput[[#This Row],[St.All.Geo]],ResearchInput[[#This Row],[St.All.Life]],ResearchInput[[#This Row],[St.All.Math]],ResearchInput[[#This Row],[St.All.Phys]],ResearchInput[[#This Row],[St.All.Psyc]],ResearchInput[[#This Row],[St.All.Soc]],ResearchInput[[#This Row],[St.All.Othr]],ResearchInput[[#This Row],[St.All.Non]])</f>
        <v>0</v>
      </c>
      <c r="GV48" s="92">
        <f>SUM(ResearchInput[[#This Row],[Inst.Comp]],ResearchInput[[#This Row],[Inst.Eng]],ResearchInput[[#This Row],[Inst.Geo]],ResearchInput[[#This Row],[Inst.Life]],ResearchInput[[#This Row],[Inst.Math]],ResearchInput[[#This Row],[Inst.Phys]],ResearchInput[[#This Row],[Inst.Psyc]],ResearchInput[[#This Row],[Inst.Soc]],ResearchInput[[#This Row],[Inst.Othr]],ResearchInput[[#This Row],[Inst.Non]])</f>
        <v>21059202</v>
      </c>
      <c r="GW48" s="92">
        <f>SUM(ResearchInput[[#This Row],[P4P.Comp]],ResearchInput[[#This Row],[P4P.Eng]],ResearchInput[[#This Row],[P4P.Geo]],ResearchInput[[#This Row],[P4P.Life]],ResearchInput[[#This Row],[P4P.Math]],ResearchInput[[#This Row],[P4P.Phys]],ResearchInput[[#This Row],[P4P.Psyc]],ResearchInput[[#This Row],[P4P.Soc]],ResearchInput[[#This Row],[P4P.Othr]],ResearchInput[[#This Row],[P4P.Non]])</f>
        <v>12175</v>
      </c>
      <c r="GX48" s="92">
        <f>SUM(ResearchInput[[#This Row],[PNP.Comp]],ResearchInput[[#This Row],[PNP.Eng]],ResearchInput[[#This Row],[PNP.Geo]],ResearchInput[[#This Row],[PNP.Life]],ResearchInput[[#This Row],[PNP.Math]],ResearchInput[[#This Row],[PNP.Phys]],ResearchInput[[#This Row],[PNP.Psyc]],ResearchInput[[#This Row],[PNP.Soc]],ResearchInput[[#This Row],[PNP.Othr]],ResearchInput[[#This Row],[PNP.Non]])</f>
        <v>464034</v>
      </c>
      <c r="GY48" s="92">
        <f>SUM(ResearchInput[[#This Row],[P.All.Comp]],ResearchInput[[#This Row],[P.All.Eng]],ResearchInput[[#This Row],[P.All.Geo]],ResearchInput[[#This Row],[P.All.Life]],ResearchInput[[#This Row],[P.All.Math]],ResearchInput[[#This Row],[P.All.Phys]],ResearchInput[[#This Row],[P.All.Psyc]],ResearchInput[[#This Row],[P.All.Soc]],ResearchInput[[#This Row],[P.All.Othr]],ResearchInput[[#This Row],[P.All.Non]])</f>
        <v>56314</v>
      </c>
    </row>
    <row r="49" spans="1:207" s="47" customFormat="1" ht="27" customHeight="1" x14ac:dyDescent="0.25">
      <c r="A49" s="34" t="s">
        <v>235</v>
      </c>
      <c r="B49" s="34" t="s">
        <v>671</v>
      </c>
      <c r="C49" s="35" t="s">
        <v>677</v>
      </c>
      <c r="D49" s="35" t="s">
        <v>673</v>
      </c>
      <c r="E49" s="94">
        <v>808</v>
      </c>
      <c r="F49" s="91" t="s">
        <v>716</v>
      </c>
      <c r="G49" s="35" t="s">
        <v>694</v>
      </c>
      <c r="H49" s="96">
        <v>3615</v>
      </c>
      <c r="I49" s="92">
        <v>38456690</v>
      </c>
      <c r="J49" s="92">
        <v>61667927</v>
      </c>
      <c r="K49" s="92">
        <v>3800511</v>
      </c>
      <c r="L49" s="92">
        <v>0</v>
      </c>
      <c r="M49" s="92">
        <v>56902894</v>
      </c>
      <c r="N49" s="92">
        <v>1355238</v>
      </c>
      <c r="O49" s="92">
        <v>4407893</v>
      </c>
      <c r="P49" s="92">
        <v>0</v>
      </c>
      <c r="Q49" s="92">
        <v>0</v>
      </c>
      <c r="R49" s="92">
        <v>0</v>
      </c>
      <c r="S49" s="92">
        <v>0</v>
      </c>
      <c r="T49" s="92">
        <v>0</v>
      </c>
      <c r="U49" s="92">
        <v>0</v>
      </c>
      <c r="V49" s="92">
        <v>0</v>
      </c>
      <c r="W49" s="92">
        <v>0</v>
      </c>
      <c r="X49" s="92">
        <v>0</v>
      </c>
      <c r="Y49" s="92">
        <v>0</v>
      </c>
      <c r="Z49" s="92">
        <v>0</v>
      </c>
      <c r="AA49" s="92">
        <v>0</v>
      </c>
      <c r="AB49" s="92">
        <v>0</v>
      </c>
      <c r="AC49" s="92">
        <v>0</v>
      </c>
      <c r="AD49" s="92">
        <v>0</v>
      </c>
      <c r="AE49" s="92">
        <v>0</v>
      </c>
      <c r="AF49" s="92">
        <v>0</v>
      </c>
      <c r="AG49" s="92">
        <v>10683574</v>
      </c>
      <c r="AH49" s="92">
        <v>0</v>
      </c>
      <c r="AI49" s="92">
        <v>436815</v>
      </c>
      <c r="AJ49" s="92">
        <v>0</v>
      </c>
      <c r="AK49" s="92">
        <v>0</v>
      </c>
      <c r="AL49" s="92">
        <v>352535</v>
      </c>
      <c r="AM49" s="92">
        <v>305217</v>
      </c>
      <c r="AN49" s="92">
        <v>0</v>
      </c>
      <c r="AO49" s="92">
        <v>1918130</v>
      </c>
      <c r="AP49" s="92">
        <v>1107994</v>
      </c>
      <c r="AQ49" s="92">
        <v>14159</v>
      </c>
      <c r="AR49" s="92">
        <v>0</v>
      </c>
      <c r="AS49" s="92">
        <v>2233683</v>
      </c>
      <c r="AT49" s="92">
        <v>17005</v>
      </c>
      <c r="AU49" s="92">
        <v>45498</v>
      </c>
      <c r="AV49" s="92">
        <v>0</v>
      </c>
      <c r="AW49" s="92">
        <v>0</v>
      </c>
      <c r="AX49" s="92">
        <v>0</v>
      </c>
      <c r="AY49" s="92">
        <v>0</v>
      </c>
      <c r="AZ49" s="92">
        <v>0</v>
      </c>
      <c r="BA49" s="92">
        <v>0</v>
      </c>
      <c r="BB49" s="92">
        <v>0</v>
      </c>
      <c r="BC49" s="92">
        <v>0</v>
      </c>
      <c r="BD49" s="92">
        <v>0</v>
      </c>
      <c r="BE49" s="92">
        <v>0</v>
      </c>
      <c r="BF49" s="92">
        <v>0</v>
      </c>
      <c r="BG49" s="92">
        <v>0</v>
      </c>
      <c r="BH49" s="92">
        <v>0</v>
      </c>
      <c r="BI49" s="92">
        <v>0</v>
      </c>
      <c r="BJ49" s="92">
        <v>0</v>
      </c>
      <c r="BK49" s="92">
        <v>0</v>
      </c>
      <c r="BL49" s="92">
        <v>0</v>
      </c>
      <c r="BM49" s="92">
        <v>0</v>
      </c>
      <c r="BN49" s="92">
        <v>0</v>
      </c>
      <c r="BO49" s="92">
        <v>0</v>
      </c>
      <c r="BP49" s="92">
        <v>0</v>
      </c>
      <c r="BQ49" s="92">
        <v>0</v>
      </c>
      <c r="BR49" s="92">
        <v>0</v>
      </c>
      <c r="BS49" s="92">
        <v>0</v>
      </c>
      <c r="BT49" s="92">
        <v>0</v>
      </c>
      <c r="BU49" s="92">
        <v>1730859</v>
      </c>
      <c r="BV49" s="92">
        <v>759066</v>
      </c>
      <c r="BW49" s="92">
        <v>24374</v>
      </c>
      <c r="BX49" s="92">
        <v>0</v>
      </c>
      <c r="BY49" s="92">
        <v>3166181</v>
      </c>
      <c r="BZ49" s="92">
        <v>69358</v>
      </c>
      <c r="CA49" s="92">
        <v>108048</v>
      </c>
      <c r="CB49" s="92">
        <v>0</v>
      </c>
      <c r="CC49" s="92">
        <v>7956245</v>
      </c>
      <c r="CD49" s="92">
        <v>3655726</v>
      </c>
      <c r="CE49" s="92">
        <v>504886</v>
      </c>
      <c r="CF49" s="92">
        <v>0</v>
      </c>
      <c r="CG49" s="92">
        <v>5385777</v>
      </c>
      <c r="CH49" s="92">
        <v>342527</v>
      </c>
      <c r="CI49" s="92">
        <v>353475</v>
      </c>
      <c r="CJ49" s="92">
        <v>0</v>
      </c>
      <c r="CK49" s="92">
        <v>3283096</v>
      </c>
      <c r="CL49" s="92">
        <v>699931</v>
      </c>
      <c r="CM49" s="92">
        <v>796516</v>
      </c>
      <c r="CN49" s="92">
        <v>0</v>
      </c>
      <c r="CO49" s="92">
        <v>484081</v>
      </c>
      <c r="CP49" s="92">
        <v>84786</v>
      </c>
      <c r="CQ49" s="92">
        <v>554558</v>
      </c>
      <c r="CR49" s="92">
        <v>0</v>
      </c>
      <c r="CS49" s="92">
        <v>6119216</v>
      </c>
      <c r="CT49" s="92">
        <v>3663915</v>
      </c>
      <c r="CU49" s="92">
        <v>1176323</v>
      </c>
      <c r="CV49" s="92">
        <v>0</v>
      </c>
      <c r="CW49" s="92">
        <v>11801171</v>
      </c>
      <c r="CX49" s="92">
        <v>600999</v>
      </c>
      <c r="CY49" s="92">
        <v>1260893</v>
      </c>
      <c r="CZ49" s="92">
        <v>0</v>
      </c>
      <c r="DA49" s="92">
        <v>1010980</v>
      </c>
      <c r="DB49" s="92">
        <v>917336</v>
      </c>
      <c r="DC49" s="92">
        <v>41413</v>
      </c>
      <c r="DD49" s="92">
        <v>0</v>
      </c>
      <c r="DE49" s="92">
        <v>2655373</v>
      </c>
      <c r="DF49" s="92">
        <v>0</v>
      </c>
      <c r="DG49" s="92">
        <v>55756</v>
      </c>
      <c r="DH49" s="92">
        <v>0</v>
      </c>
      <c r="DI49" s="92">
        <v>4146851</v>
      </c>
      <c r="DJ49" s="92">
        <v>1226622</v>
      </c>
      <c r="DK49" s="92">
        <v>0</v>
      </c>
      <c r="DL49" s="92">
        <v>0</v>
      </c>
      <c r="DM49" s="92">
        <v>2769353</v>
      </c>
      <c r="DN49" s="92">
        <v>2470</v>
      </c>
      <c r="DO49" s="92">
        <v>130254</v>
      </c>
      <c r="DP49" s="92">
        <v>0</v>
      </c>
      <c r="DQ49" s="92">
        <v>508554</v>
      </c>
      <c r="DR49" s="92">
        <v>0</v>
      </c>
      <c r="DS49" s="92">
        <v>0</v>
      </c>
      <c r="DT49" s="92">
        <v>0</v>
      </c>
      <c r="DU49" s="92">
        <v>1324787</v>
      </c>
      <c r="DV49" s="92">
        <v>8914</v>
      </c>
      <c r="DW49" s="92">
        <v>7483</v>
      </c>
      <c r="DX49" s="92">
        <v>0</v>
      </c>
      <c r="DY49" s="92">
        <v>4471015</v>
      </c>
      <c r="DZ49" s="92">
        <v>6281511</v>
      </c>
      <c r="EA49" s="92">
        <v>122107</v>
      </c>
      <c r="EB49" s="92">
        <v>0</v>
      </c>
      <c r="EC49" s="92">
        <v>6035641</v>
      </c>
      <c r="ED49" s="92">
        <v>247854</v>
      </c>
      <c r="EE49" s="92">
        <v>385579</v>
      </c>
      <c r="EF49" s="92">
        <v>0</v>
      </c>
      <c r="EG49" s="92">
        <v>51071</v>
      </c>
      <c r="EH49" s="92">
        <v>607672</v>
      </c>
      <c r="EI49" s="92">
        <v>0</v>
      </c>
      <c r="EJ49" s="92">
        <v>0</v>
      </c>
      <c r="EK49" s="92">
        <v>4026637</v>
      </c>
      <c r="EL49" s="92">
        <v>367870</v>
      </c>
      <c r="EM49" s="92">
        <v>36955</v>
      </c>
      <c r="EN49" s="92">
        <v>0</v>
      </c>
      <c r="EO49" s="92">
        <v>21780507</v>
      </c>
      <c r="EP49" s="92">
        <v>44964142</v>
      </c>
      <c r="EQ49" s="92">
        <v>1585866</v>
      </c>
      <c r="ER49" s="92">
        <v>0</v>
      </c>
      <c r="ES49" s="92">
        <v>21487576</v>
      </c>
      <c r="ET49" s="92">
        <v>0</v>
      </c>
      <c r="EU49" s="92">
        <v>1865607</v>
      </c>
      <c r="EV49" s="92">
        <v>0</v>
      </c>
      <c r="EW49" s="92">
        <v>652836</v>
      </c>
      <c r="EX49" s="92">
        <v>1874624</v>
      </c>
      <c r="EY49" s="92">
        <v>0</v>
      </c>
      <c r="EZ49" s="92">
        <v>0</v>
      </c>
      <c r="FA49" s="92">
        <v>3108036</v>
      </c>
      <c r="FB49" s="92">
        <v>128597</v>
      </c>
      <c r="FC49" s="92">
        <v>212300</v>
      </c>
      <c r="FD49" s="92">
        <v>0</v>
      </c>
      <c r="FE49" s="92">
        <v>0</v>
      </c>
      <c r="FF49" s="92">
        <v>0</v>
      </c>
      <c r="FG49" s="92">
        <v>0</v>
      </c>
      <c r="FH49" s="92">
        <v>0</v>
      </c>
      <c r="FI49" s="92">
        <v>0</v>
      </c>
      <c r="FJ49" s="92">
        <v>0</v>
      </c>
      <c r="FK49" s="92">
        <v>0</v>
      </c>
      <c r="FL49" s="92">
        <v>0</v>
      </c>
      <c r="FM49" s="92">
        <v>0</v>
      </c>
      <c r="FN49" s="92">
        <v>0</v>
      </c>
      <c r="FO49" s="92">
        <v>0</v>
      </c>
      <c r="FP49" s="92">
        <v>0</v>
      </c>
      <c r="FQ49" s="92">
        <v>0</v>
      </c>
      <c r="FR49" s="92">
        <v>0</v>
      </c>
      <c r="FS49" s="92">
        <v>0</v>
      </c>
      <c r="FT49" s="92">
        <v>0</v>
      </c>
      <c r="FU49" s="92">
        <v>0</v>
      </c>
      <c r="FV49" s="92">
        <v>0</v>
      </c>
      <c r="FW49" s="92">
        <v>0</v>
      </c>
      <c r="FX49" s="92">
        <v>0</v>
      </c>
      <c r="FY49" s="92">
        <v>0</v>
      </c>
      <c r="FZ49" s="92">
        <v>0</v>
      </c>
      <c r="GA49" s="92">
        <v>0</v>
      </c>
      <c r="GB49" s="92">
        <v>0</v>
      </c>
      <c r="GC49" s="92">
        <v>0</v>
      </c>
      <c r="GD49" s="92">
        <v>166591153</v>
      </c>
      <c r="GE49" s="92">
        <v>170216515</v>
      </c>
      <c r="GF49" s="92">
        <v>617807105</v>
      </c>
      <c r="GG49" s="47" t="s">
        <v>509</v>
      </c>
      <c r="GH49" s="47" t="s">
        <v>756</v>
      </c>
      <c r="GI49" s="93">
        <v>5122452087</v>
      </c>
      <c r="GJ49" s="47" t="s">
        <v>757</v>
      </c>
      <c r="GK49" s="47" t="s">
        <v>758</v>
      </c>
      <c r="GL49" s="47" t="s">
        <v>759</v>
      </c>
      <c r="GM49" s="93">
        <v>5122452776</v>
      </c>
      <c r="GN49" s="47" t="s">
        <v>760</v>
      </c>
      <c r="GO49" s="92" cm="1">
        <f t="array" ref="GO49">IFERROR(_xlfn.IFS(ResearchInput[[#This Row],[Type]]="HRI",SUMIFS('FTSE | FTFE'!$P$8:$P$77,'FTSE | FTFE'!$H$8:$H$77,A49),ResearchInput[[#This Row],[Type]]="UNIV",SUMIFS('FTSE | FTFE'!$P$104:$P$139,'FTSE | FTFE'!$H$104:$H$139,A49),OR(ResearchInput[[#This Row],[Type]]="TSTC",ResearchInput[[#This Row],[Type]]="LSC"),SUMIFS('FTSE | FTFE'!$O$88:$O$96,'FTSE | FTFE'!$H$88:$H$96,A49),ResearchInput[[#This Row],[Type]]="AHM",SUMIFS(Hidden!$H$43:$H$46,Hidden!$G$42:$G$45,A49)),"N/A")</f>
        <v>35201</v>
      </c>
      <c r="GP49" s="92" cm="1">
        <f t="array" ref="GP49">IFERROR(_xlfn.IFS(ResearchInput[[#This Row],[Type]]="HRI",SUMIFS('FTSE | FTFE'!$Q$8:$Q$77,'FTSE | FTFE'!$H$8:$H$77,A49),ResearchInput[[#This Row],[Type]]="UNIV",SUMIFS('FTSE | FTFE'!$Q$104:$Q$139,'FTSE | FTFE'!$H$104:$H$139,A49),OR(ResearchInput[[#This Row],[Type]]="TSTC",ResearchInput[[#This Row],[Type]]="LSC"),SUMIFS('FTSE | FTFE'!$P$88:$P$96,'FTSE | FTFE'!$H$88:$H$96,A49)),"N/A")</f>
        <v>493</v>
      </c>
      <c r="GQ49" s="92">
        <v>0</v>
      </c>
      <c r="GR49" s="92">
        <v>51058394</v>
      </c>
      <c r="GS49" s="92">
        <v>62775921</v>
      </c>
      <c r="GT49" s="92">
        <v>4251485</v>
      </c>
      <c r="GU49" s="92">
        <v>0</v>
      </c>
      <c r="GV49" s="92">
        <v>59136577</v>
      </c>
      <c r="GW49" s="92">
        <v>1724778</v>
      </c>
      <c r="GX49" s="92">
        <v>4758608</v>
      </c>
      <c r="GY49" s="92">
        <v>0</v>
      </c>
    </row>
    <row r="50" spans="1:207" s="47" customFormat="1" ht="27" customHeight="1" x14ac:dyDescent="0.25">
      <c r="A50" s="34" t="s">
        <v>190</v>
      </c>
      <c r="B50" s="34" t="s">
        <v>671</v>
      </c>
      <c r="C50" s="35" t="s">
        <v>677</v>
      </c>
      <c r="D50" s="35" t="s">
        <v>673</v>
      </c>
      <c r="E50" s="94">
        <v>809</v>
      </c>
      <c r="F50" s="35" t="s">
        <v>714</v>
      </c>
      <c r="G50" s="35" t="s">
        <v>690</v>
      </c>
      <c r="H50" s="96">
        <v>3625</v>
      </c>
      <c r="I50" s="92">
        <v>4105267</v>
      </c>
      <c r="J50" s="92">
        <v>0</v>
      </c>
      <c r="K50" s="92">
        <v>1297105</v>
      </c>
      <c r="L50" s="92">
        <v>0</v>
      </c>
      <c r="M50" s="92">
        <v>1237761</v>
      </c>
      <c r="N50" s="92">
        <v>32466</v>
      </c>
      <c r="O50" s="92">
        <v>261070</v>
      </c>
      <c r="P50" s="92">
        <v>226251</v>
      </c>
      <c r="Q50" s="92">
        <v>0</v>
      </c>
      <c r="R50" s="92">
        <v>0</v>
      </c>
      <c r="S50" s="92">
        <v>0</v>
      </c>
      <c r="T50" s="92">
        <v>0</v>
      </c>
      <c r="U50" s="92">
        <v>0</v>
      </c>
      <c r="V50" s="92">
        <v>0</v>
      </c>
      <c r="W50" s="92">
        <v>0</v>
      </c>
      <c r="X50" s="92">
        <v>0</v>
      </c>
      <c r="Y50" s="92">
        <v>-336855</v>
      </c>
      <c r="Z50" s="92">
        <v>0</v>
      </c>
      <c r="AA50" s="92">
        <v>0</v>
      </c>
      <c r="AB50" s="92">
        <v>0</v>
      </c>
      <c r="AC50" s="92">
        <v>0</v>
      </c>
      <c r="AD50" s="92">
        <v>0</v>
      </c>
      <c r="AE50" s="92">
        <v>0</v>
      </c>
      <c r="AF50" s="92">
        <v>0</v>
      </c>
      <c r="AG50" s="92">
        <v>0</v>
      </c>
      <c r="AH50" s="92">
        <v>0</v>
      </c>
      <c r="AI50" s="92">
        <v>0</v>
      </c>
      <c r="AJ50" s="92">
        <v>0</v>
      </c>
      <c r="AK50" s="92">
        <v>0</v>
      </c>
      <c r="AL50" s="92">
        <v>0</v>
      </c>
      <c r="AM50" s="92">
        <v>0</v>
      </c>
      <c r="AN50" s="92">
        <v>0</v>
      </c>
      <c r="AO50" s="92">
        <v>280513</v>
      </c>
      <c r="AP50" s="92">
        <v>0</v>
      </c>
      <c r="AQ50" s="92">
        <v>0</v>
      </c>
      <c r="AR50" s="92">
        <v>0</v>
      </c>
      <c r="AS50" s="92">
        <v>0</v>
      </c>
      <c r="AT50" s="92">
        <v>0</v>
      </c>
      <c r="AU50" s="92">
        <v>0</v>
      </c>
      <c r="AV50" s="92">
        <v>65896</v>
      </c>
      <c r="AW50" s="92">
        <v>0</v>
      </c>
      <c r="AX50" s="92">
        <v>0</v>
      </c>
      <c r="AY50" s="92">
        <v>0</v>
      </c>
      <c r="AZ50" s="92">
        <v>0</v>
      </c>
      <c r="BA50" s="92">
        <v>0</v>
      </c>
      <c r="BB50" s="92">
        <v>0</v>
      </c>
      <c r="BC50" s="92">
        <v>0</v>
      </c>
      <c r="BD50" s="92">
        <v>0</v>
      </c>
      <c r="BE50" s="92">
        <v>0</v>
      </c>
      <c r="BF50" s="92">
        <v>0</v>
      </c>
      <c r="BG50" s="92">
        <v>0</v>
      </c>
      <c r="BH50" s="92">
        <v>0</v>
      </c>
      <c r="BI50" s="92">
        <v>0</v>
      </c>
      <c r="BJ50" s="92">
        <v>0</v>
      </c>
      <c r="BK50" s="92">
        <v>0</v>
      </c>
      <c r="BL50" s="92">
        <v>0</v>
      </c>
      <c r="BM50" s="92">
        <v>0</v>
      </c>
      <c r="BN50" s="92">
        <v>0</v>
      </c>
      <c r="BO50" s="92">
        <v>0</v>
      </c>
      <c r="BP50" s="92">
        <v>0</v>
      </c>
      <c r="BQ50" s="92">
        <v>0</v>
      </c>
      <c r="BR50" s="92">
        <v>0</v>
      </c>
      <c r="BS50" s="92">
        <v>0</v>
      </c>
      <c r="BT50" s="92">
        <v>0</v>
      </c>
      <c r="BU50" s="92">
        <v>0</v>
      </c>
      <c r="BV50" s="92">
        <v>0</v>
      </c>
      <c r="BW50" s="92">
        <v>0</v>
      </c>
      <c r="BX50" s="92">
        <v>0</v>
      </c>
      <c r="BY50" s="92">
        <v>0</v>
      </c>
      <c r="BZ50" s="92">
        <v>0</v>
      </c>
      <c r="CA50" s="92">
        <v>0</v>
      </c>
      <c r="CB50" s="92">
        <v>0</v>
      </c>
      <c r="CC50" s="92">
        <v>0</v>
      </c>
      <c r="CD50" s="92">
        <v>0</v>
      </c>
      <c r="CE50" s="92">
        <v>0</v>
      </c>
      <c r="CF50" s="92">
        <v>0</v>
      </c>
      <c r="CG50" s="92">
        <v>0</v>
      </c>
      <c r="CH50" s="92">
        <v>0</v>
      </c>
      <c r="CI50" s="92">
        <v>0</v>
      </c>
      <c r="CJ50" s="92">
        <v>0</v>
      </c>
      <c r="CK50" s="92">
        <v>0</v>
      </c>
      <c r="CL50" s="92">
        <v>0</v>
      </c>
      <c r="CM50" s="92">
        <v>0</v>
      </c>
      <c r="CN50" s="92">
        <v>0</v>
      </c>
      <c r="CO50" s="92">
        <v>381</v>
      </c>
      <c r="CP50" s="92">
        <v>0</v>
      </c>
      <c r="CQ50" s="92">
        <v>0</v>
      </c>
      <c r="CR50" s="92">
        <v>55897</v>
      </c>
      <c r="CS50" s="92">
        <v>1307203</v>
      </c>
      <c r="CT50" s="92">
        <v>0</v>
      </c>
      <c r="CU50" s="92">
        <v>1297105</v>
      </c>
      <c r="CV50" s="92">
        <v>0</v>
      </c>
      <c r="CW50" s="92">
        <v>927465</v>
      </c>
      <c r="CX50" s="92">
        <v>32466</v>
      </c>
      <c r="CY50" s="92">
        <v>242757</v>
      </c>
      <c r="CZ50" s="92">
        <v>234137</v>
      </c>
      <c r="DA50" s="92">
        <v>0</v>
      </c>
      <c r="DB50" s="92">
        <v>0</v>
      </c>
      <c r="DC50" s="92">
        <v>0</v>
      </c>
      <c r="DD50" s="92">
        <v>0</v>
      </c>
      <c r="DE50" s="92">
        <v>0</v>
      </c>
      <c r="DF50" s="92">
        <v>0</v>
      </c>
      <c r="DG50" s="92">
        <v>0</v>
      </c>
      <c r="DH50" s="92">
        <v>0</v>
      </c>
      <c r="DI50" s="92">
        <v>7277</v>
      </c>
      <c r="DJ50" s="92">
        <v>0</v>
      </c>
      <c r="DK50" s="92">
        <v>0</v>
      </c>
      <c r="DL50" s="92">
        <v>0</v>
      </c>
      <c r="DM50" s="92">
        <v>0</v>
      </c>
      <c r="DN50" s="92">
        <v>0</v>
      </c>
      <c r="DO50" s="92">
        <v>18313</v>
      </c>
      <c r="DP50" s="92">
        <v>0</v>
      </c>
      <c r="DQ50" s="92">
        <v>0</v>
      </c>
      <c r="DR50" s="92">
        <v>0</v>
      </c>
      <c r="DS50" s="92">
        <v>0</v>
      </c>
      <c r="DT50" s="92">
        <v>0</v>
      </c>
      <c r="DU50" s="92">
        <v>0</v>
      </c>
      <c r="DV50" s="92">
        <v>0</v>
      </c>
      <c r="DW50" s="92">
        <v>0</v>
      </c>
      <c r="DX50" s="92">
        <v>0</v>
      </c>
      <c r="DY50" s="92">
        <v>0</v>
      </c>
      <c r="DZ50" s="92">
        <v>0</v>
      </c>
      <c r="EA50" s="92">
        <v>0</v>
      </c>
      <c r="EB50" s="92">
        <v>0</v>
      </c>
      <c r="EC50" s="92">
        <v>0</v>
      </c>
      <c r="ED50" s="92">
        <v>0</v>
      </c>
      <c r="EE50" s="92">
        <v>0</v>
      </c>
      <c r="EF50" s="92">
        <v>0</v>
      </c>
      <c r="EG50" s="92">
        <v>0</v>
      </c>
      <c r="EH50" s="92">
        <v>0</v>
      </c>
      <c r="EI50" s="92">
        <v>0</v>
      </c>
      <c r="EJ50" s="92">
        <v>0</v>
      </c>
      <c r="EK50" s="92">
        <v>0</v>
      </c>
      <c r="EL50" s="92">
        <v>0</v>
      </c>
      <c r="EM50" s="92">
        <v>0</v>
      </c>
      <c r="EN50" s="92">
        <v>0</v>
      </c>
      <c r="EO50" s="92">
        <v>2734445</v>
      </c>
      <c r="EP50" s="92">
        <v>0</v>
      </c>
      <c r="EQ50" s="92">
        <v>0</v>
      </c>
      <c r="ER50" s="92">
        <v>0</v>
      </c>
      <c r="ES50" s="92">
        <v>309915</v>
      </c>
      <c r="ET50" s="92">
        <v>0</v>
      </c>
      <c r="EU50" s="92">
        <v>0</v>
      </c>
      <c r="EV50" s="92">
        <v>2113</v>
      </c>
      <c r="EW50" s="92">
        <v>0</v>
      </c>
      <c r="EX50" s="92">
        <v>0</v>
      </c>
      <c r="EY50" s="92">
        <v>0</v>
      </c>
      <c r="EZ50" s="92">
        <v>0</v>
      </c>
      <c r="FA50" s="92">
        <v>0</v>
      </c>
      <c r="FB50" s="92">
        <v>0</v>
      </c>
      <c r="FC50" s="92">
        <v>0</v>
      </c>
      <c r="FD50" s="92">
        <v>0</v>
      </c>
      <c r="FE50" s="92">
        <v>0</v>
      </c>
      <c r="FF50" s="92">
        <v>0</v>
      </c>
      <c r="FG50" s="92">
        <v>0</v>
      </c>
      <c r="FH50" s="92">
        <v>0</v>
      </c>
      <c r="FI50" s="92">
        <v>0</v>
      </c>
      <c r="FJ50" s="92">
        <v>0</v>
      </c>
      <c r="FK50" s="92">
        <v>0</v>
      </c>
      <c r="FL50" s="92">
        <v>0</v>
      </c>
      <c r="FM50" s="92">
        <v>0</v>
      </c>
      <c r="FN50" s="92">
        <v>0</v>
      </c>
      <c r="FO50" s="92">
        <v>0</v>
      </c>
      <c r="FP50" s="92">
        <v>0</v>
      </c>
      <c r="FQ50" s="92">
        <v>0</v>
      </c>
      <c r="FR50" s="92">
        <v>0</v>
      </c>
      <c r="FS50" s="92">
        <v>0</v>
      </c>
      <c r="FT50" s="92">
        <v>0</v>
      </c>
      <c r="FU50" s="92">
        <v>0</v>
      </c>
      <c r="FV50" s="92">
        <v>0</v>
      </c>
      <c r="FW50" s="92">
        <v>0</v>
      </c>
      <c r="FX50" s="92">
        <v>0</v>
      </c>
      <c r="FY50" s="92">
        <v>0</v>
      </c>
      <c r="FZ50" s="92">
        <v>0</v>
      </c>
      <c r="GA50" s="92">
        <v>0</v>
      </c>
      <c r="GB50" s="92">
        <v>0</v>
      </c>
      <c r="GC50" s="92">
        <v>0</v>
      </c>
      <c r="GD50" s="92">
        <v>7159920</v>
      </c>
      <c r="GE50" s="92">
        <v>7168268</v>
      </c>
      <c r="GF50" s="92">
        <v>54984853</v>
      </c>
      <c r="GG50" s="47" t="s">
        <v>383</v>
      </c>
      <c r="GH50" s="47" t="s">
        <v>384</v>
      </c>
      <c r="GI50" s="93">
        <v>4328378078</v>
      </c>
      <c r="GJ50" s="47" t="s">
        <v>385</v>
      </c>
      <c r="GK50" s="47" t="s">
        <v>386</v>
      </c>
      <c r="GL50" s="47" t="s">
        <v>387</v>
      </c>
      <c r="GM50" s="93">
        <v>4328378009</v>
      </c>
      <c r="GN50" s="47" t="s">
        <v>388</v>
      </c>
      <c r="GO50" s="92" cm="1">
        <f t="array" ref="GO50">IFERROR(_xlfn.IFS(ResearchInput[[#This Row],[Type]]="HRI",SUMIFS('FTSE | FTFE'!$P$8:$P$77,'FTSE | FTFE'!$H$8:$H$77,A50),ResearchInput[[#This Row],[Type]]="UNIV",SUMIFS('FTSE | FTFE'!$P$104:$P$139,'FTSE | FTFE'!$H$104:$H$139,A50),OR(ResearchInput[[#This Row],[Type]]="TSTC",ResearchInput[[#This Row],[Type]]="LSC"),SUMIFS('FTSE | FTFE'!$O$88:$O$96,'FTSE | FTFE'!$H$88:$H$96,A50),ResearchInput[[#This Row],[Type]]="AHM",SUMIFS(Hidden!$H$43:$H$46,Hidden!$G$42:$G$45,A50)),"N/A")</f>
        <v>1560</v>
      </c>
      <c r="GP50" s="92" cm="1">
        <f t="array" ref="GP50">IFERROR(_xlfn.IFS(ResearchInput[[#This Row],[Type]]="HRI",SUMIFS('FTSE | FTFE'!$Q$8:$Q$77,'FTSE | FTFE'!$H$8:$H$77,A50),ResearchInput[[#This Row],[Type]]="UNIV",SUMIFS('FTSE | FTFE'!$Q$104:$Q$139,'FTSE | FTFE'!$H$104:$H$139,A50),OR(ResearchInput[[#This Row],[Type]]="TSTC",ResearchInput[[#This Row],[Type]]="LSC"),SUMIFS('FTSE | FTFE'!$P$88:$P$96,'FTSE | FTFE'!$H$88:$H$96,A50)),"N/A")</f>
        <v>74</v>
      </c>
      <c r="GQ50" s="92">
        <v>0</v>
      </c>
      <c r="GR50" s="92">
        <f>SUM(ResearchInput[[#This Row],[Fed.Comp]],ResearchInput[[#This Row],[Fed.Eng]],ResearchInput[[#This Row],[Fed.Geo]],ResearchInput[[#This Row],[Fed.Life]],ResearchInput[[#This Row],[Fed.Math]],ResearchInput[[#This Row],[Fed.Phys]],ResearchInput[[#This Row],[Fed.Psyc]],ResearchInput[[#This Row],[Fed.Soc]],ResearchInput[[#This Row],[Fed.Othr]],ResearchInput[[#This Row],[Fed.Non]])</f>
        <v>4048925</v>
      </c>
      <c r="GS50" s="92">
        <f>SUM(ResearchInput[[#This Row],[St.Comp]],ResearchInput[[#This Row],[St.Eng]],ResearchInput[[#This Row],[St.Geo]],ResearchInput[[#This Row],[St.Life]],ResearchInput[[#This Row],[St.Math]],ResearchInput[[#This Row],[St.Phys]],ResearchInput[[#This Row],[St.Psyc]],ResearchInput[[#This Row],[St.Soc]],ResearchInput[[#This Row],[St.Othr]],ResearchInput[[#This Row],[St.Non]])</f>
        <v>0</v>
      </c>
      <c r="GT50" s="92">
        <f>SUM(ResearchInput[[#This Row],[St.C&amp;G.Comp]],ResearchInput[[#This Row],[St.C&amp;G.Eng]],ResearchInput[[#This Row],[St.C&amp;G.Geo]],ResearchInput[[#This Row],[St.C&amp;G.Life]],ResearchInput[[#This Row],[St.C&amp;G.Math]],ResearchInput[[#This Row],[St.C&amp;G.Phys]],ResearchInput[[#This Row],[St.C&amp;G.Psyc]],ResearchInput[[#This Row],[St.C&amp;G.Soc]],ResearchInput[[#This Row],[St.C&amp;G.Othr]],ResearchInput[[#This Row],[St.C&amp;G.Non]])</f>
        <v>1297105</v>
      </c>
      <c r="GU50" s="92">
        <f>SUM(ResearchInput[[#This Row],[St.All.Comp]],ResearchInput[[#This Row],[St.All.Eng]],ResearchInput[[#This Row],[St.All.Geo]],ResearchInput[[#This Row],[St.All.Life]],ResearchInput[[#This Row],[St.All.Math]],ResearchInput[[#This Row],[St.All.Phys]],ResearchInput[[#This Row],[St.All.Psyc]],ResearchInput[[#This Row],[St.All.Soc]],ResearchInput[[#This Row],[St.All.Othr]],ResearchInput[[#This Row],[St.All.Non]])</f>
        <v>0</v>
      </c>
      <c r="GV50" s="92">
        <f>SUM(ResearchInput[[#This Row],[Inst.Comp]],ResearchInput[[#This Row],[Inst.Eng]],ResearchInput[[#This Row],[Inst.Geo]],ResearchInput[[#This Row],[Inst.Life]],ResearchInput[[#This Row],[Inst.Math]],ResearchInput[[#This Row],[Inst.Phys]],ResearchInput[[#This Row],[Inst.Psyc]],ResearchInput[[#This Row],[Inst.Soc]],ResearchInput[[#This Row],[Inst.Othr]],ResearchInput[[#This Row],[Inst.Non]])</f>
        <v>1237761</v>
      </c>
      <c r="GW50" s="92">
        <f>SUM(ResearchInput[[#This Row],[P4P.Comp]],ResearchInput[[#This Row],[P4P.Eng]],ResearchInput[[#This Row],[P4P.Geo]],ResearchInput[[#This Row],[P4P.Life]],ResearchInput[[#This Row],[P4P.Math]],ResearchInput[[#This Row],[P4P.Phys]],ResearchInput[[#This Row],[P4P.Psyc]],ResearchInput[[#This Row],[P4P.Soc]],ResearchInput[[#This Row],[P4P.Othr]],ResearchInput[[#This Row],[P4P.Non]])</f>
        <v>32466</v>
      </c>
      <c r="GX50" s="92">
        <f>SUM(ResearchInput[[#This Row],[PNP.Comp]],ResearchInput[[#This Row],[PNP.Eng]],ResearchInput[[#This Row],[PNP.Geo]],ResearchInput[[#This Row],[PNP.Life]],ResearchInput[[#This Row],[PNP.Math]],ResearchInput[[#This Row],[PNP.Phys]],ResearchInput[[#This Row],[PNP.Psyc]],ResearchInput[[#This Row],[PNP.Soc]],ResearchInput[[#This Row],[PNP.Othr]],ResearchInput[[#This Row],[PNP.Non]])</f>
        <v>261070</v>
      </c>
      <c r="GY50" s="92">
        <f>SUM(ResearchInput[[#This Row],[P.All.Comp]],ResearchInput[[#This Row],[P.All.Eng]],ResearchInput[[#This Row],[P.All.Geo]],ResearchInput[[#This Row],[P.All.Life]],ResearchInput[[#This Row],[P.All.Math]],ResearchInput[[#This Row],[P.All.Phys]],ResearchInput[[#This Row],[P.All.Psyc]],ResearchInput[[#This Row],[P.All.Soc]],ResearchInput[[#This Row],[P.All.Othr]],ResearchInput[[#This Row],[P.All.Non]])</f>
        <v>292147</v>
      </c>
    </row>
    <row r="51" spans="1:207" s="47" customFormat="1" ht="27" customHeight="1" x14ac:dyDescent="0.25">
      <c r="A51" s="34" t="s">
        <v>196</v>
      </c>
      <c r="B51" s="34" t="s">
        <v>680</v>
      </c>
      <c r="C51" s="35" t="s">
        <v>682</v>
      </c>
      <c r="D51" s="35" t="s">
        <v>681</v>
      </c>
      <c r="E51" s="94">
        <v>901</v>
      </c>
      <c r="F51" s="35" t="s">
        <v>716</v>
      </c>
      <c r="G51" s="35" t="s">
        <v>553</v>
      </c>
      <c r="H51" s="96">
        <v>30</v>
      </c>
      <c r="I51" s="92">
        <v>255084833</v>
      </c>
      <c r="J51" s="92">
        <v>65539929</v>
      </c>
      <c r="K51" s="92">
        <v>39312930</v>
      </c>
      <c r="L51" s="92">
        <v>0</v>
      </c>
      <c r="M51" s="92">
        <v>94549216</v>
      </c>
      <c r="N51" s="92">
        <v>51683498</v>
      </c>
      <c r="O51" s="92">
        <v>134662294</v>
      </c>
      <c r="P51" s="92">
        <v>0</v>
      </c>
      <c r="Q51" s="92">
        <v>0</v>
      </c>
      <c r="R51" s="92">
        <v>0</v>
      </c>
      <c r="S51" s="92">
        <v>0</v>
      </c>
      <c r="T51" s="92">
        <v>0</v>
      </c>
      <c r="U51" s="92">
        <v>0</v>
      </c>
      <c r="V51" s="92">
        <v>0</v>
      </c>
      <c r="W51" s="92">
        <v>0</v>
      </c>
      <c r="X51" s="92">
        <v>0</v>
      </c>
      <c r="Y51" s="92">
        <v>-4620672</v>
      </c>
      <c r="Z51" s="92">
        <v>0</v>
      </c>
      <c r="AA51" s="92">
        <v>-788554</v>
      </c>
      <c r="AB51" s="92">
        <v>0</v>
      </c>
      <c r="AC51" s="92">
        <v>0</v>
      </c>
      <c r="AD51" s="92">
        <v>0</v>
      </c>
      <c r="AE51" s="92">
        <v>0</v>
      </c>
      <c r="AF51" s="92">
        <v>0</v>
      </c>
      <c r="AG51" s="92">
        <v>118850703</v>
      </c>
      <c r="AH51" s="92">
        <v>0</v>
      </c>
      <c r="AI51" s="92">
        <v>2029082</v>
      </c>
      <c r="AJ51" s="92">
        <v>0</v>
      </c>
      <c r="AK51" s="92">
        <v>0</v>
      </c>
      <c r="AL51" s="92">
        <v>18736612</v>
      </c>
      <c r="AM51" s="92">
        <v>3844892</v>
      </c>
      <c r="AN51" s="92">
        <v>0</v>
      </c>
      <c r="AO51" s="92">
        <v>3390399</v>
      </c>
      <c r="AP51" s="92">
        <v>415439</v>
      </c>
      <c r="AQ51" s="92">
        <v>2995764</v>
      </c>
      <c r="AR51" s="92">
        <v>0</v>
      </c>
      <c r="AS51" s="92">
        <v>1990968</v>
      </c>
      <c r="AT51" s="92">
        <v>441399</v>
      </c>
      <c r="AU51" s="92">
        <v>6658654</v>
      </c>
      <c r="AV51" s="92">
        <v>0</v>
      </c>
      <c r="AW51" s="92">
        <v>3339700</v>
      </c>
      <c r="AX51" s="92">
        <v>0</v>
      </c>
      <c r="AY51" s="92">
        <v>0</v>
      </c>
      <c r="AZ51" s="92">
        <v>0</v>
      </c>
      <c r="BA51" s="92">
        <v>0</v>
      </c>
      <c r="BB51" s="92">
        <v>0</v>
      </c>
      <c r="BC51" s="92">
        <v>14404088</v>
      </c>
      <c r="BD51" s="92">
        <v>0</v>
      </c>
      <c r="BE51" s="92">
        <v>0</v>
      </c>
      <c r="BF51" s="92">
        <v>0</v>
      </c>
      <c r="BG51" s="92">
        <v>0</v>
      </c>
      <c r="BH51" s="92">
        <v>0</v>
      </c>
      <c r="BI51" s="92">
        <v>0</v>
      </c>
      <c r="BJ51" s="92">
        <v>0</v>
      </c>
      <c r="BK51" s="92">
        <v>0</v>
      </c>
      <c r="BL51" s="92">
        <v>0</v>
      </c>
      <c r="BM51" s="92">
        <v>0</v>
      </c>
      <c r="BN51" s="92">
        <v>0</v>
      </c>
      <c r="BO51" s="92">
        <v>0</v>
      </c>
      <c r="BP51" s="92">
        <v>0</v>
      </c>
      <c r="BQ51" s="92">
        <v>0</v>
      </c>
      <c r="BR51" s="92">
        <v>0</v>
      </c>
      <c r="BS51" s="92">
        <v>0</v>
      </c>
      <c r="BT51" s="92">
        <v>0</v>
      </c>
      <c r="BU51" s="92">
        <v>0</v>
      </c>
      <c r="BV51" s="92">
        <v>0</v>
      </c>
      <c r="BW51" s="92">
        <v>0</v>
      </c>
      <c r="BX51" s="92">
        <v>0</v>
      </c>
      <c r="BY51" s="92">
        <v>0</v>
      </c>
      <c r="BZ51" s="92">
        <v>0</v>
      </c>
      <c r="CA51" s="92">
        <v>0</v>
      </c>
      <c r="CB51" s="92">
        <v>0</v>
      </c>
      <c r="CC51" s="92">
        <v>1789226</v>
      </c>
      <c r="CD51" s="92">
        <v>1103225</v>
      </c>
      <c r="CE51" s="92">
        <v>1564782</v>
      </c>
      <c r="CF51" s="92">
        <v>0</v>
      </c>
      <c r="CG51" s="92">
        <v>1498511</v>
      </c>
      <c r="CH51" s="92">
        <v>4378334</v>
      </c>
      <c r="CI51" s="92">
        <v>1283687</v>
      </c>
      <c r="CJ51" s="92">
        <v>0</v>
      </c>
      <c r="CK51" s="92">
        <v>0</v>
      </c>
      <c r="CL51" s="92">
        <v>0</v>
      </c>
      <c r="CM51" s="92">
        <v>0</v>
      </c>
      <c r="CN51" s="92">
        <v>0</v>
      </c>
      <c r="CO51" s="92">
        <v>0</v>
      </c>
      <c r="CP51" s="92">
        <v>0</v>
      </c>
      <c r="CQ51" s="92">
        <v>0</v>
      </c>
      <c r="CR51" s="92">
        <v>0</v>
      </c>
      <c r="CS51" s="92">
        <v>368918999</v>
      </c>
      <c r="CT51" s="92">
        <v>49140452</v>
      </c>
      <c r="CU51" s="92">
        <v>41861273</v>
      </c>
      <c r="CV51" s="92">
        <v>0</v>
      </c>
      <c r="CW51" s="92">
        <v>77266835</v>
      </c>
      <c r="CX51" s="92">
        <v>66413204</v>
      </c>
      <c r="CY51" s="92">
        <v>139926927</v>
      </c>
      <c r="CZ51" s="92">
        <v>0</v>
      </c>
      <c r="DA51" s="92">
        <v>0</v>
      </c>
      <c r="DB51" s="92">
        <v>0</v>
      </c>
      <c r="DC51" s="92">
        <v>0</v>
      </c>
      <c r="DD51" s="92">
        <v>0</v>
      </c>
      <c r="DE51" s="92">
        <v>0</v>
      </c>
      <c r="DF51" s="92">
        <v>0</v>
      </c>
      <c r="DG51" s="92">
        <v>0</v>
      </c>
      <c r="DH51" s="92">
        <v>0</v>
      </c>
      <c r="DI51" s="92">
        <v>0</v>
      </c>
      <c r="DJ51" s="92">
        <v>0</v>
      </c>
      <c r="DK51" s="92">
        <v>0</v>
      </c>
      <c r="DL51" s="92">
        <v>0</v>
      </c>
      <c r="DM51" s="92">
        <v>0</v>
      </c>
      <c r="DN51" s="92">
        <v>0</v>
      </c>
      <c r="DO51" s="92">
        <v>0</v>
      </c>
      <c r="DP51" s="92">
        <v>0</v>
      </c>
      <c r="DQ51" s="92">
        <v>417811</v>
      </c>
      <c r="DR51" s="92">
        <v>30096</v>
      </c>
      <c r="DS51" s="92">
        <v>102900</v>
      </c>
      <c r="DT51" s="92">
        <v>0</v>
      </c>
      <c r="DU51" s="92">
        <v>0</v>
      </c>
      <c r="DV51" s="92">
        <v>26626</v>
      </c>
      <c r="DW51" s="92">
        <v>0</v>
      </c>
      <c r="DX51" s="92">
        <v>0</v>
      </c>
      <c r="DY51" s="92">
        <v>0</v>
      </c>
      <c r="DZ51" s="92">
        <v>0</v>
      </c>
      <c r="EA51" s="92">
        <v>0</v>
      </c>
      <c r="EB51" s="92">
        <v>0</v>
      </c>
      <c r="EC51" s="92">
        <v>0</v>
      </c>
      <c r="ED51" s="92">
        <v>0</v>
      </c>
      <c r="EE51" s="92">
        <v>0</v>
      </c>
      <c r="EF51" s="92">
        <v>0</v>
      </c>
      <c r="EG51" s="92">
        <v>4918927</v>
      </c>
      <c r="EH51" s="92">
        <v>15681595</v>
      </c>
      <c r="EI51" s="92">
        <v>20267</v>
      </c>
      <c r="EJ51" s="92">
        <v>0</v>
      </c>
      <c r="EK51" s="92">
        <v>17774838</v>
      </c>
      <c r="EL51" s="92">
        <v>43345</v>
      </c>
      <c r="EM51" s="92">
        <v>18359314</v>
      </c>
      <c r="EN51" s="92">
        <v>0</v>
      </c>
      <c r="EO51" s="92">
        <v>0</v>
      </c>
      <c r="EP51" s="92">
        <v>0</v>
      </c>
      <c r="EQ51" s="92">
        <v>0</v>
      </c>
      <c r="ER51" s="92">
        <v>0</v>
      </c>
      <c r="ES51" s="92">
        <v>0</v>
      </c>
      <c r="ET51" s="92">
        <v>0</v>
      </c>
      <c r="EU51" s="92">
        <v>0</v>
      </c>
      <c r="EV51" s="92">
        <v>0</v>
      </c>
      <c r="EW51" s="92">
        <v>0</v>
      </c>
      <c r="EX51" s="92">
        <v>0</v>
      </c>
      <c r="EY51" s="92">
        <v>0</v>
      </c>
      <c r="EZ51" s="92">
        <v>0</v>
      </c>
      <c r="FA51" s="92">
        <v>0</v>
      </c>
      <c r="FB51" s="92">
        <v>0</v>
      </c>
      <c r="FC51" s="92">
        <v>0</v>
      </c>
      <c r="FD51" s="92">
        <v>0</v>
      </c>
      <c r="FE51" s="92">
        <v>0</v>
      </c>
      <c r="FF51" s="92">
        <v>0</v>
      </c>
      <c r="FG51" s="92">
        <v>0</v>
      </c>
      <c r="FH51" s="92">
        <v>0</v>
      </c>
      <c r="FI51" s="92">
        <v>0</v>
      </c>
      <c r="FJ51" s="92">
        <v>0</v>
      </c>
      <c r="FK51" s="92">
        <v>0</v>
      </c>
      <c r="FL51" s="92">
        <v>0</v>
      </c>
      <c r="FM51" s="92">
        <v>0</v>
      </c>
      <c r="FN51" s="92">
        <v>0</v>
      </c>
      <c r="FO51" s="92">
        <v>0</v>
      </c>
      <c r="FP51" s="92">
        <v>0</v>
      </c>
      <c r="FQ51" s="92">
        <v>0</v>
      </c>
      <c r="FR51" s="92">
        <v>0</v>
      </c>
      <c r="FS51" s="92">
        <v>0</v>
      </c>
      <c r="FT51" s="92">
        <v>0</v>
      </c>
      <c r="FU51" s="92">
        <v>0</v>
      </c>
      <c r="FV51" s="92">
        <v>0</v>
      </c>
      <c r="FW51" s="92">
        <v>0</v>
      </c>
      <c r="FX51" s="92">
        <v>0</v>
      </c>
      <c r="FY51" s="92">
        <v>0</v>
      </c>
      <c r="FZ51" s="92">
        <v>0</v>
      </c>
      <c r="GA51" s="92">
        <v>0</v>
      </c>
      <c r="GB51" s="92">
        <v>0</v>
      </c>
      <c r="GC51" s="92">
        <v>0</v>
      </c>
      <c r="GD51" s="92">
        <v>640832700</v>
      </c>
      <c r="GE51" s="92">
        <v>651316097</v>
      </c>
      <c r="GF51" s="92">
        <v>2658389521</v>
      </c>
      <c r="GG51" s="47" t="s">
        <v>419</v>
      </c>
      <c r="GH51" s="47" t="s">
        <v>420</v>
      </c>
      <c r="GI51" s="93" t="s">
        <v>1010</v>
      </c>
      <c r="GJ51" s="47" t="s">
        <v>421</v>
      </c>
      <c r="GK51" s="47" t="s">
        <v>422</v>
      </c>
      <c r="GL51" s="47" t="s">
        <v>423</v>
      </c>
      <c r="GM51" s="93" t="s">
        <v>1010</v>
      </c>
      <c r="GN51" s="47" t="s">
        <v>424</v>
      </c>
      <c r="GO51" s="92" cm="1">
        <f t="array" ref="GO51">IFERROR(_xlfn.IFS(ResearchInput[[#This Row],[Type]]="HRI",SUMIFS('FTSE | FTFE'!$P$8:$P$77,'FTSE | FTFE'!$H$8:$H$77,A51),ResearchInput[[#This Row],[Type]]="UNIV",SUMIFS('FTSE | FTFE'!$P$104:$P$139,'FTSE | FTFE'!$H$104:$H$139,A51),OR(ResearchInput[[#This Row],[Type]]="TSTC",ResearchInput[[#This Row],[Type]]="LSC"),SUMIFS('FTSE | FTFE'!$O$88:$O$96,'FTSE | FTFE'!$H$88:$H$96,A51),ResearchInput[[#This Row],[Type]]="AHM",SUMIFS(Hidden!$H$43:$H$46,Hidden!$G$42:$G$45,A51)),"N/A")</f>
        <v>2551</v>
      </c>
      <c r="GP51" s="92" cm="1">
        <f t="array" ref="GP51">IFERROR(_xlfn.IFS(ResearchInput[[#This Row],[Type]]="HRI",SUMIFS('FTSE | FTFE'!$Q$8:$Q$77,'FTSE | FTFE'!$H$8:$H$77,A51),ResearchInput[[#This Row],[Type]]="UNIV",SUMIFS('FTSE | FTFE'!$Q$104:$Q$139,'FTSE | FTFE'!$H$104:$H$139,A51),OR(ResearchInput[[#This Row],[Type]]="TSTC",ResearchInput[[#This Row],[Type]]="LSC"),SUMIFS('FTSE | FTFE'!$P$88:$P$96,'FTSE | FTFE'!$H$88:$H$96,A51)),"N/A")</f>
        <v>761.67</v>
      </c>
      <c r="GQ51" s="92">
        <v>16460738</v>
      </c>
      <c r="GR51" s="92">
        <f>SUM(ResearchInput[[#This Row],[Fed.Comp]],ResearchInput[[#This Row],[Fed.Eng]],ResearchInput[[#This Row],[Fed.Geo]],ResearchInput[[#This Row],[Fed.Life]],ResearchInput[[#This Row],[Fed.Math]],ResearchInput[[#This Row],[Fed.Phys]],ResearchInput[[#This Row],[Fed.Psyc]],ResearchInput[[#This Row],[Fed.Soc]],ResearchInput[[#This Row],[Fed.Othr]],ResearchInput[[#This Row],[Fed.Non]])</f>
        <v>376044963</v>
      </c>
      <c r="GS51" s="92">
        <f>SUM(ResearchInput[[#This Row],[St.Comp]],ResearchInput[[#This Row],[St.Eng]],ResearchInput[[#This Row],[St.Geo]],ResearchInput[[#This Row],[St.Life]],ResearchInput[[#This Row],[St.Math]],ResearchInput[[#This Row],[St.Phys]],ResearchInput[[#This Row],[St.Psyc]],ResearchInput[[#This Row],[St.Soc]],ResearchInput[[#This Row],[St.Othr]],ResearchInput[[#This Row],[St.Non]])</f>
        <v>65955368</v>
      </c>
      <c r="GT51" s="92">
        <f>SUM(ResearchInput[[#This Row],[St.C&amp;G.Comp]],ResearchInput[[#This Row],[St.C&amp;G.Eng]],ResearchInput[[#This Row],[St.C&amp;G.Geo]],ResearchInput[[#This Row],[St.C&amp;G.Life]],ResearchInput[[#This Row],[St.C&amp;G.Math]],ResearchInput[[#This Row],[St.C&amp;G.Phys]],ResearchInput[[#This Row],[St.C&amp;G.Psyc]],ResearchInput[[#This Row],[St.C&amp;G.Soc]],ResearchInput[[#This Row],[St.C&amp;G.Othr]],ResearchInput[[#This Row],[St.C&amp;G.Non]])</f>
        <v>43549222</v>
      </c>
      <c r="GU51" s="92">
        <f>SUM(ResearchInput[[#This Row],[St.All.Comp]],ResearchInput[[#This Row],[St.All.Eng]],ResearchInput[[#This Row],[St.All.Geo]],ResearchInput[[#This Row],[St.All.Life]],ResearchInput[[#This Row],[St.All.Math]],ResearchInput[[#This Row],[St.All.Phys]],ResearchInput[[#This Row],[St.All.Psyc]],ResearchInput[[#This Row],[St.All.Soc]],ResearchInput[[#This Row],[St.All.Othr]],ResearchInput[[#This Row],[St.All.Non]])</f>
        <v>0</v>
      </c>
      <c r="GV51" s="92">
        <f>SUM(ResearchInput[[#This Row],[Inst.Comp]],ResearchInput[[#This Row],[Inst.Eng]],ResearchInput[[#This Row],[Inst.Geo]],ResearchInput[[#This Row],[Inst.Life]],ResearchInput[[#This Row],[Inst.Math]],ResearchInput[[#This Row],[Inst.Phys]],ResearchInput[[#This Row],[Inst.Psyc]],ResearchInput[[#This Row],[Inst.Soc]],ResearchInput[[#This Row],[Inst.Othr]],ResearchInput[[#This Row],[Inst.Non]])</f>
        <v>96540184</v>
      </c>
      <c r="GW51" s="92">
        <f>SUM(ResearchInput[[#This Row],[P4P.Comp]],ResearchInput[[#This Row],[P4P.Eng]],ResearchInput[[#This Row],[P4P.Geo]],ResearchInput[[#This Row],[P4P.Life]],ResearchInput[[#This Row],[P4P.Math]],ResearchInput[[#This Row],[P4P.Phys]],ResearchInput[[#This Row],[P4P.Psyc]],ResearchInput[[#This Row],[P4P.Soc]],ResearchInput[[#This Row],[P4P.Othr]],ResearchInput[[#This Row],[P4P.Non]])</f>
        <v>70861509</v>
      </c>
      <c r="GX51" s="92">
        <f>SUM(ResearchInput[[#This Row],[PNP.Comp]],ResearchInput[[#This Row],[PNP.Eng]],ResearchInput[[#This Row],[PNP.Geo]],ResearchInput[[#This Row],[PNP.Life]],ResearchInput[[#This Row],[PNP.Math]],ResearchInput[[#This Row],[PNP.Phys]],ResearchInput[[#This Row],[PNP.Psyc]],ResearchInput[[#This Row],[PNP.Soc]],ResearchInput[[#This Row],[PNP.Othr]],ResearchInput[[#This Row],[PNP.Non]])</f>
        <v>159569928</v>
      </c>
      <c r="GY51" s="92">
        <f>SUM(ResearchInput[[#This Row],[P.All.Comp]],ResearchInput[[#This Row],[P.All.Eng]],ResearchInput[[#This Row],[P.All.Geo]],ResearchInput[[#This Row],[P.All.Life]],ResearchInput[[#This Row],[P.All.Math]],ResearchInput[[#This Row],[P.All.Phys]],ResearchInput[[#This Row],[P.All.Psyc]],ResearchInput[[#This Row],[P.All.Soc]],ResearchInput[[#This Row],[P.All.Othr]],ResearchInput[[#This Row],[P.All.Non]])</f>
        <v>0</v>
      </c>
    </row>
    <row r="52" spans="1:207" s="47" customFormat="1" ht="27" customHeight="1" x14ac:dyDescent="0.25">
      <c r="A52" s="34" t="s">
        <v>198</v>
      </c>
      <c r="B52" s="34" t="s">
        <v>680</v>
      </c>
      <c r="C52" s="35" t="s">
        <v>682</v>
      </c>
      <c r="D52" s="35" t="s">
        <v>681</v>
      </c>
      <c r="E52" s="94">
        <v>902</v>
      </c>
      <c r="F52" s="35" t="s">
        <v>714</v>
      </c>
      <c r="G52" s="35" t="s">
        <v>553</v>
      </c>
      <c r="H52" s="96">
        <v>104952</v>
      </c>
      <c r="I52" s="92">
        <v>121116127</v>
      </c>
      <c r="J52" s="92">
        <v>968479</v>
      </c>
      <c r="K52" s="92">
        <v>7451794</v>
      </c>
      <c r="L52" s="92">
        <v>0</v>
      </c>
      <c r="M52" s="92">
        <v>23836022</v>
      </c>
      <c r="N52" s="92">
        <v>3843522</v>
      </c>
      <c r="O52" s="92">
        <v>14080091</v>
      </c>
      <c r="P52" s="92">
        <v>0</v>
      </c>
      <c r="Q52" s="92">
        <v>0</v>
      </c>
      <c r="R52" s="92">
        <v>0</v>
      </c>
      <c r="S52" s="92">
        <v>0</v>
      </c>
      <c r="T52" s="92">
        <v>0</v>
      </c>
      <c r="U52" s="92">
        <v>0</v>
      </c>
      <c r="V52" s="92">
        <v>0</v>
      </c>
      <c r="W52" s="92">
        <v>0</v>
      </c>
      <c r="X52" s="92">
        <v>0</v>
      </c>
      <c r="Y52" s="92">
        <v>0</v>
      </c>
      <c r="Z52" s="92">
        <v>0</v>
      </c>
      <c r="AA52" s="92">
        <v>0</v>
      </c>
      <c r="AB52" s="92">
        <v>0</v>
      </c>
      <c r="AC52" s="92">
        <v>0</v>
      </c>
      <c r="AD52" s="92">
        <v>0</v>
      </c>
      <c r="AE52" s="92">
        <v>0</v>
      </c>
      <c r="AF52" s="92">
        <v>0</v>
      </c>
      <c r="AG52" s="92">
        <v>39849297</v>
      </c>
      <c r="AH52" s="92">
        <v>0</v>
      </c>
      <c r="AI52" s="92">
        <v>409228</v>
      </c>
      <c r="AJ52" s="92">
        <v>0</v>
      </c>
      <c r="AK52" s="92">
        <v>0</v>
      </c>
      <c r="AL52" s="92">
        <v>1339284</v>
      </c>
      <c r="AM52" s="92">
        <v>664066</v>
      </c>
      <c r="AN52" s="92">
        <v>0</v>
      </c>
      <c r="AO52" s="92">
        <v>4094624</v>
      </c>
      <c r="AP52" s="92">
        <v>0</v>
      </c>
      <c r="AQ52" s="92">
        <v>-27919</v>
      </c>
      <c r="AR52" s="92">
        <v>0</v>
      </c>
      <c r="AS52" s="92">
        <v>795685</v>
      </c>
      <c r="AT52" s="92">
        <v>37379</v>
      </c>
      <c r="AU52" s="92">
        <v>1852952</v>
      </c>
      <c r="AV52" s="92">
        <v>0</v>
      </c>
      <c r="AW52" s="92">
        <v>0</v>
      </c>
      <c r="AX52" s="92">
        <v>0</v>
      </c>
      <c r="AY52" s="92">
        <v>0</v>
      </c>
      <c r="AZ52" s="92">
        <v>0</v>
      </c>
      <c r="BA52" s="92">
        <v>0</v>
      </c>
      <c r="BB52" s="92">
        <v>0</v>
      </c>
      <c r="BC52" s="92">
        <v>0</v>
      </c>
      <c r="BD52" s="92">
        <v>0</v>
      </c>
      <c r="BE52" s="92">
        <v>0</v>
      </c>
      <c r="BF52" s="92">
        <v>0</v>
      </c>
      <c r="BG52" s="92">
        <v>0</v>
      </c>
      <c r="BH52" s="92">
        <v>0</v>
      </c>
      <c r="BI52" s="92">
        <v>0</v>
      </c>
      <c r="BJ52" s="92">
        <v>0</v>
      </c>
      <c r="BK52" s="92">
        <v>0</v>
      </c>
      <c r="BL52" s="92">
        <v>0</v>
      </c>
      <c r="BM52" s="92">
        <v>0</v>
      </c>
      <c r="BN52" s="92">
        <v>0</v>
      </c>
      <c r="BO52" s="92">
        <v>0</v>
      </c>
      <c r="BP52" s="92">
        <v>0</v>
      </c>
      <c r="BQ52" s="92">
        <v>0</v>
      </c>
      <c r="BR52" s="92">
        <v>0</v>
      </c>
      <c r="BS52" s="92">
        <v>0</v>
      </c>
      <c r="BT52" s="92">
        <v>0</v>
      </c>
      <c r="BU52" s="92">
        <v>0</v>
      </c>
      <c r="BV52" s="92">
        <v>0</v>
      </c>
      <c r="BW52" s="92">
        <v>0</v>
      </c>
      <c r="BX52" s="92">
        <v>0</v>
      </c>
      <c r="BY52" s="92">
        <v>0</v>
      </c>
      <c r="BZ52" s="92">
        <v>0</v>
      </c>
      <c r="CA52" s="92">
        <v>0</v>
      </c>
      <c r="CB52" s="92">
        <v>0</v>
      </c>
      <c r="CC52" s="92">
        <v>522075</v>
      </c>
      <c r="CD52" s="92">
        <v>456766</v>
      </c>
      <c r="CE52" s="92">
        <v>0</v>
      </c>
      <c r="CF52" s="92">
        <v>0</v>
      </c>
      <c r="CG52" s="92">
        <v>3962636</v>
      </c>
      <c r="CH52" s="92">
        <v>0</v>
      </c>
      <c r="CI52" s="92">
        <v>258709</v>
      </c>
      <c r="CJ52" s="92">
        <v>0</v>
      </c>
      <c r="CK52" s="92">
        <v>0</v>
      </c>
      <c r="CL52" s="92">
        <v>0</v>
      </c>
      <c r="CM52" s="92">
        <v>0</v>
      </c>
      <c r="CN52" s="92">
        <v>0</v>
      </c>
      <c r="CO52" s="92">
        <v>0</v>
      </c>
      <c r="CP52" s="92">
        <v>0</v>
      </c>
      <c r="CQ52" s="92">
        <v>0</v>
      </c>
      <c r="CR52" s="92">
        <v>0</v>
      </c>
      <c r="CS52" s="92">
        <v>164537973</v>
      </c>
      <c r="CT52" s="92">
        <v>511713</v>
      </c>
      <c r="CU52" s="92">
        <v>7833103</v>
      </c>
      <c r="CV52" s="92">
        <v>0</v>
      </c>
      <c r="CW52" s="92">
        <v>20669071</v>
      </c>
      <c r="CX52" s="92">
        <v>5220185</v>
      </c>
      <c r="CY52" s="92">
        <v>16338400</v>
      </c>
      <c r="CZ52" s="92">
        <v>0</v>
      </c>
      <c r="DA52" s="92">
        <v>0</v>
      </c>
      <c r="DB52" s="92">
        <v>0</v>
      </c>
      <c r="DC52" s="92">
        <v>0</v>
      </c>
      <c r="DD52" s="92">
        <v>0</v>
      </c>
      <c r="DE52" s="92">
        <v>0</v>
      </c>
      <c r="DF52" s="92">
        <v>0</v>
      </c>
      <c r="DG52" s="92">
        <v>0</v>
      </c>
      <c r="DH52" s="92">
        <v>0</v>
      </c>
      <c r="DI52" s="92">
        <v>0</v>
      </c>
      <c r="DJ52" s="92">
        <v>0</v>
      </c>
      <c r="DK52" s="92">
        <v>0</v>
      </c>
      <c r="DL52" s="92">
        <v>0</v>
      </c>
      <c r="DM52" s="92">
        <v>0</v>
      </c>
      <c r="DN52" s="92">
        <v>0</v>
      </c>
      <c r="DO52" s="92">
        <v>0</v>
      </c>
      <c r="DP52" s="92">
        <v>0</v>
      </c>
      <c r="DQ52" s="92">
        <v>0</v>
      </c>
      <c r="DR52" s="92">
        <v>0</v>
      </c>
      <c r="DS52" s="92">
        <v>0</v>
      </c>
      <c r="DT52" s="92">
        <v>0</v>
      </c>
      <c r="DU52" s="92">
        <v>0</v>
      </c>
      <c r="DV52" s="92">
        <v>0</v>
      </c>
      <c r="DW52" s="92">
        <v>0</v>
      </c>
      <c r="DX52" s="92">
        <v>0</v>
      </c>
      <c r="DY52" s="92">
        <v>0</v>
      </c>
      <c r="DZ52" s="92">
        <v>0</v>
      </c>
      <c r="EA52" s="92">
        <v>0</v>
      </c>
      <c r="EB52" s="92">
        <v>0</v>
      </c>
      <c r="EC52" s="92">
        <v>0</v>
      </c>
      <c r="ED52" s="92">
        <v>0</v>
      </c>
      <c r="EE52" s="92">
        <v>0</v>
      </c>
      <c r="EF52" s="92">
        <v>0</v>
      </c>
      <c r="EG52" s="92">
        <v>0</v>
      </c>
      <c r="EH52" s="92">
        <v>0</v>
      </c>
      <c r="EI52" s="92">
        <v>0</v>
      </c>
      <c r="EJ52" s="92">
        <v>0</v>
      </c>
      <c r="EK52" s="92">
        <v>0</v>
      </c>
      <c r="EL52" s="92">
        <v>0</v>
      </c>
      <c r="EM52" s="92">
        <v>0</v>
      </c>
      <c r="EN52" s="92">
        <v>0</v>
      </c>
      <c r="EO52" s="92">
        <v>0</v>
      </c>
      <c r="EP52" s="92">
        <v>0</v>
      </c>
      <c r="EQ52" s="92">
        <v>0</v>
      </c>
      <c r="ER52" s="92">
        <v>0</v>
      </c>
      <c r="ES52" s="92">
        <v>0</v>
      </c>
      <c r="ET52" s="92">
        <v>0</v>
      </c>
      <c r="EU52" s="92">
        <v>0</v>
      </c>
      <c r="EV52" s="92">
        <v>0</v>
      </c>
      <c r="EW52" s="92">
        <v>11558364</v>
      </c>
      <c r="EX52" s="92">
        <v>0</v>
      </c>
      <c r="EY52" s="92">
        <v>1352487</v>
      </c>
      <c r="EZ52" s="92">
        <v>0</v>
      </c>
      <c r="FA52" s="92">
        <v>29539</v>
      </c>
      <c r="FB52" s="92">
        <v>454433</v>
      </c>
      <c r="FC52" s="92">
        <v>381037</v>
      </c>
      <c r="FD52" s="92">
        <v>0</v>
      </c>
      <c r="FE52" s="92">
        <v>0</v>
      </c>
      <c r="FF52" s="92">
        <v>0</v>
      </c>
      <c r="FG52" s="92">
        <v>0</v>
      </c>
      <c r="FH52" s="92">
        <v>0</v>
      </c>
      <c r="FI52" s="92">
        <v>0</v>
      </c>
      <c r="FJ52" s="92">
        <v>0</v>
      </c>
      <c r="FK52" s="92">
        <v>0</v>
      </c>
      <c r="FL52" s="92">
        <v>0</v>
      </c>
      <c r="FM52" s="92">
        <v>0</v>
      </c>
      <c r="FN52" s="92">
        <v>0</v>
      </c>
      <c r="FO52" s="92">
        <v>0</v>
      </c>
      <c r="FP52" s="92">
        <v>0</v>
      </c>
      <c r="FQ52" s="92">
        <v>0</v>
      </c>
      <c r="FR52" s="92">
        <v>0</v>
      </c>
      <c r="FS52" s="92">
        <v>0</v>
      </c>
      <c r="FT52" s="92">
        <v>0</v>
      </c>
      <c r="FU52" s="92">
        <v>0</v>
      </c>
      <c r="FV52" s="92">
        <v>0</v>
      </c>
      <c r="FW52" s="92">
        <v>0</v>
      </c>
      <c r="FX52" s="92">
        <v>0</v>
      </c>
      <c r="FY52" s="92">
        <v>0</v>
      </c>
      <c r="FZ52" s="92">
        <v>0</v>
      </c>
      <c r="GA52" s="92">
        <v>0</v>
      </c>
      <c r="GB52" s="92">
        <v>0</v>
      </c>
      <c r="GC52" s="92">
        <v>0</v>
      </c>
      <c r="GD52" s="92">
        <v>171296035</v>
      </c>
      <c r="GE52" s="92">
        <v>175315730</v>
      </c>
      <c r="GF52" s="92">
        <v>1181009427.29</v>
      </c>
      <c r="GG52" s="47" t="s">
        <v>430</v>
      </c>
      <c r="GH52" s="47" t="s">
        <v>431</v>
      </c>
      <c r="GI52" s="93">
        <v>4097727525</v>
      </c>
      <c r="GJ52" s="47" t="s">
        <v>432</v>
      </c>
      <c r="GK52" s="47" t="s">
        <v>433</v>
      </c>
      <c r="GL52" s="47" t="s">
        <v>434</v>
      </c>
      <c r="GM52" s="93">
        <v>4097476305</v>
      </c>
      <c r="GN52" s="47" t="s">
        <v>435</v>
      </c>
      <c r="GO52" s="92" cm="1">
        <f t="array" ref="GO52">IFERROR(_xlfn.IFS(ResearchInput[[#This Row],[Type]]="HRI",SUMIFS('FTSE | FTFE'!$P$8:$P$77,'FTSE | FTFE'!$H$8:$H$77,A52),ResearchInput[[#This Row],[Type]]="UNIV",SUMIFS('FTSE | FTFE'!$P$104:$P$139,'FTSE | FTFE'!$H$104:$H$139,A52),OR(ResearchInput[[#This Row],[Type]]="TSTC",ResearchInput[[#This Row],[Type]]="LSC"),SUMIFS('FTSE | FTFE'!$O$88:$O$96,'FTSE | FTFE'!$H$88:$H$96,A52),ResearchInput[[#This Row],[Type]]="AHM",SUMIFS(Hidden!$H$43:$H$46,Hidden!$G$42:$G$45,A52)),"N/A")</f>
        <v>3678</v>
      </c>
      <c r="GP52" s="92" cm="1">
        <f t="array" ref="GP52">IFERROR(_xlfn.IFS(ResearchInput[[#This Row],[Type]]="HRI",SUMIFS('FTSE | FTFE'!$Q$8:$Q$77,'FTSE | FTFE'!$H$8:$H$77,A52),ResearchInput[[#This Row],[Type]]="UNIV",SUMIFS('FTSE | FTFE'!$Q$104:$Q$139,'FTSE | FTFE'!$H$104:$H$139,A52),OR(ResearchInput[[#This Row],[Type]]="TSTC",ResearchInput[[#This Row],[Type]]="LSC"),SUMIFS('FTSE | FTFE'!$P$88:$P$96,'FTSE | FTFE'!$H$88:$H$96,A52)),"N/A")</f>
        <v>230.3</v>
      </c>
      <c r="GQ52" s="92">
        <v>0</v>
      </c>
      <c r="GR52" s="92">
        <f>SUM(ResearchInput[[#This Row],[Fed.Comp]],ResearchInput[[#This Row],[Fed.Eng]],ResearchInput[[#This Row],[Fed.Geo]],ResearchInput[[#This Row],[Fed.Life]],ResearchInput[[#This Row],[Fed.Math]],ResearchInput[[#This Row],[Fed.Phys]],ResearchInput[[#This Row],[Fed.Psyc]],ResearchInput[[#This Row],[Fed.Soc]],ResearchInput[[#This Row],[Fed.Othr]],ResearchInput[[#This Row],[Fed.Non]])</f>
        <v>165060048</v>
      </c>
      <c r="GS52" s="92">
        <f>SUM(ResearchInput[[#This Row],[St.Comp]],ResearchInput[[#This Row],[St.Eng]],ResearchInput[[#This Row],[St.Geo]],ResearchInput[[#This Row],[St.Life]],ResearchInput[[#This Row],[St.Math]],ResearchInput[[#This Row],[St.Phys]],ResearchInput[[#This Row],[St.Psyc]],ResearchInput[[#This Row],[St.Soc]],ResearchInput[[#This Row],[St.Othr]],ResearchInput[[#This Row],[St.Non]])</f>
        <v>968479</v>
      </c>
      <c r="GT52" s="92">
        <f>SUM(ResearchInput[[#This Row],[St.C&amp;G.Comp]],ResearchInput[[#This Row],[St.C&amp;G.Eng]],ResearchInput[[#This Row],[St.C&amp;G.Geo]],ResearchInput[[#This Row],[St.C&amp;G.Life]],ResearchInput[[#This Row],[St.C&amp;G.Math]],ResearchInput[[#This Row],[St.C&amp;G.Phys]],ResearchInput[[#This Row],[St.C&amp;G.Psyc]],ResearchInput[[#This Row],[St.C&amp;G.Soc]],ResearchInput[[#This Row],[St.C&amp;G.Othr]],ResearchInput[[#This Row],[St.C&amp;G.Non]])</f>
        <v>7833103</v>
      </c>
      <c r="GU52" s="92">
        <f>SUM(ResearchInput[[#This Row],[St.All.Comp]],ResearchInput[[#This Row],[St.All.Eng]],ResearchInput[[#This Row],[St.All.Geo]],ResearchInput[[#This Row],[St.All.Life]],ResearchInput[[#This Row],[St.All.Math]],ResearchInput[[#This Row],[St.All.Phys]],ResearchInput[[#This Row],[St.All.Psyc]],ResearchInput[[#This Row],[St.All.Soc]],ResearchInput[[#This Row],[St.All.Othr]],ResearchInput[[#This Row],[St.All.Non]])</f>
        <v>0</v>
      </c>
      <c r="GV52" s="92">
        <f>SUM(ResearchInput[[#This Row],[Inst.Comp]],ResearchInput[[#This Row],[Inst.Eng]],ResearchInput[[#This Row],[Inst.Geo]],ResearchInput[[#This Row],[Inst.Life]],ResearchInput[[#This Row],[Inst.Math]],ResearchInput[[#This Row],[Inst.Phys]],ResearchInput[[#This Row],[Inst.Psyc]],ResearchInput[[#This Row],[Inst.Soc]],ResearchInput[[#This Row],[Inst.Othr]],ResearchInput[[#This Row],[Inst.Non]])</f>
        <v>24631707</v>
      </c>
      <c r="GW52" s="92">
        <f>SUM(ResearchInput[[#This Row],[P4P.Comp]],ResearchInput[[#This Row],[P4P.Eng]],ResearchInput[[#This Row],[P4P.Geo]],ResearchInput[[#This Row],[P4P.Life]],ResearchInput[[#This Row],[P4P.Math]],ResearchInput[[#This Row],[P4P.Phys]],ResearchInput[[#This Row],[P4P.Psyc]],ResearchInput[[#This Row],[P4P.Soc]],ResearchInput[[#This Row],[P4P.Othr]],ResearchInput[[#This Row],[P4P.Non]])</f>
        <v>5220185</v>
      </c>
      <c r="GX52" s="92">
        <f>SUM(ResearchInput[[#This Row],[PNP.Comp]],ResearchInput[[#This Row],[PNP.Eng]],ResearchInput[[#This Row],[PNP.Geo]],ResearchInput[[#This Row],[PNP.Life]],ResearchInput[[#This Row],[PNP.Math]],ResearchInput[[#This Row],[PNP.Phys]],ResearchInput[[#This Row],[PNP.Psyc]],ResearchInput[[#This Row],[PNP.Soc]],ResearchInput[[#This Row],[PNP.Othr]],ResearchInput[[#This Row],[PNP.Non]])</f>
        <v>16597109</v>
      </c>
      <c r="GY52" s="92">
        <f>SUM(ResearchInput[[#This Row],[P.All.Comp]],ResearchInput[[#This Row],[P.All.Eng]],ResearchInput[[#This Row],[P.All.Geo]],ResearchInput[[#This Row],[P.All.Life]],ResearchInput[[#This Row],[P.All.Math]],ResearchInput[[#This Row],[P.All.Phys]],ResearchInput[[#This Row],[P.All.Psyc]],ResearchInput[[#This Row],[P.All.Soc]],ResearchInput[[#This Row],[P.All.Othr]],ResearchInput[[#This Row],[P.All.Non]])</f>
        <v>0</v>
      </c>
    </row>
    <row r="53" spans="1:207" s="47" customFormat="1" ht="27" customHeight="1" x14ac:dyDescent="0.25">
      <c r="A53" s="34" t="s">
        <v>199</v>
      </c>
      <c r="B53" s="34" t="s">
        <v>680</v>
      </c>
      <c r="C53" s="35" t="s">
        <v>682</v>
      </c>
      <c r="D53" s="35" t="s">
        <v>681</v>
      </c>
      <c r="E53" s="94">
        <v>903</v>
      </c>
      <c r="F53" s="35" t="s">
        <v>714</v>
      </c>
      <c r="G53" s="35" t="s">
        <v>553</v>
      </c>
      <c r="H53" s="96">
        <v>11618</v>
      </c>
      <c r="I53" s="92">
        <v>173979275</v>
      </c>
      <c r="J53" s="92">
        <v>34399882</v>
      </c>
      <c r="K53" s="92">
        <v>22445521</v>
      </c>
      <c r="L53" s="92">
        <v>0</v>
      </c>
      <c r="M53" s="92">
        <v>104247895</v>
      </c>
      <c r="N53" s="92">
        <v>15628915</v>
      </c>
      <c r="O53" s="92">
        <v>46916422</v>
      </c>
      <c r="P53" s="92">
        <v>0</v>
      </c>
      <c r="Q53" s="92">
        <v>0</v>
      </c>
      <c r="R53" s="92">
        <v>-5415480</v>
      </c>
      <c r="S53" s="92">
        <v>0</v>
      </c>
      <c r="T53" s="92">
        <v>0</v>
      </c>
      <c r="U53" s="92">
        <v>-58815754</v>
      </c>
      <c r="V53" s="92">
        <v>0</v>
      </c>
      <c r="W53" s="92">
        <v>0</v>
      </c>
      <c r="X53" s="92">
        <v>0</v>
      </c>
      <c r="Y53" s="92">
        <v>-7312047</v>
      </c>
      <c r="Z53" s="92">
        <v>0</v>
      </c>
      <c r="AA53" s="92">
        <v>-478858</v>
      </c>
      <c r="AB53" s="92">
        <v>0</v>
      </c>
      <c r="AC53" s="92">
        <v>0</v>
      </c>
      <c r="AD53" s="92">
        <v>0</v>
      </c>
      <c r="AE53" s="92">
        <v>0</v>
      </c>
      <c r="AF53" s="92">
        <v>0</v>
      </c>
      <c r="AG53" s="92">
        <v>71909115</v>
      </c>
      <c r="AH53" s="92">
        <v>0</v>
      </c>
      <c r="AI53" s="92">
        <v>1752149</v>
      </c>
      <c r="AJ53" s="92">
        <v>0</v>
      </c>
      <c r="AK53" s="92">
        <v>0</v>
      </c>
      <c r="AL53" s="92">
        <v>5467293</v>
      </c>
      <c r="AM53" s="92">
        <v>2470472</v>
      </c>
      <c r="AN53" s="92">
        <v>0</v>
      </c>
      <c r="AO53" s="92">
        <v>2862996</v>
      </c>
      <c r="AP53" s="92">
        <v>100683</v>
      </c>
      <c r="AQ53" s="92">
        <v>718599</v>
      </c>
      <c r="AR53" s="92">
        <v>0</v>
      </c>
      <c r="AS53" s="92">
        <v>4253894</v>
      </c>
      <c r="AT53" s="92">
        <v>51731</v>
      </c>
      <c r="AU53" s="92">
        <v>1575178</v>
      </c>
      <c r="AV53" s="92">
        <v>0</v>
      </c>
      <c r="AW53" s="92">
        <v>0</v>
      </c>
      <c r="AX53" s="92">
        <v>0</v>
      </c>
      <c r="AY53" s="92">
        <v>0</v>
      </c>
      <c r="AZ53" s="92">
        <v>0</v>
      </c>
      <c r="BA53" s="92">
        <v>0</v>
      </c>
      <c r="BB53" s="92">
        <v>0</v>
      </c>
      <c r="BC53" s="92">
        <v>0</v>
      </c>
      <c r="BD53" s="92">
        <v>0</v>
      </c>
      <c r="BE53" s="92">
        <v>0</v>
      </c>
      <c r="BF53" s="92">
        <v>0</v>
      </c>
      <c r="BG53" s="92">
        <v>0</v>
      </c>
      <c r="BH53" s="92">
        <v>0</v>
      </c>
      <c r="BI53" s="92">
        <v>0</v>
      </c>
      <c r="BJ53" s="92">
        <v>0</v>
      </c>
      <c r="BK53" s="92">
        <v>0</v>
      </c>
      <c r="BL53" s="92">
        <v>0</v>
      </c>
      <c r="BM53" s="92">
        <v>0</v>
      </c>
      <c r="BN53" s="92">
        <v>0</v>
      </c>
      <c r="BO53" s="92">
        <v>0</v>
      </c>
      <c r="BP53" s="92">
        <v>0</v>
      </c>
      <c r="BQ53" s="92">
        <v>0</v>
      </c>
      <c r="BR53" s="92">
        <v>0</v>
      </c>
      <c r="BS53" s="92">
        <v>0</v>
      </c>
      <c r="BT53" s="92">
        <v>0</v>
      </c>
      <c r="BU53" s="92">
        <v>0</v>
      </c>
      <c r="BV53" s="92">
        <v>0</v>
      </c>
      <c r="BW53" s="92">
        <v>0</v>
      </c>
      <c r="BX53" s="92">
        <v>0</v>
      </c>
      <c r="BY53" s="92">
        <v>0</v>
      </c>
      <c r="BZ53" s="92">
        <v>0</v>
      </c>
      <c r="CA53" s="92">
        <v>0</v>
      </c>
      <c r="CB53" s="92">
        <v>0</v>
      </c>
      <c r="CC53" s="92">
        <v>0</v>
      </c>
      <c r="CD53" s="92">
        <v>0</v>
      </c>
      <c r="CE53" s="92">
        <v>0</v>
      </c>
      <c r="CF53" s="92">
        <v>0</v>
      </c>
      <c r="CG53" s="92">
        <v>0</v>
      </c>
      <c r="CH53" s="92">
        <v>0</v>
      </c>
      <c r="CI53" s="92">
        <v>0</v>
      </c>
      <c r="CJ53" s="92">
        <v>0</v>
      </c>
      <c r="CK53" s="92">
        <v>0</v>
      </c>
      <c r="CL53" s="92">
        <v>0</v>
      </c>
      <c r="CM53" s="92">
        <v>0</v>
      </c>
      <c r="CN53" s="92">
        <v>0</v>
      </c>
      <c r="CO53" s="92">
        <v>0</v>
      </c>
      <c r="CP53" s="92">
        <v>0</v>
      </c>
      <c r="CQ53" s="92">
        <v>0</v>
      </c>
      <c r="CR53" s="92">
        <v>0</v>
      </c>
      <c r="CS53" s="92">
        <v>241439339</v>
      </c>
      <c r="CT53" s="92">
        <v>29085085</v>
      </c>
      <c r="CU53" s="92">
        <v>24437411</v>
      </c>
      <c r="CV53" s="92">
        <v>0</v>
      </c>
      <c r="CW53" s="92">
        <v>49686035</v>
      </c>
      <c r="CX53" s="92">
        <v>21147939</v>
      </c>
      <c r="CY53" s="92">
        <v>50962072</v>
      </c>
      <c r="CZ53" s="92">
        <v>0</v>
      </c>
      <c r="DA53" s="92">
        <v>0</v>
      </c>
      <c r="DB53" s="92">
        <v>0</v>
      </c>
      <c r="DC53" s="92">
        <v>0</v>
      </c>
      <c r="DD53" s="92">
        <v>0</v>
      </c>
      <c r="DE53" s="92">
        <v>0</v>
      </c>
      <c r="DF53" s="92">
        <v>0</v>
      </c>
      <c r="DG53" s="92">
        <v>0</v>
      </c>
      <c r="DH53" s="92">
        <v>0</v>
      </c>
      <c r="DI53" s="92">
        <v>0</v>
      </c>
      <c r="DJ53" s="92">
        <v>0</v>
      </c>
      <c r="DK53" s="92">
        <v>0</v>
      </c>
      <c r="DL53" s="92">
        <v>0</v>
      </c>
      <c r="DM53" s="92">
        <v>0</v>
      </c>
      <c r="DN53" s="92">
        <v>0</v>
      </c>
      <c r="DO53" s="92">
        <v>0</v>
      </c>
      <c r="DP53" s="92">
        <v>0</v>
      </c>
      <c r="DQ53" s="92">
        <v>0</v>
      </c>
      <c r="DR53" s="92">
        <v>0</v>
      </c>
      <c r="DS53" s="92">
        <v>0</v>
      </c>
      <c r="DT53" s="92">
        <v>0</v>
      </c>
      <c r="DU53" s="92">
        <v>0</v>
      </c>
      <c r="DV53" s="92">
        <v>0</v>
      </c>
      <c r="DW53" s="92">
        <v>0</v>
      </c>
      <c r="DX53" s="92">
        <v>0</v>
      </c>
      <c r="DY53" s="92">
        <v>0</v>
      </c>
      <c r="DZ53" s="92">
        <v>0</v>
      </c>
      <c r="EA53" s="92">
        <v>0</v>
      </c>
      <c r="EB53" s="92">
        <v>0</v>
      </c>
      <c r="EC53" s="92">
        <v>0</v>
      </c>
      <c r="ED53" s="92">
        <v>0</v>
      </c>
      <c r="EE53" s="92">
        <v>0</v>
      </c>
      <c r="EF53" s="92">
        <v>0</v>
      </c>
      <c r="EG53" s="92">
        <v>0</v>
      </c>
      <c r="EH53" s="92">
        <v>0</v>
      </c>
      <c r="EI53" s="92">
        <v>0</v>
      </c>
      <c r="EJ53" s="92">
        <v>0</v>
      </c>
      <c r="EK53" s="92">
        <v>0</v>
      </c>
      <c r="EL53" s="92">
        <v>0</v>
      </c>
      <c r="EM53" s="92">
        <v>0</v>
      </c>
      <c r="EN53" s="92">
        <v>0</v>
      </c>
      <c r="EO53" s="92">
        <v>0</v>
      </c>
      <c r="EP53" s="92">
        <v>0</v>
      </c>
      <c r="EQ53" s="92">
        <v>0</v>
      </c>
      <c r="ER53" s="92">
        <v>0</v>
      </c>
      <c r="ES53" s="92">
        <v>0</v>
      </c>
      <c r="ET53" s="92">
        <v>0</v>
      </c>
      <c r="EU53" s="92">
        <v>0</v>
      </c>
      <c r="EV53" s="92">
        <v>0</v>
      </c>
      <c r="EW53" s="92">
        <v>179149366</v>
      </c>
      <c r="EX53" s="92">
        <v>27281114</v>
      </c>
      <c r="EY53" s="92">
        <v>11706811</v>
      </c>
      <c r="EZ53" s="92">
        <v>0</v>
      </c>
      <c r="FA53" s="92">
        <v>37578804</v>
      </c>
      <c r="FB53" s="92">
        <v>17825273</v>
      </c>
      <c r="FC53" s="92">
        <v>12315438</v>
      </c>
      <c r="FD53" s="92">
        <v>0</v>
      </c>
      <c r="FE53" s="92">
        <v>475897</v>
      </c>
      <c r="FF53" s="92">
        <v>0</v>
      </c>
      <c r="FG53" s="92">
        <v>0</v>
      </c>
      <c r="FH53" s="92">
        <v>0</v>
      </c>
      <c r="FI53" s="92">
        <v>8576727</v>
      </c>
      <c r="FJ53" s="92">
        <v>24844</v>
      </c>
      <c r="FK53" s="92">
        <v>16796</v>
      </c>
      <c r="FL53" s="92">
        <v>0</v>
      </c>
      <c r="FM53" s="92">
        <v>139571</v>
      </c>
      <c r="FN53" s="92">
        <v>0</v>
      </c>
      <c r="FO53" s="92">
        <v>0</v>
      </c>
      <c r="FP53" s="92">
        <v>0</v>
      </c>
      <c r="FQ53" s="92">
        <v>0</v>
      </c>
      <c r="FR53" s="92">
        <v>0</v>
      </c>
      <c r="FS53" s="92">
        <v>109898</v>
      </c>
      <c r="FT53" s="92">
        <v>0</v>
      </c>
      <c r="FU53" s="92">
        <v>0</v>
      </c>
      <c r="FV53" s="92">
        <v>0</v>
      </c>
      <c r="FW53" s="92">
        <v>0</v>
      </c>
      <c r="FX53" s="92">
        <v>0</v>
      </c>
      <c r="FY53" s="92">
        <v>0</v>
      </c>
      <c r="FZ53" s="92">
        <v>0</v>
      </c>
      <c r="GA53" s="92">
        <v>0</v>
      </c>
      <c r="GB53" s="92">
        <v>0</v>
      </c>
      <c r="GC53" s="92">
        <v>0</v>
      </c>
      <c r="GD53" s="92">
        <v>397617910</v>
      </c>
      <c r="GE53" s="92">
        <v>399390086</v>
      </c>
      <c r="GF53" s="92">
        <v>2539824148</v>
      </c>
      <c r="GG53" s="47" t="s">
        <v>436</v>
      </c>
      <c r="GH53" s="47" t="s">
        <v>437</v>
      </c>
      <c r="GI53" s="93">
        <v>7005004915</v>
      </c>
      <c r="GJ53" s="47" t="s">
        <v>438</v>
      </c>
      <c r="GK53" s="47" t="s">
        <v>439</v>
      </c>
      <c r="GL53" s="47" t="s">
        <v>440</v>
      </c>
      <c r="GM53" s="93">
        <v>7135004929</v>
      </c>
      <c r="GN53" s="47" t="s">
        <v>441</v>
      </c>
      <c r="GO53" s="92" cm="1">
        <f t="array" ref="GO53">IFERROR(_xlfn.IFS(ResearchInput[[#This Row],[Type]]="HRI",SUMIFS('FTSE | FTFE'!$P$8:$P$77,'FTSE | FTFE'!$H$8:$H$77,A53),ResearchInput[[#This Row],[Type]]="UNIV",SUMIFS('FTSE | FTFE'!$P$104:$P$139,'FTSE | FTFE'!$H$104:$H$139,A53),OR(ResearchInput[[#This Row],[Type]]="TSTC",ResearchInput[[#This Row],[Type]]="LSC"),SUMIFS('FTSE | FTFE'!$O$88:$O$96,'FTSE | FTFE'!$H$88:$H$96,A53),ResearchInput[[#This Row],[Type]]="AHM",SUMIFS(Hidden!$H$43:$H$46,Hidden!$G$42:$G$45,A53)),"N/A")</f>
        <v>4684</v>
      </c>
      <c r="GP53" s="92" cm="1">
        <f t="array" ref="GP53">IFERROR(_xlfn.IFS(ResearchInput[[#This Row],[Type]]="HRI",SUMIFS('FTSE | FTFE'!$Q$8:$Q$77,'FTSE | FTFE'!$H$8:$H$77,A53),ResearchInput[[#This Row],[Type]]="UNIV",SUMIFS('FTSE | FTFE'!$Q$104:$Q$139,'FTSE | FTFE'!$H$104:$H$139,A53),OR(ResearchInput[[#This Row],[Type]]="TSTC",ResearchInput[[#This Row],[Type]]="LSC"),SUMIFS('FTSE | FTFE'!$P$88:$P$96,'FTSE | FTFE'!$H$88:$H$96,A53)),"N/A")</f>
        <v>330.59</v>
      </c>
      <c r="GQ53" s="92">
        <v>0</v>
      </c>
      <c r="GR53" s="92">
        <f>SUM(ResearchInput[[#This Row],[Fed.Comp]],ResearchInput[[#This Row],[Fed.Eng]],ResearchInput[[#This Row],[Fed.Geo]],ResearchInput[[#This Row],[Fed.Life]],ResearchInput[[#This Row],[Fed.Math]],ResearchInput[[#This Row],[Fed.Phys]],ResearchInput[[#This Row],[Fed.Psyc]],ResearchInput[[#This Row],[Fed.Soc]],ResearchInput[[#This Row],[Fed.Othr]],ResearchInput[[#This Row],[Fed.Non]])</f>
        <v>241439339</v>
      </c>
      <c r="GS53" s="92">
        <f>SUM(ResearchInput[[#This Row],[St.Comp]],ResearchInput[[#This Row],[St.Eng]],ResearchInput[[#This Row],[St.Geo]],ResearchInput[[#This Row],[St.Life]],ResearchInput[[#This Row],[St.Math]],ResearchInput[[#This Row],[St.Phys]],ResearchInput[[#This Row],[St.Psyc]],ResearchInput[[#This Row],[St.Soc]],ResearchInput[[#This Row],[St.Othr]],ResearchInput[[#This Row],[St.Non]])</f>
        <v>29085085</v>
      </c>
      <c r="GT53" s="92">
        <f>SUM(ResearchInput[[#This Row],[St.C&amp;G.Comp]],ResearchInput[[#This Row],[St.C&amp;G.Eng]],ResearchInput[[#This Row],[St.C&amp;G.Geo]],ResearchInput[[#This Row],[St.C&amp;G.Life]],ResearchInput[[#This Row],[St.C&amp;G.Math]],ResearchInput[[#This Row],[St.C&amp;G.Phys]],ResearchInput[[#This Row],[St.C&amp;G.Psyc]],ResearchInput[[#This Row],[St.C&amp;G.Soc]],ResearchInput[[#This Row],[St.C&amp;G.Othr]],ResearchInput[[#This Row],[St.C&amp;G.Non]])</f>
        <v>24437411</v>
      </c>
      <c r="GU53" s="92">
        <f>SUM(ResearchInput[[#This Row],[St.All.Comp]],ResearchInput[[#This Row],[St.All.Eng]],ResearchInput[[#This Row],[St.All.Geo]],ResearchInput[[#This Row],[St.All.Life]],ResearchInput[[#This Row],[St.All.Math]],ResearchInput[[#This Row],[St.All.Phys]],ResearchInput[[#This Row],[St.All.Psyc]],ResearchInput[[#This Row],[St.All.Soc]],ResearchInput[[#This Row],[St.All.Othr]],ResearchInput[[#This Row],[St.All.Non]])</f>
        <v>0</v>
      </c>
      <c r="GV53" s="92">
        <f>SUM(ResearchInput[[#This Row],[Inst.Comp]],ResearchInput[[#This Row],[Inst.Eng]],ResearchInput[[#This Row],[Inst.Geo]],ResearchInput[[#This Row],[Inst.Life]],ResearchInput[[#This Row],[Inst.Math]],ResearchInput[[#This Row],[Inst.Phys]],ResearchInput[[#This Row],[Inst.Psyc]],ResearchInput[[#This Row],[Inst.Soc]],ResearchInput[[#This Row],[Inst.Othr]],ResearchInput[[#This Row],[Inst.Non]])</f>
        <v>49686035</v>
      </c>
      <c r="GW53" s="92">
        <f>SUM(ResearchInput[[#This Row],[P4P.Comp]],ResearchInput[[#This Row],[P4P.Eng]],ResearchInput[[#This Row],[P4P.Geo]],ResearchInput[[#This Row],[P4P.Life]],ResearchInput[[#This Row],[P4P.Math]],ResearchInput[[#This Row],[P4P.Phys]],ResearchInput[[#This Row],[P4P.Psyc]],ResearchInput[[#This Row],[P4P.Soc]],ResearchInput[[#This Row],[P4P.Othr]],ResearchInput[[#This Row],[P4P.Non]])</f>
        <v>21147939</v>
      </c>
      <c r="GX53" s="92">
        <f>SUM(ResearchInput[[#This Row],[PNP.Comp]],ResearchInput[[#This Row],[PNP.Eng]],ResearchInput[[#This Row],[PNP.Geo]],ResearchInput[[#This Row],[PNP.Life]],ResearchInput[[#This Row],[PNP.Math]],ResearchInput[[#This Row],[PNP.Phys]],ResearchInput[[#This Row],[PNP.Psyc]],ResearchInput[[#This Row],[PNP.Soc]],ResearchInput[[#This Row],[PNP.Othr]],ResearchInput[[#This Row],[PNP.Non]])</f>
        <v>50962072</v>
      </c>
      <c r="GY53" s="92">
        <f>SUM(ResearchInput[[#This Row],[P.All.Comp]],ResearchInput[[#This Row],[P.All.Eng]],ResearchInput[[#This Row],[P.All.Geo]],ResearchInput[[#This Row],[P.All.Life]],ResearchInput[[#This Row],[P.All.Math]],ResearchInput[[#This Row],[P.All.Phys]],ResearchInput[[#This Row],[P.All.Psyc]],ResearchInput[[#This Row],[P.All.Soc]],ResearchInput[[#This Row],[P.All.Othr]],ResearchInput[[#This Row],[P.All.Non]])</f>
        <v>0</v>
      </c>
    </row>
    <row r="54" spans="1:207" s="47" customFormat="1" ht="27" customHeight="1" x14ac:dyDescent="0.25">
      <c r="A54" s="34" t="s">
        <v>200</v>
      </c>
      <c r="B54" s="34" t="s">
        <v>680</v>
      </c>
      <c r="C54" s="35" t="s">
        <v>682</v>
      </c>
      <c r="D54" s="35" t="s">
        <v>681</v>
      </c>
      <c r="E54" s="94">
        <v>904</v>
      </c>
      <c r="F54" s="35" t="s">
        <v>714</v>
      </c>
      <c r="G54" s="35" t="s">
        <v>553</v>
      </c>
      <c r="H54" s="96">
        <v>40</v>
      </c>
      <c r="I54" s="92">
        <v>129887838</v>
      </c>
      <c r="J54" s="92">
        <v>39550568</v>
      </c>
      <c r="K54" s="92">
        <v>12346912</v>
      </c>
      <c r="L54" s="92">
        <v>0</v>
      </c>
      <c r="M54" s="92">
        <v>39361907</v>
      </c>
      <c r="N54" s="92">
        <v>11754468</v>
      </c>
      <c r="O54" s="92">
        <v>21558291</v>
      </c>
      <c r="P54" s="92">
        <v>0</v>
      </c>
      <c r="Q54" s="92">
        <v>0</v>
      </c>
      <c r="R54" s="92">
        <v>0</v>
      </c>
      <c r="S54" s="92">
        <v>0</v>
      </c>
      <c r="T54" s="92">
        <v>0</v>
      </c>
      <c r="U54" s="92">
        <v>0</v>
      </c>
      <c r="V54" s="92">
        <v>0</v>
      </c>
      <c r="W54" s="92">
        <v>0</v>
      </c>
      <c r="X54" s="92">
        <v>0</v>
      </c>
      <c r="Y54" s="92">
        <v>-6058732</v>
      </c>
      <c r="Z54" s="92">
        <v>-12278364</v>
      </c>
      <c r="AA54" s="92">
        <v>0</v>
      </c>
      <c r="AB54" s="92">
        <v>0</v>
      </c>
      <c r="AC54" s="92">
        <v>0</v>
      </c>
      <c r="AD54" s="92">
        <v>0</v>
      </c>
      <c r="AE54" s="92">
        <v>-407460</v>
      </c>
      <c r="AF54" s="92">
        <v>0</v>
      </c>
      <c r="AG54" s="92">
        <v>46726723</v>
      </c>
      <c r="AH54" s="92">
        <v>0</v>
      </c>
      <c r="AI54" s="92">
        <v>705216</v>
      </c>
      <c r="AJ54" s="92">
        <v>0</v>
      </c>
      <c r="AK54" s="92">
        <v>0</v>
      </c>
      <c r="AL54" s="92">
        <v>2525791</v>
      </c>
      <c r="AM54" s="92">
        <v>1222499</v>
      </c>
      <c r="AN54" s="92">
        <v>0</v>
      </c>
      <c r="AO54" s="92">
        <v>3987418</v>
      </c>
      <c r="AP54" s="92">
        <v>339196</v>
      </c>
      <c r="AQ54" s="92">
        <v>998317</v>
      </c>
      <c r="AR54" s="92">
        <v>0</v>
      </c>
      <c r="AS54" s="92">
        <v>8129580</v>
      </c>
      <c r="AT54" s="92">
        <v>94316</v>
      </c>
      <c r="AU54" s="92">
        <v>712386</v>
      </c>
      <c r="AV54" s="92">
        <v>0</v>
      </c>
      <c r="AW54" s="92">
        <v>6153989</v>
      </c>
      <c r="AX54" s="92">
        <v>0</v>
      </c>
      <c r="AY54" s="92">
        <v>0</v>
      </c>
      <c r="AZ54" s="92">
        <v>0</v>
      </c>
      <c r="BA54" s="92">
        <v>0</v>
      </c>
      <c r="BB54" s="92">
        <v>4739539</v>
      </c>
      <c r="BC54" s="92">
        <v>3176245</v>
      </c>
      <c r="BD54" s="92">
        <v>0</v>
      </c>
      <c r="BE54" s="92">
        <v>0</v>
      </c>
      <c r="BF54" s="92">
        <v>0</v>
      </c>
      <c r="BG54" s="92">
        <v>0</v>
      </c>
      <c r="BH54" s="92">
        <v>0</v>
      </c>
      <c r="BI54" s="92">
        <v>0</v>
      </c>
      <c r="BJ54" s="92">
        <v>0</v>
      </c>
      <c r="BK54" s="92">
        <v>0</v>
      </c>
      <c r="BL54" s="92">
        <v>0</v>
      </c>
      <c r="BM54" s="92">
        <v>0</v>
      </c>
      <c r="BN54" s="92">
        <v>0</v>
      </c>
      <c r="BO54" s="92">
        <v>0</v>
      </c>
      <c r="BP54" s="92">
        <v>0</v>
      </c>
      <c r="BQ54" s="92">
        <v>0</v>
      </c>
      <c r="BR54" s="92">
        <v>0</v>
      </c>
      <c r="BS54" s="92">
        <v>0</v>
      </c>
      <c r="BT54" s="92">
        <v>0</v>
      </c>
      <c r="BU54" s="92">
        <v>0</v>
      </c>
      <c r="BV54" s="92">
        <v>0</v>
      </c>
      <c r="BW54" s="92">
        <v>0</v>
      </c>
      <c r="BX54" s="92">
        <v>0</v>
      </c>
      <c r="BY54" s="92">
        <v>0</v>
      </c>
      <c r="BZ54" s="92">
        <v>0</v>
      </c>
      <c r="CA54" s="92">
        <v>0</v>
      </c>
      <c r="CB54" s="92">
        <v>0</v>
      </c>
      <c r="CC54" s="92">
        <v>0</v>
      </c>
      <c r="CD54" s="92">
        <v>0</v>
      </c>
      <c r="CE54" s="92">
        <v>0</v>
      </c>
      <c r="CF54" s="92">
        <v>0</v>
      </c>
      <c r="CG54" s="92">
        <v>0</v>
      </c>
      <c r="CH54" s="92">
        <v>0</v>
      </c>
      <c r="CI54" s="92">
        <v>0</v>
      </c>
      <c r="CJ54" s="92">
        <v>0</v>
      </c>
      <c r="CK54" s="92">
        <v>0</v>
      </c>
      <c r="CL54" s="92">
        <v>0</v>
      </c>
      <c r="CM54" s="92">
        <v>0</v>
      </c>
      <c r="CN54" s="92">
        <v>0</v>
      </c>
      <c r="CO54" s="92">
        <v>0</v>
      </c>
      <c r="CP54" s="92">
        <v>0</v>
      </c>
      <c r="CQ54" s="92">
        <v>0</v>
      </c>
      <c r="CR54" s="92">
        <v>0</v>
      </c>
      <c r="CS54" s="92">
        <v>180697236</v>
      </c>
      <c r="CT54" s="92">
        <v>27611400</v>
      </c>
      <c r="CU54" s="92">
        <v>14050445</v>
      </c>
      <c r="CV54" s="92">
        <v>0</v>
      </c>
      <c r="CW54" s="92">
        <v>47491487</v>
      </c>
      <c r="CX54" s="92">
        <v>19114114</v>
      </c>
      <c r="CY54" s="92">
        <v>26261961</v>
      </c>
      <c r="CZ54" s="92">
        <v>0</v>
      </c>
      <c r="DA54" s="92">
        <v>0</v>
      </c>
      <c r="DB54" s="92">
        <v>0</v>
      </c>
      <c r="DC54" s="92">
        <v>0</v>
      </c>
      <c r="DD54" s="92">
        <v>0</v>
      </c>
      <c r="DE54" s="92">
        <v>0</v>
      </c>
      <c r="DF54" s="92">
        <v>0</v>
      </c>
      <c r="DG54" s="92">
        <v>0</v>
      </c>
      <c r="DH54" s="92">
        <v>0</v>
      </c>
      <c r="DI54" s="92">
        <v>0</v>
      </c>
      <c r="DJ54" s="92">
        <v>0</v>
      </c>
      <c r="DK54" s="92">
        <v>0</v>
      </c>
      <c r="DL54" s="92">
        <v>0</v>
      </c>
      <c r="DM54" s="92">
        <v>0</v>
      </c>
      <c r="DN54" s="92">
        <v>0</v>
      </c>
      <c r="DO54" s="92">
        <v>0</v>
      </c>
      <c r="DP54" s="92">
        <v>0</v>
      </c>
      <c r="DQ54" s="92">
        <v>0</v>
      </c>
      <c r="DR54" s="92">
        <v>0</v>
      </c>
      <c r="DS54" s="92">
        <v>0</v>
      </c>
      <c r="DT54" s="92">
        <v>0</v>
      </c>
      <c r="DU54" s="92">
        <v>0</v>
      </c>
      <c r="DV54" s="92">
        <v>0</v>
      </c>
      <c r="DW54" s="92">
        <v>0</v>
      </c>
      <c r="DX54" s="92">
        <v>0</v>
      </c>
      <c r="DY54" s="92">
        <v>0</v>
      </c>
      <c r="DZ54" s="92">
        <v>0</v>
      </c>
      <c r="EA54" s="92">
        <v>0</v>
      </c>
      <c r="EB54" s="92">
        <v>0</v>
      </c>
      <c r="EC54" s="92">
        <v>0</v>
      </c>
      <c r="ED54" s="92">
        <v>0</v>
      </c>
      <c r="EE54" s="92">
        <v>0</v>
      </c>
      <c r="EF54" s="92">
        <v>0</v>
      </c>
      <c r="EG54" s="92">
        <v>0</v>
      </c>
      <c r="EH54" s="92">
        <v>0</v>
      </c>
      <c r="EI54" s="92">
        <v>0</v>
      </c>
      <c r="EJ54" s="92">
        <v>0</v>
      </c>
      <c r="EK54" s="92">
        <v>0</v>
      </c>
      <c r="EL54" s="92">
        <v>0</v>
      </c>
      <c r="EM54" s="92">
        <v>0</v>
      </c>
      <c r="EN54" s="92">
        <v>0</v>
      </c>
      <c r="EO54" s="92">
        <v>0</v>
      </c>
      <c r="EP54" s="92">
        <v>0</v>
      </c>
      <c r="EQ54" s="92">
        <v>0</v>
      </c>
      <c r="ER54" s="92">
        <v>0</v>
      </c>
      <c r="ES54" s="92">
        <v>0</v>
      </c>
      <c r="ET54" s="92">
        <v>0</v>
      </c>
      <c r="EU54" s="92">
        <v>0</v>
      </c>
      <c r="EV54" s="92">
        <v>0</v>
      </c>
      <c r="EW54" s="92">
        <v>178363724</v>
      </c>
      <c r="EX54" s="92">
        <v>27611400</v>
      </c>
      <c r="EY54" s="92">
        <v>13279493</v>
      </c>
      <c r="EZ54" s="92">
        <v>0</v>
      </c>
      <c r="FA54" s="92">
        <v>47491487</v>
      </c>
      <c r="FB54" s="92">
        <v>19114114</v>
      </c>
      <c r="FC54" s="92">
        <v>25793440</v>
      </c>
      <c r="FD54" s="92">
        <v>0</v>
      </c>
      <c r="FE54" s="92">
        <v>1452735</v>
      </c>
      <c r="FF54" s="92">
        <v>0</v>
      </c>
      <c r="FG54" s="92">
        <v>770952</v>
      </c>
      <c r="FH54" s="92">
        <v>0</v>
      </c>
      <c r="FI54" s="92">
        <v>0</v>
      </c>
      <c r="FJ54" s="92">
        <v>0</v>
      </c>
      <c r="FK54" s="92">
        <v>368337</v>
      </c>
      <c r="FL54" s="92">
        <v>0</v>
      </c>
      <c r="FM54" s="92">
        <v>880777</v>
      </c>
      <c r="FN54" s="92">
        <v>0</v>
      </c>
      <c r="FO54" s="92">
        <v>0</v>
      </c>
      <c r="FP54" s="92">
        <v>0</v>
      </c>
      <c r="FQ54" s="92">
        <v>0</v>
      </c>
      <c r="FR54" s="92">
        <v>0</v>
      </c>
      <c r="FS54" s="92">
        <v>100184</v>
      </c>
      <c r="FT54" s="92">
        <v>0</v>
      </c>
      <c r="FU54" s="92">
        <v>0</v>
      </c>
      <c r="FV54" s="92">
        <v>0</v>
      </c>
      <c r="FW54" s="92">
        <v>0</v>
      </c>
      <c r="FX54" s="92">
        <v>0</v>
      </c>
      <c r="FY54" s="92">
        <v>0</v>
      </c>
      <c r="FZ54" s="92">
        <v>0</v>
      </c>
      <c r="GA54" s="92">
        <v>0</v>
      </c>
      <c r="GB54" s="92">
        <v>0</v>
      </c>
      <c r="GC54" s="92">
        <v>0</v>
      </c>
      <c r="GD54" s="92">
        <v>254459984</v>
      </c>
      <c r="GE54" s="92">
        <v>257006558</v>
      </c>
      <c r="GF54" s="92">
        <v>1438816154</v>
      </c>
      <c r="GG54" s="47" t="s">
        <v>442</v>
      </c>
      <c r="GH54" s="47" t="s">
        <v>443</v>
      </c>
      <c r="GI54" s="93">
        <v>2105626268</v>
      </c>
      <c r="GJ54" s="47" t="s">
        <v>444</v>
      </c>
      <c r="GK54" s="185" t="s">
        <v>1010</v>
      </c>
      <c r="GM54" s="93" t="s">
        <v>1010</v>
      </c>
      <c r="GN54" s="185" t="s">
        <v>1010</v>
      </c>
      <c r="GO54" s="92" cm="1">
        <f t="array" ref="GO54">IFERROR(_xlfn.IFS(ResearchInput[[#This Row],[Type]]="HRI",SUMIFS('FTSE | FTFE'!$P$8:$P$77,'FTSE | FTFE'!$H$8:$H$77,A54),ResearchInput[[#This Row],[Type]]="UNIV",SUMIFS('FTSE | FTFE'!$P$104:$P$139,'FTSE | FTFE'!$H$104:$H$139,A54),OR(ResearchInput[[#This Row],[Type]]="TSTC",ResearchInput[[#This Row],[Type]]="LSC"),SUMIFS('FTSE | FTFE'!$O$88:$O$96,'FTSE | FTFE'!$H$88:$H$96,A54),ResearchInput[[#This Row],[Type]]="AHM",SUMIFS(Hidden!$H$43:$H$46,Hidden!$G$42:$G$45,A54)),"N/A")</f>
        <v>4277</v>
      </c>
      <c r="GP54" s="92" cm="1">
        <f t="array" ref="GP54">IFERROR(_xlfn.IFS(ResearchInput[[#This Row],[Type]]="HRI",SUMIFS('FTSE | FTFE'!$Q$8:$Q$77,'FTSE | FTFE'!$H$8:$H$77,A54),ResearchInput[[#This Row],[Type]]="UNIV",SUMIFS('FTSE | FTFE'!$Q$104:$Q$139,'FTSE | FTFE'!$H$104:$H$139,A54),OR(ResearchInput[[#This Row],[Type]]="TSTC",ResearchInput[[#This Row],[Type]]="LSC"),SUMIFS('FTSE | FTFE'!$P$88:$P$96,'FTSE | FTFE'!$H$88:$H$96,A54)),"N/A")</f>
        <v>369.99</v>
      </c>
      <c r="GQ54" s="92">
        <v>14069773</v>
      </c>
      <c r="GR54" s="92">
        <f>SUM(ResearchInput[[#This Row],[Fed.Comp]],ResearchInput[[#This Row],[Fed.Eng]],ResearchInput[[#This Row],[Fed.Geo]],ResearchInput[[#This Row],[Fed.Life]],ResearchInput[[#This Row],[Fed.Math]],ResearchInput[[#This Row],[Fed.Phys]],ResearchInput[[#This Row],[Fed.Psyc]],ResearchInput[[#This Row],[Fed.Soc]],ResearchInput[[#This Row],[Fed.Othr]],ResearchInput[[#This Row],[Fed.Non]])</f>
        <v>180697236</v>
      </c>
      <c r="GS54" s="92">
        <f>SUM(ResearchInput[[#This Row],[St.Comp]],ResearchInput[[#This Row],[St.Eng]],ResearchInput[[#This Row],[St.Geo]],ResearchInput[[#This Row],[St.Life]],ResearchInput[[#This Row],[St.Math]],ResearchInput[[#This Row],[St.Phys]],ResearchInput[[#This Row],[St.Psyc]],ResearchInput[[#This Row],[St.Soc]],ResearchInput[[#This Row],[St.Othr]],ResearchInput[[#This Row],[St.Non]])</f>
        <v>27611400</v>
      </c>
      <c r="GT54" s="92">
        <f>SUM(ResearchInput[[#This Row],[St.C&amp;G.Comp]],ResearchInput[[#This Row],[St.C&amp;G.Eng]],ResearchInput[[#This Row],[St.C&amp;G.Geo]],ResearchInput[[#This Row],[St.C&amp;G.Life]],ResearchInput[[#This Row],[St.C&amp;G.Math]],ResearchInput[[#This Row],[St.C&amp;G.Phys]],ResearchInput[[#This Row],[St.C&amp;G.Psyc]],ResearchInput[[#This Row],[St.C&amp;G.Soc]],ResearchInput[[#This Row],[St.C&amp;G.Othr]],ResearchInput[[#This Row],[St.C&amp;G.Non]])</f>
        <v>14050445</v>
      </c>
      <c r="GU54" s="92">
        <f>SUM(ResearchInput[[#This Row],[St.All.Comp]],ResearchInput[[#This Row],[St.All.Eng]],ResearchInput[[#This Row],[St.All.Geo]],ResearchInput[[#This Row],[St.All.Life]],ResearchInput[[#This Row],[St.All.Math]],ResearchInput[[#This Row],[St.All.Phys]],ResearchInput[[#This Row],[St.All.Psyc]],ResearchInput[[#This Row],[St.All.Soc]],ResearchInput[[#This Row],[St.All.Othr]],ResearchInput[[#This Row],[St.All.Non]])</f>
        <v>0</v>
      </c>
      <c r="GV54" s="92">
        <f>SUM(ResearchInput[[#This Row],[Inst.Comp]],ResearchInput[[#This Row],[Inst.Eng]],ResearchInput[[#This Row],[Inst.Geo]],ResearchInput[[#This Row],[Inst.Life]],ResearchInput[[#This Row],[Inst.Math]],ResearchInput[[#This Row],[Inst.Phys]],ResearchInput[[#This Row],[Inst.Psyc]],ResearchInput[[#This Row],[Inst.Soc]],ResearchInput[[#This Row],[Inst.Othr]],ResearchInput[[#This Row],[Inst.Non]])</f>
        <v>47491487</v>
      </c>
      <c r="GW54" s="92">
        <f>SUM(ResearchInput[[#This Row],[P4P.Comp]],ResearchInput[[#This Row],[P4P.Eng]],ResearchInput[[#This Row],[P4P.Geo]],ResearchInput[[#This Row],[P4P.Life]],ResearchInput[[#This Row],[P4P.Math]],ResearchInput[[#This Row],[P4P.Phys]],ResearchInput[[#This Row],[P4P.Psyc]],ResearchInput[[#This Row],[P4P.Soc]],ResearchInput[[#This Row],[P4P.Othr]],ResearchInput[[#This Row],[P4P.Non]])</f>
        <v>19114114</v>
      </c>
      <c r="GX54" s="92">
        <f>SUM(ResearchInput[[#This Row],[PNP.Comp]],ResearchInput[[#This Row],[PNP.Eng]],ResearchInput[[#This Row],[PNP.Geo]],ResearchInput[[#This Row],[PNP.Life]],ResearchInput[[#This Row],[PNP.Math]],ResearchInput[[#This Row],[PNP.Phys]],ResearchInput[[#This Row],[PNP.Psyc]],ResearchInput[[#This Row],[PNP.Soc]],ResearchInput[[#This Row],[PNP.Othr]],ResearchInput[[#This Row],[PNP.Non]])</f>
        <v>26261961</v>
      </c>
      <c r="GY54" s="92">
        <f>SUM(ResearchInput[[#This Row],[P.All.Comp]],ResearchInput[[#This Row],[P.All.Eng]],ResearchInput[[#This Row],[P.All.Geo]],ResearchInput[[#This Row],[P.All.Life]],ResearchInput[[#This Row],[P.All.Math]],ResearchInput[[#This Row],[P.All.Phys]],ResearchInput[[#This Row],[P.All.Psyc]],ResearchInput[[#This Row],[P.All.Soc]],ResearchInput[[#This Row],[P.All.Othr]],ResearchInput[[#This Row],[P.All.Non]])</f>
        <v>0</v>
      </c>
    </row>
    <row r="55" spans="1:207" s="47" customFormat="1" ht="27" customHeight="1" x14ac:dyDescent="0.25">
      <c r="A55" s="34" t="s">
        <v>762</v>
      </c>
      <c r="B55" s="34" t="s">
        <v>680</v>
      </c>
      <c r="C55" s="35" t="s">
        <v>553</v>
      </c>
      <c r="D55" s="35" t="s">
        <v>681</v>
      </c>
      <c r="E55" s="94">
        <v>905</v>
      </c>
      <c r="F55" s="35" t="s">
        <v>714</v>
      </c>
      <c r="G55" s="35" t="s">
        <v>553</v>
      </c>
      <c r="H55" s="96">
        <v>203599</v>
      </c>
      <c r="I55" s="92">
        <v>9610355</v>
      </c>
      <c r="J55" s="92">
        <v>5233126</v>
      </c>
      <c r="K55" s="92">
        <v>1832356</v>
      </c>
      <c r="L55" s="92">
        <v>0</v>
      </c>
      <c r="M55" s="92">
        <v>2677994</v>
      </c>
      <c r="N55" s="92">
        <v>202284</v>
      </c>
      <c r="O55" s="92">
        <v>2872599</v>
      </c>
      <c r="P55" s="92">
        <v>116800</v>
      </c>
      <c r="Q55" s="92">
        <v>0</v>
      </c>
      <c r="R55" s="92">
        <v>0</v>
      </c>
      <c r="S55" s="92">
        <v>0</v>
      </c>
      <c r="T55" s="92">
        <v>0</v>
      </c>
      <c r="U55" s="92">
        <v>0</v>
      </c>
      <c r="V55" s="92">
        <v>0</v>
      </c>
      <c r="W55" s="92">
        <v>0</v>
      </c>
      <c r="X55" s="92">
        <v>0</v>
      </c>
      <c r="Y55" s="92">
        <v>-288289</v>
      </c>
      <c r="Z55" s="92">
        <v>0</v>
      </c>
      <c r="AA55" s="92">
        <v>0</v>
      </c>
      <c r="AB55" s="92">
        <v>0</v>
      </c>
      <c r="AC55" s="92">
        <v>0</v>
      </c>
      <c r="AD55" s="92">
        <v>0</v>
      </c>
      <c r="AE55" s="92">
        <v>0</v>
      </c>
      <c r="AF55" s="92">
        <v>0</v>
      </c>
      <c r="AG55" s="92">
        <v>4016366</v>
      </c>
      <c r="AH55" s="92">
        <v>0</v>
      </c>
      <c r="AI55" s="92">
        <v>106202</v>
      </c>
      <c r="AJ55" s="92">
        <v>0</v>
      </c>
      <c r="AK55" s="92">
        <v>0</v>
      </c>
      <c r="AL55" s="92">
        <v>71540</v>
      </c>
      <c r="AM55" s="92">
        <v>284023</v>
      </c>
      <c r="AN55" s="92">
        <v>0</v>
      </c>
      <c r="AO55" s="92">
        <v>1492898</v>
      </c>
      <c r="AP55" s="92">
        <v>0</v>
      </c>
      <c r="AQ55" s="92">
        <v>38618</v>
      </c>
      <c r="AR55" s="92">
        <v>0</v>
      </c>
      <c r="AS55" s="92">
        <v>566298</v>
      </c>
      <c r="AT55" s="92">
        <v>0</v>
      </c>
      <c r="AU55" s="92">
        <v>999939</v>
      </c>
      <c r="AV55" s="92">
        <v>0</v>
      </c>
      <c r="AW55" s="92">
        <v>0</v>
      </c>
      <c r="AX55" s="92">
        <v>0</v>
      </c>
      <c r="AY55" s="92">
        <v>0</v>
      </c>
      <c r="AZ55" s="92">
        <v>0</v>
      </c>
      <c r="BA55" s="92">
        <v>0</v>
      </c>
      <c r="BB55" s="92">
        <v>0</v>
      </c>
      <c r="BC55" s="92">
        <v>0</v>
      </c>
      <c r="BD55" s="92">
        <v>0</v>
      </c>
      <c r="BE55" s="92">
        <v>0</v>
      </c>
      <c r="BF55" s="92">
        <v>0</v>
      </c>
      <c r="BG55" s="92">
        <v>0</v>
      </c>
      <c r="BH55" s="92">
        <v>0</v>
      </c>
      <c r="BI55" s="92">
        <v>0</v>
      </c>
      <c r="BJ55" s="92">
        <v>0</v>
      </c>
      <c r="BK55" s="92">
        <v>0</v>
      </c>
      <c r="BL55" s="92">
        <v>0</v>
      </c>
      <c r="BM55" s="92">
        <v>0</v>
      </c>
      <c r="BN55" s="92">
        <v>0</v>
      </c>
      <c r="BO55" s="92">
        <v>0</v>
      </c>
      <c r="BP55" s="92">
        <v>0</v>
      </c>
      <c r="BQ55" s="92">
        <v>0</v>
      </c>
      <c r="BR55" s="92">
        <v>0</v>
      </c>
      <c r="BS55" s="92">
        <v>0</v>
      </c>
      <c r="BT55" s="92">
        <v>0</v>
      </c>
      <c r="BU55" s="92">
        <v>0</v>
      </c>
      <c r="BV55" s="92">
        <v>0</v>
      </c>
      <c r="BW55" s="92">
        <v>0</v>
      </c>
      <c r="BX55" s="92">
        <v>0</v>
      </c>
      <c r="BY55" s="92">
        <v>0</v>
      </c>
      <c r="BZ55" s="92">
        <v>0</v>
      </c>
      <c r="CA55" s="92">
        <v>0</v>
      </c>
      <c r="CB55" s="92">
        <v>0</v>
      </c>
      <c r="CC55" s="92">
        <v>0</v>
      </c>
      <c r="CD55" s="92">
        <v>0</v>
      </c>
      <c r="CE55" s="92">
        <v>0</v>
      </c>
      <c r="CF55" s="92">
        <v>0</v>
      </c>
      <c r="CG55" s="92">
        <v>0</v>
      </c>
      <c r="CH55" s="92">
        <v>0</v>
      </c>
      <c r="CI55" s="92">
        <v>0</v>
      </c>
      <c r="CJ55" s="92">
        <v>0</v>
      </c>
      <c r="CK55" s="92">
        <v>0</v>
      </c>
      <c r="CL55" s="92">
        <v>0</v>
      </c>
      <c r="CM55" s="92">
        <v>0</v>
      </c>
      <c r="CN55" s="92">
        <v>0</v>
      </c>
      <c r="CO55" s="92">
        <v>0</v>
      </c>
      <c r="CP55" s="92">
        <v>0</v>
      </c>
      <c r="CQ55" s="92">
        <v>0</v>
      </c>
      <c r="CR55" s="92">
        <v>0</v>
      </c>
      <c r="CS55" s="92">
        <v>14831330</v>
      </c>
      <c r="CT55" s="92">
        <v>5233126</v>
      </c>
      <c r="CU55" s="92">
        <v>1977176</v>
      </c>
      <c r="CV55" s="92">
        <v>0</v>
      </c>
      <c r="CW55" s="92">
        <v>2823467</v>
      </c>
      <c r="CX55" s="92">
        <v>273824</v>
      </c>
      <c r="CY55" s="92">
        <v>4156561</v>
      </c>
      <c r="CZ55" s="92">
        <v>122895</v>
      </c>
      <c r="DA55" s="92">
        <v>0</v>
      </c>
      <c r="DB55" s="92">
        <v>0</v>
      </c>
      <c r="DC55" s="92">
        <v>0</v>
      </c>
      <c r="DD55" s="92">
        <v>0</v>
      </c>
      <c r="DE55" s="92">
        <v>0</v>
      </c>
      <c r="DF55" s="92">
        <v>0</v>
      </c>
      <c r="DG55" s="92">
        <v>0</v>
      </c>
      <c r="DH55" s="92">
        <v>0</v>
      </c>
      <c r="DI55" s="92">
        <v>0</v>
      </c>
      <c r="DJ55" s="92">
        <v>0</v>
      </c>
      <c r="DK55" s="92">
        <v>0</v>
      </c>
      <c r="DL55" s="92">
        <v>0</v>
      </c>
      <c r="DM55" s="92">
        <v>0</v>
      </c>
      <c r="DN55" s="92">
        <v>0</v>
      </c>
      <c r="DO55" s="92">
        <v>0</v>
      </c>
      <c r="DP55" s="92">
        <v>0</v>
      </c>
      <c r="DQ55" s="92">
        <v>0</v>
      </c>
      <c r="DR55" s="92">
        <v>0</v>
      </c>
      <c r="DS55" s="92">
        <v>0</v>
      </c>
      <c r="DT55" s="92">
        <v>0</v>
      </c>
      <c r="DU55" s="92">
        <v>0</v>
      </c>
      <c r="DV55" s="92">
        <v>0</v>
      </c>
      <c r="DW55" s="92">
        <v>0</v>
      </c>
      <c r="DX55" s="92">
        <v>0</v>
      </c>
      <c r="DY55" s="92">
        <v>0</v>
      </c>
      <c r="DZ55" s="92">
        <v>0</v>
      </c>
      <c r="EA55" s="92">
        <v>0</v>
      </c>
      <c r="EB55" s="92">
        <v>0</v>
      </c>
      <c r="EC55" s="92">
        <v>0</v>
      </c>
      <c r="ED55" s="92">
        <v>0</v>
      </c>
      <c r="EE55" s="92">
        <v>0</v>
      </c>
      <c r="EF55" s="92">
        <v>0</v>
      </c>
      <c r="EG55" s="92">
        <v>0</v>
      </c>
      <c r="EH55" s="92">
        <v>0</v>
      </c>
      <c r="EI55" s="92">
        <v>0</v>
      </c>
      <c r="EJ55" s="92">
        <v>0</v>
      </c>
      <c r="EK55" s="92">
        <v>0</v>
      </c>
      <c r="EL55" s="92">
        <v>0</v>
      </c>
      <c r="EM55" s="92">
        <v>0</v>
      </c>
      <c r="EN55" s="92">
        <v>0</v>
      </c>
      <c r="EO55" s="92">
        <v>0</v>
      </c>
      <c r="EP55" s="92">
        <v>0</v>
      </c>
      <c r="EQ55" s="92">
        <v>0</v>
      </c>
      <c r="ER55" s="92">
        <v>0</v>
      </c>
      <c r="ES55" s="92">
        <v>420825</v>
      </c>
      <c r="ET55" s="92">
        <v>0</v>
      </c>
      <c r="EU55" s="92">
        <v>0</v>
      </c>
      <c r="EV55" s="92">
        <v>-6095</v>
      </c>
      <c r="EW55" s="92">
        <v>14831331</v>
      </c>
      <c r="EX55" s="92">
        <v>5233126</v>
      </c>
      <c r="EY55" s="92">
        <v>1977175</v>
      </c>
      <c r="EZ55" s="92">
        <v>0</v>
      </c>
      <c r="FA55" s="92">
        <v>2823468</v>
      </c>
      <c r="FB55" s="92">
        <v>273824</v>
      </c>
      <c r="FC55" s="92">
        <v>4156560</v>
      </c>
      <c r="FD55" s="92">
        <v>116800</v>
      </c>
      <c r="FE55" s="92">
        <v>0</v>
      </c>
      <c r="FF55" s="92">
        <v>0</v>
      </c>
      <c r="FG55" s="92">
        <v>0</v>
      </c>
      <c r="FH55" s="92">
        <v>0</v>
      </c>
      <c r="FI55" s="92">
        <v>0</v>
      </c>
      <c r="FJ55" s="92">
        <v>0</v>
      </c>
      <c r="FK55" s="92">
        <v>0</v>
      </c>
      <c r="FL55" s="92">
        <v>0</v>
      </c>
      <c r="FM55" s="92">
        <v>0</v>
      </c>
      <c r="FN55" s="92">
        <v>0</v>
      </c>
      <c r="FO55" s="92">
        <v>0</v>
      </c>
      <c r="FP55" s="92">
        <v>0</v>
      </c>
      <c r="FQ55" s="92">
        <v>0</v>
      </c>
      <c r="FR55" s="92">
        <v>0</v>
      </c>
      <c r="FS55" s="92">
        <v>0</v>
      </c>
      <c r="FT55" s="92">
        <v>0</v>
      </c>
      <c r="FU55" s="92">
        <v>0</v>
      </c>
      <c r="FV55" s="92">
        <v>0</v>
      </c>
      <c r="FW55" s="92">
        <v>0</v>
      </c>
      <c r="FX55" s="92">
        <v>0</v>
      </c>
      <c r="FY55" s="92">
        <v>0</v>
      </c>
      <c r="FZ55" s="92">
        <v>0</v>
      </c>
      <c r="GA55" s="92">
        <v>0</v>
      </c>
      <c r="GB55" s="92">
        <v>0</v>
      </c>
      <c r="GC55" s="92">
        <v>0</v>
      </c>
      <c r="GD55" s="92">
        <v>22545514</v>
      </c>
      <c r="GE55" s="92">
        <v>25354978</v>
      </c>
      <c r="GF55" s="92">
        <v>146794704</v>
      </c>
      <c r="GG55" s="47" t="s">
        <v>491</v>
      </c>
      <c r="GH55" s="47" t="s">
        <v>492</v>
      </c>
      <c r="GI55" s="93">
        <v>9568828262</v>
      </c>
      <c r="GJ55" s="47" t="s">
        <v>493</v>
      </c>
      <c r="GK55" s="47" t="s">
        <v>494</v>
      </c>
      <c r="GL55" s="47" t="s">
        <v>495</v>
      </c>
      <c r="GM55" s="93">
        <v>9566657906</v>
      </c>
      <c r="GN55" s="47" t="s">
        <v>496</v>
      </c>
      <c r="GO55" s="92" cm="1">
        <f t="array" ref="GO55">IFERROR(_xlfn.IFS(ResearchInput[[#This Row],[Type]]="HRI",SUMIFS('FTSE | FTFE'!$P$8:$P$77,'FTSE | FTFE'!$H$8:$H$77,A55),ResearchInput[[#This Row],[Type]]="UNIV",SUMIFS('FTSE | FTFE'!$P$104:$P$139,'FTSE | FTFE'!$H$104:$H$139,A55),OR(ResearchInput[[#This Row],[Type]]="TSTC",ResearchInput[[#This Row],[Type]]="LSC"),SUMIFS('FTSE | FTFE'!$O$88:$O$96,'FTSE | FTFE'!$H$88:$H$96,A55),ResearchInput[[#This Row],[Type]]="AHM",SUMIFS(Hidden!$H$43:$H$46,Hidden!$G$42:$G$45,A55)),"N/A")</f>
        <v>303</v>
      </c>
      <c r="GP55" s="92" cm="1">
        <f t="array" ref="GP55">IFERROR(_xlfn.IFS(ResearchInput[[#This Row],[Type]]="HRI",SUMIFS('FTSE | FTFE'!$Q$8:$Q$77,'FTSE | FTFE'!$H$8:$H$77,A55),ResearchInput[[#This Row],[Type]]="UNIV",SUMIFS('FTSE | FTFE'!$Q$104:$Q$139,'FTSE | FTFE'!$H$104:$H$139,A55),OR(ResearchInput[[#This Row],[Type]]="TSTC",ResearchInput[[#This Row],[Type]]="LSC"),SUMIFS('FTSE | FTFE'!$P$88:$P$96,'FTSE | FTFE'!$H$88:$H$96,A55)),"N/A")</f>
        <v>29.36</v>
      </c>
      <c r="GQ55" s="92">
        <v>0</v>
      </c>
      <c r="GR55" s="92">
        <f>SUM(ResearchInput[[#This Row],[Fed.Comp]],ResearchInput[[#This Row],[Fed.Eng]],ResearchInput[[#This Row],[Fed.Geo]],ResearchInput[[#This Row],[Fed.Life]],ResearchInput[[#This Row],[Fed.Math]],ResearchInput[[#This Row],[Fed.Phys]],ResearchInput[[#This Row],[Fed.Psyc]],ResearchInput[[#This Row],[Fed.Soc]],ResearchInput[[#This Row],[Fed.Othr]],ResearchInput[[#This Row],[Fed.Non]])</f>
        <v>14831330</v>
      </c>
      <c r="GS55" s="92">
        <f>SUM(ResearchInput[[#This Row],[St.Comp]],ResearchInput[[#This Row],[St.Eng]],ResearchInput[[#This Row],[St.Geo]],ResearchInput[[#This Row],[St.Life]],ResearchInput[[#This Row],[St.Math]],ResearchInput[[#This Row],[St.Phys]],ResearchInput[[#This Row],[St.Psyc]],ResearchInput[[#This Row],[St.Soc]],ResearchInput[[#This Row],[St.Othr]],ResearchInput[[#This Row],[St.Non]])</f>
        <v>5233126</v>
      </c>
      <c r="GT55" s="92">
        <f>SUM(ResearchInput[[#This Row],[St.C&amp;G.Comp]],ResearchInput[[#This Row],[St.C&amp;G.Eng]],ResearchInput[[#This Row],[St.C&amp;G.Geo]],ResearchInput[[#This Row],[St.C&amp;G.Life]],ResearchInput[[#This Row],[St.C&amp;G.Math]],ResearchInput[[#This Row],[St.C&amp;G.Phys]],ResearchInput[[#This Row],[St.C&amp;G.Psyc]],ResearchInput[[#This Row],[St.C&amp;G.Soc]],ResearchInput[[#This Row],[St.C&amp;G.Othr]],ResearchInput[[#This Row],[St.C&amp;G.Non]])</f>
        <v>1977176</v>
      </c>
      <c r="GU55" s="92">
        <f>SUM(ResearchInput[[#This Row],[St.All.Comp]],ResearchInput[[#This Row],[St.All.Eng]],ResearchInput[[#This Row],[St.All.Geo]],ResearchInput[[#This Row],[St.All.Life]],ResearchInput[[#This Row],[St.All.Math]],ResearchInput[[#This Row],[St.All.Phys]],ResearchInput[[#This Row],[St.All.Psyc]],ResearchInput[[#This Row],[St.All.Soc]],ResearchInput[[#This Row],[St.All.Othr]],ResearchInput[[#This Row],[St.All.Non]])</f>
        <v>0</v>
      </c>
      <c r="GV55" s="92">
        <f>SUM(ResearchInput[[#This Row],[Inst.Comp]],ResearchInput[[#This Row],[Inst.Eng]],ResearchInput[[#This Row],[Inst.Geo]],ResearchInput[[#This Row],[Inst.Life]],ResearchInput[[#This Row],[Inst.Math]],ResearchInput[[#This Row],[Inst.Phys]],ResearchInput[[#This Row],[Inst.Psyc]],ResearchInput[[#This Row],[Inst.Soc]],ResearchInput[[#This Row],[Inst.Othr]],ResearchInput[[#This Row],[Inst.Non]])</f>
        <v>3244292</v>
      </c>
      <c r="GW55" s="92">
        <f>SUM(ResearchInput[[#This Row],[P4P.Comp]],ResearchInput[[#This Row],[P4P.Eng]],ResearchInput[[#This Row],[P4P.Geo]],ResearchInput[[#This Row],[P4P.Life]],ResearchInput[[#This Row],[P4P.Math]],ResearchInput[[#This Row],[P4P.Phys]],ResearchInput[[#This Row],[P4P.Psyc]],ResearchInput[[#This Row],[P4P.Soc]],ResearchInput[[#This Row],[P4P.Othr]],ResearchInput[[#This Row],[P4P.Non]])</f>
        <v>273824</v>
      </c>
      <c r="GX55" s="92">
        <f>SUM(ResearchInput[[#This Row],[PNP.Comp]],ResearchInput[[#This Row],[PNP.Eng]],ResearchInput[[#This Row],[PNP.Geo]],ResearchInput[[#This Row],[PNP.Life]],ResearchInput[[#This Row],[PNP.Math]],ResearchInput[[#This Row],[PNP.Phys]],ResearchInput[[#This Row],[PNP.Psyc]],ResearchInput[[#This Row],[PNP.Soc]],ResearchInput[[#This Row],[PNP.Othr]],ResearchInput[[#This Row],[PNP.Non]])</f>
        <v>4156561</v>
      </c>
      <c r="GY55" s="92">
        <f>SUM(ResearchInput[[#This Row],[P.All.Comp]],ResearchInput[[#This Row],[P.All.Eng]],ResearchInput[[#This Row],[P.All.Geo]],ResearchInput[[#This Row],[P.All.Life]],ResearchInput[[#This Row],[P.All.Math]],ResearchInput[[#This Row],[P.All.Phys]],ResearchInput[[#This Row],[P.All.Psyc]],ResearchInput[[#This Row],[P.All.Soc]],ResearchInput[[#This Row],[P.All.Othr]],ResearchInput[[#This Row],[P.All.Non]])</f>
        <v>116800</v>
      </c>
    </row>
    <row r="56" spans="1:207" s="47" customFormat="1" ht="27" customHeight="1" x14ac:dyDescent="0.25">
      <c r="A56" s="34" t="s">
        <v>201</v>
      </c>
      <c r="B56" s="34" t="s">
        <v>680</v>
      </c>
      <c r="C56" s="35" t="s">
        <v>682</v>
      </c>
      <c r="D56" s="35" t="s">
        <v>681</v>
      </c>
      <c r="E56" s="94">
        <v>906</v>
      </c>
      <c r="F56" s="35" t="s">
        <v>714</v>
      </c>
      <c r="G56" s="35" t="s">
        <v>553</v>
      </c>
      <c r="H56" s="96">
        <v>25554</v>
      </c>
      <c r="I56" s="92">
        <v>189402795</v>
      </c>
      <c r="J56" s="92">
        <v>19450387</v>
      </c>
      <c r="K56" s="92">
        <v>41955572</v>
      </c>
      <c r="L56" s="92">
        <v>308184645</v>
      </c>
      <c r="M56" s="92">
        <v>207304178</v>
      </c>
      <c r="N56" s="92">
        <v>213621373</v>
      </c>
      <c r="O56" s="92">
        <v>48647236</v>
      </c>
      <c r="P56" s="92">
        <v>147524528</v>
      </c>
      <c r="Q56" s="92">
        <v>0</v>
      </c>
      <c r="R56" s="92">
        <v>0</v>
      </c>
      <c r="S56" s="92">
        <v>0</v>
      </c>
      <c r="T56" s="92">
        <v>-9866507</v>
      </c>
      <c r="U56" s="92">
        <v>-1335638</v>
      </c>
      <c r="V56" s="92">
        <v>-4471742</v>
      </c>
      <c r="W56" s="92">
        <v>0</v>
      </c>
      <c r="X56" s="92">
        <v>-1311881</v>
      </c>
      <c r="Y56" s="92">
        <v>-4475397</v>
      </c>
      <c r="Z56" s="92">
        <v>0</v>
      </c>
      <c r="AA56" s="92">
        <v>-1278813</v>
      </c>
      <c r="AB56" s="92">
        <v>0</v>
      </c>
      <c r="AC56" s="92">
        <v>0</v>
      </c>
      <c r="AD56" s="92">
        <v>427</v>
      </c>
      <c r="AE56" s="92">
        <v>0</v>
      </c>
      <c r="AF56" s="92">
        <v>0</v>
      </c>
      <c r="AG56" s="92">
        <v>87417369</v>
      </c>
      <c r="AH56" s="92">
        <v>0</v>
      </c>
      <c r="AI56" s="92">
        <v>2009120</v>
      </c>
      <c r="AJ56" s="92">
        <v>0</v>
      </c>
      <c r="AK56" s="92">
        <v>0</v>
      </c>
      <c r="AL56" s="92">
        <v>61730083</v>
      </c>
      <c r="AM56" s="92">
        <v>3402615</v>
      </c>
      <c r="AN56" s="92">
        <v>57615</v>
      </c>
      <c r="AO56" s="92">
        <v>2359549</v>
      </c>
      <c r="AP56" s="92">
        <v>0</v>
      </c>
      <c r="AQ56" s="92">
        <v>444712</v>
      </c>
      <c r="AR56" s="92">
        <v>4322400</v>
      </c>
      <c r="AS56" s="92">
        <v>6770860</v>
      </c>
      <c r="AT56" s="92">
        <v>31260</v>
      </c>
      <c r="AU56" s="92">
        <v>480641</v>
      </c>
      <c r="AV56" s="92">
        <v>3399496</v>
      </c>
      <c r="AW56" s="92">
        <v>0</v>
      </c>
      <c r="AX56" s="92">
        <v>0</v>
      </c>
      <c r="AY56" s="92">
        <v>0</v>
      </c>
      <c r="AZ56" s="92">
        <v>0</v>
      </c>
      <c r="BA56" s="92">
        <v>0</v>
      </c>
      <c r="BB56" s="92">
        <v>0</v>
      </c>
      <c r="BC56" s="92">
        <v>0</v>
      </c>
      <c r="BD56" s="92">
        <v>0</v>
      </c>
      <c r="BE56" s="92">
        <v>0</v>
      </c>
      <c r="BF56" s="92">
        <v>0</v>
      </c>
      <c r="BG56" s="92">
        <v>0</v>
      </c>
      <c r="BH56" s="92">
        <v>0</v>
      </c>
      <c r="BI56" s="92">
        <v>0</v>
      </c>
      <c r="BJ56" s="92">
        <v>0</v>
      </c>
      <c r="BK56" s="92">
        <v>0</v>
      </c>
      <c r="BL56" s="92">
        <v>0</v>
      </c>
      <c r="BM56" s="92">
        <v>0</v>
      </c>
      <c r="BN56" s="92">
        <v>0</v>
      </c>
      <c r="BO56" s="92">
        <v>0</v>
      </c>
      <c r="BP56" s="92">
        <v>0</v>
      </c>
      <c r="BQ56" s="92">
        <v>0</v>
      </c>
      <c r="BR56" s="92">
        <v>0</v>
      </c>
      <c r="BS56" s="92">
        <v>0</v>
      </c>
      <c r="BT56" s="92">
        <v>0</v>
      </c>
      <c r="BU56" s="92">
        <v>0</v>
      </c>
      <c r="BV56" s="92">
        <v>0</v>
      </c>
      <c r="BW56" s="92">
        <v>0</v>
      </c>
      <c r="BX56" s="92">
        <v>0</v>
      </c>
      <c r="BY56" s="92">
        <v>0</v>
      </c>
      <c r="BZ56" s="92">
        <v>0</v>
      </c>
      <c r="CA56" s="92">
        <v>0</v>
      </c>
      <c r="CB56" s="92">
        <v>0</v>
      </c>
      <c r="CC56" s="92">
        <v>0</v>
      </c>
      <c r="CD56" s="92">
        <v>0</v>
      </c>
      <c r="CE56" s="92">
        <v>0</v>
      </c>
      <c r="CF56" s="92">
        <v>0</v>
      </c>
      <c r="CG56" s="92">
        <v>0</v>
      </c>
      <c r="CH56" s="92">
        <v>0</v>
      </c>
      <c r="CI56" s="92">
        <v>0</v>
      </c>
      <c r="CJ56" s="92">
        <v>0</v>
      </c>
      <c r="CK56" s="92">
        <v>0</v>
      </c>
      <c r="CL56" s="92">
        <v>0</v>
      </c>
      <c r="CM56" s="92">
        <v>0</v>
      </c>
      <c r="CN56" s="92">
        <v>0</v>
      </c>
      <c r="CO56" s="92">
        <v>0</v>
      </c>
      <c r="CP56" s="92">
        <v>0</v>
      </c>
      <c r="CQ56" s="92">
        <v>0</v>
      </c>
      <c r="CR56" s="92">
        <v>0</v>
      </c>
      <c r="CS56" s="92">
        <v>239047577</v>
      </c>
      <c r="CT56" s="92">
        <v>18129298</v>
      </c>
      <c r="CU56" s="92">
        <v>37458635</v>
      </c>
      <c r="CV56" s="92">
        <v>281972011</v>
      </c>
      <c r="CW56" s="92">
        <v>191553713</v>
      </c>
      <c r="CX56" s="92">
        <v>268274498</v>
      </c>
      <c r="CY56" s="92">
        <v>48712423</v>
      </c>
      <c r="CZ56" s="92">
        <v>146327973</v>
      </c>
      <c r="DA56" s="92">
        <v>7862299</v>
      </c>
      <c r="DB56" s="92">
        <v>654765</v>
      </c>
      <c r="DC56" s="92">
        <v>331116</v>
      </c>
      <c r="DD56" s="92">
        <v>10033988</v>
      </c>
      <c r="DE56" s="92">
        <v>2700493</v>
      </c>
      <c r="DF56" s="92">
        <v>139978</v>
      </c>
      <c r="DG56" s="92">
        <v>91</v>
      </c>
      <c r="DH56" s="92">
        <v>619202</v>
      </c>
      <c r="DI56" s="92">
        <v>13551007</v>
      </c>
      <c r="DJ56" s="92">
        <v>136911</v>
      </c>
      <c r="DK56" s="92">
        <v>980342</v>
      </c>
      <c r="DL56" s="92">
        <v>2521472</v>
      </c>
      <c r="DM56" s="92">
        <v>5934361</v>
      </c>
      <c r="DN56" s="92">
        <v>2382979</v>
      </c>
      <c r="DO56" s="92">
        <v>400161</v>
      </c>
      <c r="DP56" s="92">
        <v>505308</v>
      </c>
      <c r="DQ56" s="92">
        <v>5070776</v>
      </c>
      <c r="DR56" s="92">
        <v>221591</v>
      </c>
      <c r="DS56" s="92">
        <v>779363</v>
      </c>
      <c r="DT56" s="92">
        <v>3395803</v>
      </c>
      <c r="DU56" s="92">
        <v>6225821</v>
      </c>
      <c r="DV56" s="92">
        <v>102721</v>
      </c>
      <c r="DW56" s="92">
        <v>85878</v>
      </c>
      <c r="DX56" s="92">
        <v>1078859</v>
      </c>
      <c r="DY56" s="92">
        <v>9172657</v>
      </c>
      <c r="DZ56" s="92">
        <v>307822</v>
      </c>
      <c r="EA56" s="92">
        <v>3581135</v>
      </c>
      <c r="EB56" s="92">
        <v>4717264</v>
      </c>
      <c r="EC56" s="92">
        <v>6325012</v>
      </c>
      <c r="ED56" s="92">
        <v>11225</v>
      </c>
      <c r="EE56" s="92">
        <v>3331939</v>
      </c>
      <c r="EF56" s="92">
        <v>1138416</v>
      </c>
      <c r="EG56" s="92">
        <v>0</v>
      </c>
      <c r="EH56" s="92">
        <v>0</v>
      </c>
      <c r="EI56" s="92">
        <v>0</v>
      </c>
      <c r="EJ56" s="92">
        <v>0</v>
      </c>
      <c r="EK56" s="92">
        <v>0</v>
      </c>
      <c r="EL56" s="92">
        <v>0</v>
      </c>
      <c r="EM56" s="92">
        <v>0</v>
      </c>
      <c r="EN56" s="92">
        <v>0</v>
      </c>
      <c r="EO56" s="92">
        <v>0</v>
      </c>
      <c r="EP56" s="92">
        <v>0</v>
      </c>
      <c r="EQ56" s="92">
        <v>0</v>
      </c>
      <c r="ER56" s="92">
        <v>0</v>
      </c>
      <c r="ES56" s="92">
        <v>0</v>
      </c>
      <c r="ET56" s="92">
        <v>0</v>
      </c>
      <c r="EU56" s="92">
        <v>0</v>
      </c>
      <c r="EV56" s="92">
        <v>0</v>
      </c>
      <c r="EW56" s="92">
        <v>137792569</v>
      </c>
      <c r="EX56" s="92">
        <v>0</v>
      </c>
      <c r="EY56" s="92">
        <v>23906118</v>
      </c>
      <c r="EZ56" s="92">
        <v>220153850</v>
      </c>
      <c r="FA56" s="92">
        <v>79304827</v>
      </c>
      <c r="FB56" s="92">
        <v>249143143</v>
      </c>
      <c r="FC56" s="92">
        <v>123019164</v>
      </c>
      <c r="FD56" s="92">
        <v>0</v>
      </c>
      <c r="FE56" s="92">
        <v>1448715</v>
      </c>
      <c r="FF56" s="92">
        <v>0</v>
      </c>
      <c r="FG56" s="92">
        <v>462750</v>
      </c>
      <c r="FH56" s="92">
        <v>0</v>
      </c>
      <c r="FI56" s="92">
        <v>0</v>
      </c>
      <c r="FJ56" s="92">
        <v>56432</v>
      </c>
      <c r="FK56" s="92">
        <v>338</v>
      </c>
      <c r="FL56" s="92">
        <v>0</v>
      </c>
      <c r="FM56" s="92">
        <v>0</v>
      </c>
      <c r="FN56" s="92">
        <v>0</v>
      </c>
      <c r="FO56" s="92">
        <v>0</v>
      </c>
      <c r="FP56" s="92">
        <v>0</v>
      </c>
      <c r="FQ56" s="92">
        <v>0</v>
      </c>
      <c r="FR56" s="92">
        <v>0</v>
      </c>
      <c r="FS56" s="92">
        <v>106027</v>
      </c>
      <c r="FT56" s="92">
        <v>0</v>
      </c>
      <c r="FU56" s="92">
        <v>0</v>
      </c>
      <c r="FV56" s="92">
        <v>0</v>
      </c>
      <c r="FW56" s="92">
        <v>0</v>
      </c>
      <c r="FX56" s="92">
        <v>0</v>
      </c>
      <c r="FY56" s="92">
        <v>0</v>
      </c>
      <c r="FZ56" s="92">
        <v>0</v>
      </c>
      <c r="GA56" s="92">
        <v>0</v>
      </c>
      <c r="GB56" s="92">
        <v>0</v>
      </c>
      <c r="GC56" s="92">
        <v>0</v>
      </c>
      <c r="GD56" s="92">
        <v>1176090714</v>
      </c>
      <c r="GE56" s="92">
        <v>1187937287</v>
      </c>
      <c r="GF56" s="92">
        <v>946835760</v>
      </c>
      <c r="GG56" s="47" t="s">
        <v>445</v>
      </c>
      <c r="GH56" s="47" t="s">
        <v>446</v>
      </c>
      <c r="GI56" s="93">
        <v>8327501001</v>
      </c>
      <c r="GJ56" s="47" t="s">
        <v>447</v>
      </c>
      <c r="GK56" s="47" t="s">
        <v>448</v>
      </c>
      <c r="GL56" s="47" t="s">
        <v>449</v>
      </c>
      <c r="GM56" s="93">
        <v>7137453596</v>
      </c>
      <c r="GN56" s="47" t="s">
        <v>450</v>
      </c>
      <c r="GO56" s="92" cm="1">
        <f t="array" ref="GO56">IFERROR(_xlfn.IFS(ResearchInput[[#This Row],[Type]]="HRI",SUMIFS('FTSE | FTFE'!$P$8:$P$77,'FTSE | FTFE'!$H$8:$H$77,A56),ResearchInput[[#This Row],[Type]]="UNIV",SUMIFS('FTSE | FTFE'!$P$104:$P$139,'FTSE | FTFE'!$H$104:$H$139,A56),OR(ResearchInput[[#This Row],[Type]]="TSTC",ResearchInput[[#This Row],[Type]]="LSC"),SUMIFS('FTSE | FTFE'!$O$88:$O$96,'FTSE | FTFE'!$H$88:$H$96,A56),ResearchInput[[#This Row],[Type]]="AHM",SUMIFS(Hidden!$H$43:$H$46,Hidden!$G$42:$G$45,A56)),"N/A")</f>
        <v>394</v>
      </c>
      <c r="GP56" s="92" cm="1">
        <f t="array" ref="GP56">IFERROR(_xlfn.IFS(ResearchInput[[#This Row],[Type]]="HRI",SUMIFS('FTSE | FTFE'!$Q$8:$Q$77,'FTSE | FTFE'!$H$8:$H$77,A56),ResearchInput[[#This Row],[Type]]="UNIV",SUMIFS('FTSE | FTFE'!$Q$104:$Q$139,'FTSE | FTFE'!$H$104:$H$139,A56),OR(ResearchInput[[#This Row],[Type]]="TSTC",ResearchInput[[#This Row],[Type]]="LSC"),SUMIFS('FTSE | FTFE'!$P$88:$P$96,'FTSE | FTFE'!$H$88:$H$96,A56)),"N/A")</f>
        <v>871.38</v>
      </c>
      <c r="GQ56" s="92">
        <v>0</v>
      </c>
      <c r="GR56" s="92">
        <f>SUM(ResearchInput[[#This Row],[Fed.Comp]],ResearchInput[[#This Row],[Fed.Eng]],ResearchInput[[#This Row],[Fed.Geo]],ResearchInput[[#This Row],[Fed.Life]],ResearchInput[[#This Row],[Fed.Math]],ResearchInput[[#This Row],[Fed.Phys]],ResearchInput[[#This Row],[Fed.Psyc]],ResearchInput[[#This Row],[Fed.Soc]],ResearchInput[[#This Row],[Fed.Othr]],ResearchInput[[#This Row],[Fed.Non]])</f>
        <v>274704316</v>
      </c>
      <c r="GS56" s="92">
        <f>SUM(ResearchInput[[#This Row],[St.Comp]],ResearchInput[[#This Row],[St.Eng]],ResearchInput[[#This Row],[St.Geo]],ResearchInput[[#This Row],[St.Life]],ResearchInput[[#This Row],[St.Math]],ResearchInput[[#This Row],[St.Phys]],ResearchInput[[#This Row],[St.Psyc]],ResearchInput[[#This Row],[St.Soc]],ResearchInput[[#This Row],[St.Othr]],ResearchInput[[#This Row],[St.Non]])</f>
        <v>19450387</v>
      </c>
      <c r="GT56" s="92">
        <f>SUM(ResearchInput[[#This Row],[St.C&amp;G.Comp]],ResearchInput[[#This Row],[St.C&amp;G.Eng]],ResearchInput[[#This Row],[St.C&amp;G.Geo]],ResearchInput[[#This Row],[St.C&amp;G.Life]],ResearchInput[[#This Row],[St.C&amp;G.Math]],ResearchInput[[#This Row],[St.C&amp;G.Phys]],ResearchInput[[#This Row],[St.C&amp;G.Psyc]],ResearchInput[[#This Row],[St.C&amp;G.Soc]],ResearchInput[[#This Row],[St.C&amp;G.Othr]],ResearchInput[[#This Row],[St.C&amp;G.Non]])</f>
        <v>43130591</v>
      </c>
      <c r="GU56" s="92">
        <f>SUM(ResearchInput[[#This Row],[St.All.Comp]],ResearchInput[[#This Row],[St.All.Eng]],ResearchInput[[#This Row],[St.All.Geo]],ResearchInput[[#This Row],[St.All.Life]],ResearchInput[[#This Row],[St.All.Math]],ResearchInput[[#This Row],[St.All.Phys]],ResearchInput[[#This Row],[St.All.Psyc]],ResearchInput[[#This Row],[St.All.Soc]],ResearchInput[[#This Row],[St.All.Othr]],ResearchInput[[#This Row],[St.All.Non]])</f>
        <v>302640538</v>
      </c>
      <c r="GV56" s="92">
        <f>SUM(ResearchInput[[#This Row],[Inst.Comp]],ResearchInput[[#This Row],[Inst.Eng]],ResearchInput[[#This Row],[Inst.Geo]],ResearchInput[[#This Row],[Inst.Life]],ResearchInput[[#This Row],[Inst.Math]],ResearchInput[[#This Row],[Inst.Phys]],ResearchInput[[#This Row],[Inst.Psyc]],ResearchInput[[#This Row],[Inst.Soc]],ResearchInput[[#This Row],[Inst.Othr]],ResearchInput[[#This Row],[Inst.Non]])</f>
        <v>212739400</v>
      </c>
      <c r="GW56" s="92">
        <f>SUM(ResearchInput[[#This Row],[P4P.Comp]],ResearchInput[[#This Row],[P4P.Eng]],ResearchInput[[#This Row],[P4P.Geo]],ResearchInput[[#This Row],[P4P.Life]],ResearchInput[[#This Row],[P4P.Math]],ResearchInput[[#This Row],[P4P.Phys]],ResearchInput[[#This Row],[P4P.Psyc]],ResearchInput[[#This Row],[P4P.Soc]],ResearchInput[[#This Row],[P4P.Othr]],ResearchInput[[#This Row],[P4P.Non]])</f>
        <v>270911401</v>
      </c>
      <c r="GX56" s="92">
        <f>SUM(ResearchInput[[#This Row],[PNP.Comp]],ResearchInput[[#This Row],[PNP.Eng]],ResearchInput[[#This Row],[PNP.Geo]],ResearchInput[[#This Row],[PNP.Life]],ResearchInput[[#This Row],[PNP.Math]],ResearchInput[[#This Row],[PNP.Phys]],ResearchInput[[#This Row],[PNP.Psyc]],ResearchInput[[#This Row],[PNP.Soc]],ResearchInput[[#This Row],[PNP.Othr]],ResearchInput[[#This Row],[PNP.Non]])</f>
        <v>52530492</v>
      </c>
      <c r="GY56" s="92">
        <f>SUM(ResearchInput[[#This Row],[P.All.Comp]],ResearchInput[[#This Row],[P.All.Eng]],ResearchInput[[#This Row],[P.All.Geo]],ResearchInput[[#This Row],[P.All.Life]],ResearchInput[[#This Row],[P.All.Math]],ResearchInput[[#This Row],[P.All.Phys]],ResearchInput[[#This Row],[P.All.Psyc]],ResearchInput[[#This Row],[P.All.Soc]],ResearchInput[[#This Row],[P.All.Othr]],ResearchInput[[#This Row],[P.All.Non]])</f>
        <v>149669758</v>
      </c>
    </row>
    <row r="57" spans="1:207" s="47" customFormat="1" ht="27" customHeight="1" x14ac:dyDescent="0.25">
      <c r="A57" s="34" t="s">
        <v>202</v>
      </c>
      <c r="B57" s="34" t="s">
        <v>680</v>
      </c>
      <c r="C57" s="35" t="s">
        <v>682</v>
      </c>
      <c r="D57" s="35" t="s">
        <v>681</v>
      </c>
      <c r="E57" s="94">
        <v>907</v>
      </c>
      <c r="F57" s="91" t="s">
        <v>716</v>
      </c>
      <c r="G57" s="35" t="s">
        <v>553</v>
      </c>
      <c r="H57" s="96">
        <v>42439</v>
      </c>
      <c r="I57" s="92">
        <v>9622684</v>
      </c>
      <c r="J57" s="92">
        <v>9329927</v>
      </c>
      <c r="K57" s="92">
        <v>1055520</v>
      </c>
      <c r="L57" s="92">
        <v>0</v>
      </c>
      <c r="M57" s="92">
        <v>2019479</v>
      </c>
      <c r="N57" s="92">
        <v>0</v>
      </c>
      <c r="O57" s="92">
        <v>1448829</v>
      </c>
      <c r="P57" s="92">
        <v>0</v>
      </c>
      <c r="Q57" s="92">
        <v>0</v>
      </c>
      <c r="R57" s="92">
        <v>0</v>
      </c>
      <c r="S57" s="92">
        <v>0</v>
      </c>
      <c r="T57" s="92">
        <v>0</v>
      </c>
      <c r="U57" s="92">
        <v>0</v>
      </c>
      <c r="V57" s="92">
        <v>0</v>
      </c>
      <c r="W57" s="92">
        <v>0</v>
      </c>
      <c r="X57" s="92">
        <v>0</v>
      </c>
      <c r="Y57" s="92">
        <v>-2594855</v>
      </c>
      <c r="Z57" s="92">
        <v>0</v>
      </c>
      <c r="AA57" s="92">
        <v>0</v>
      </c>
      <c r="AB57" s="92">
        <v>0</v>
      </c>
      <c r="AC57" s="92">
        <v>0</v>
      </c>
      <c r="AD57" s="92">
        <v>0</v>
      </c>
      <c r="AE57" s="92">
        <v>0</v>
      </c>
      <c r="AF57" s="92">
        <v>0</v>
      </c>
      <c r="AG57" s="92">
        <v>472662</v>
      </c>
      <c r="AH57" s="92">
        <v>0</v>
      </c>
      <c r="AI57" s="92">
        <v>36739</v>
      </c>
      <c r="AJ57" s="92">
        <v>0</v>
      </c>
      <c r="AK57" s="92">
        <v>0</v>
      </c>
      <c r="AL57" s="92">
        <v>0</v>
      </c>
      <c r="AM57" s="92">
        <v>26</v>
      </c>
      <c r="AN57" s="92">
        <v>0</v>
      </c>
      <c r="AO57" s="92">
        <v>39597</v>
      </c>
      <c r="AP57" s="92">
        <v>71257</v>
      </c>
      <c r="AQ57" s="92">
        <v>0</v>
      </c>
      <c r="AR57" s="92">
        <v>0</v>
      </c>
      <c r="AS57" s="92">
        <v>282670</v>
      </c>
      <c r="AT57" s="92">
        <v>0</v>
      </c>
      <c r="AU57" s="92">
        <v>180124</v>
      </c>
      <c r="AV57" s="92">
        <v>0</v>
      </c>
      <c r="AW57" s="92">
        <v>0</v>
      </c>
      <c r="AX57" s="92">
        <v>0</v>
      </c>
      <c r="AY57" s="92">
        <v>0</v>
      </c>
      <c r="AZ57" s="92">
        <v>0</v>
      </c>
      <c r="BA57" s="92">
        <v>0</v>
      </c>
      <c r="BB57" s="92">
        <v>0</v>
      </c>
      <c r="BC57" s="92">
        <v>0</v>
      </c>
      <c r="BD57" s="92">
        <v>0</v>
      </c>
      <c r="BE57" s="92">
        <v>0</v>
      </c>
      <c r="BF57" s="92">
        <v>0</v>
      </c>
      <c r="BG57" s="92">
        <v>0</v>
      </c>
      <c r="BH57" s="92">
        <v>0</v>
      </c>
      <c r="BI57" s="92">
        <v>0</v>
      </c>
      <c r="BJ57" s="92">
        <v>0</v>
      </c>
      <c r="BK57" s="92">
        <v>0</v>
      </c>
      <c r="BL57" s="92">
        <v>0</v>
      </c>
      <c r="BM57" s="92">
        <v>0</v>
      </c>
      <c r="BN57" s="92">
        <v>0</v>
      </c>
      <c r="BO57" s="92">
        <v>0</v>
      </c>
      <c r="BP57" s="92">
        <v>0</v>
      </c>
      <c r="BQ57" s="92">
        <v>0</v>
      </c>
      <c r="BR57" s="92">
        <v>0</v>
      </c>
      <c r="BS57" s="92">
        <v>0</v>
      </c>
      <c r="BT57" s="92">
        <v>0</v>
      </c>
      <c r="BU57" s="92">
        <v>0</v>
      </c>
      <c r="BV57" s="92">
        <v>0</v>
      </c>
      <c r="BW57" s="92">
        <v>0</v>
      </c>
      <c r="BX57" s="92">
        <v>0</v>
      </c>
      <c r="BY57" s="92">
        <v>0</v>
      </c>
      <c r="BZ57" s="92">
        <v>0</v>
      </c>
      <c r="CA57" s="92">
        <v>0</v>
      </c>
      <c r="CB57" s="92">
        <v>0</v>
      </c>
      <c r="CC57" s="92">
        <v>0</v>
      </c>
      <c r="CD57" s="92">
        <v>0</v>
      </c>
      <c r="CE57" s="92">
        <v>0</v>
      </c>
      <c r="CF57" s="92">
        <v>0</v>
      </c>
      <c r="CG57" s="92">
        <v>0</v>
      </c>
      <c r="CH57" s="92">
        <v>0</v>
      </c>
      <c r="CI57" s="92">
        <v>0</v>
      </c>
      <c r="CJ57" s="92">
        <v>0</v>
      </c>
      <c r="CK57" s="92">
        <v>0</v>
      </c>
      <c r="CL57" s="92">
        <v>0</v>
      </c>
      <c r="CM57" s="92">
        <v>0</v>
      </c>
      <c r="CN57" s="92">
        <v>0</v>
      </c>
      <c r="CO57" s="92">
        <v>0</v>
      </c>
      <c r="CP57" s="92">
        <v>0</v>
      </c>
      <c r="CQ57" s="92">
        <v>0</v>
      </c>
      <c r="CR57" s="92">
        <v>0</v>
      </c>
      <c r="CS57" s="92">
        <v>7540088</v>
      </c>
      <c r="CT57" s="92">
        <v>9401184</v>
      </c>
      <c r="CU57" s="92">
        <v>1092259</v>
      </c>
      <c r="CV57" s="92">
        <v>0</v>
      </c>
      <c r="CW57" s="92">
        <v>2302149</v>
      </c>
      <c r="CX57" s="92">
        <v>0</v>
      </c>
      <c r="CY57" s="92">
        <v>1628979</v>
      </c>
      <c r="CZ57" s="92">
        <v>0</v>
      </c>
      <c r="DA57" s="92">
        <v>0</v>
      </c>
      <c r="DB57" s="92">
        <v>0</v>
      </c>
      <c r="DC57" s="92">
        <v>0</v>
      </c>
      <c r="DD57" s="92">
        <v>0</v>
      </c>
      <c r="DE57" s="92">
        <v>0</v>
      </c>
      <c r="DF57" s="92">
        <v>0</v>
      </c>
      <c r="DG57" s="92">
        <v>0</v>
      </c>
      <c r="DH57" s="92">
        <v>0</v>
      </c>
      <c r="DI57" s="92">
        <v>0</v>
      </c>
      <c r="DJ57" s="92">
        <v>0</v>
      </c>
      <c r="DK57" s="92">
        <v>0</v>
      </c>
      <c r="DL57" s="92">
        <v>0</v>
      </c>
      <c r="DM57" s="92">
        <v>0</v>
      </c>
      <c r="DN57" s="92">
        <v>0</v>
      </c>
      <c r="DO57" s="92">
        <v>0</v>
      </c>
      <c r="DP57" s="92">
        <v>0</v>
      </c>
      <c r="DQ57" s="92">
        <v>0</v>
      </c>
      <c r="DR57" s="92">
        <v>0</v>
      </c>
      <c r="DS57" s="92">
        <v>0</v>
      </c>
      <c r="DT57" s="92">
        <v>0</v>
      </c>
      <c r="DU57" s="92">
        <v>0</v>
      </c>
      <c r="DV57" s="92">
        <v>0</v>
      </c>
      <c r="DW57" s="92">
        <v>0</v>
      </c>
      <c r="DX57" s="92">
        <v>0</v>
      </c>
      <c r="DY57" s="92">
        <v>0</v>
      </c>
      <c r="DZ57" s="92">
        <v>0</v>
      </c>
      <c r="EA57" s="92">
        <v>0</v>
      </c>
      <c r="EB57" s="92">
        <v>0</v>
      </c>
      <c r="EC57" s="92">
        <v>0</v>
      </c>
      <c r="ED57" s="92">
        <v>0</v>
      </c>
      <c r="EE57" s="92">
        <v>0</v>
      </c>
      <c r="EF57" s="92">
        <v>0</v>
      </c>
      <c r="EG57" s="92">
        <v>0</v>
      </c>
      <c r="EH57" s="92">
        <v>0</v>
      </c>
      <c r="EI57" s="92">
        <v>0</v>
      </c>
      <c r="EJ57" s="92">
        <v>0</v>
      </c>
      <c r="EK57" s="92">
        <v>0</v>
      </c>
      <c r="EL57" s="92">
        <v>0</v>
      </c>
      <c r="EM57" s="92">
        <v>0</v>
      </c>
      <c r="EN57" s="92">
        <v>0</v>
      </c>
      <c r="EO57" s="92">
        <v>0</v>
      </c>
      <c r="EP57" s="92">
        <v>0</v>
      </c>
      <c r="EQ57" s="92">
        <v>0</v>
      </c>
      <c r="ER57" s="92">
        <v>0</v>
      </c>
      <c r="ES57" s="92">
        <v>0</v>
      </c>
      <c r="ET57" s="92">
        <v>0</v>
      </c>
      <c r="EU57" s="92">
        <v>0</v>
      </c>
      <c r="EV57" s="92">
        <v>0</v>
      </c>
      <c r="EW57" s="92">
        <v>0</v>
      </c>
      <c r="EX57" s="92">
        <v>0</v>
      </c>
      <c r="EY57" s="92">
        <v>0</v>
      </c>
      <c r="EZ57" s="92">
        <v>0</v>
      </c>
      <c r="FA57" s="92">
        <v>0</v>
      </c>
      <c r="FB57" s="92">
        <v>0</v>
      </c>
      <c r="FC57" s="92">
        <v>0</v>
      </c>
      <c r="FD57" s="92">
        <v>0</v>
      </c>
      <c r="FE57" s="92">
        <v>0</v>
      </c>
      <c r="FF57" s="92">
        <v>0</v>
      </c>
      <c r="FG57" s="92">
        <v>0</v>
      </c>
      <c r="FH57" s="92">
        <v>0</v>
      </c>
      <c r="FI57" s="92">
        <v>0</v>
      </c>
      <c r="FJ57" s="92">
        <v>0</v>
      </c>
      <c r="FK57" s="92">
        <v>0</v>
      </c>
      <c r="FL57" s="92">
        <v>0</v>
      </c>
      <c r="FM57" s="92">
        <v>0</v>
      </c>
      <c r="FN57" s="92">
        <v>0</v>
      </c>
      <c r="FO57" s="92">
        <v>0</v>
      </c>
      <c r="FP57" s="92">
        <v>0</v>
      </c>
      <c r="FQ57" s="92">
        <v>0</v>
      </c>
      <c r="FR57" s="92">
        <v>0</v>
      </c>
      <c r="FS57" s="92">
        <v>0</v>
      </c>
      <c r="FT57" s="92">
        <v>0</v>
      </c>
      <c r="FU57" s="92">
        <v>0</v>
      </c>
      <c r="FV57" s="92">
        <v>0</v>
      </c>
      <c r="FW57" s="92">
        <v>0</v>
      </c>
      <c r="FX57" s="92">
        <v>0</v>
      </c>
      <c r="FY57" s="92">
        <v>0</v>
      </c>
      <c r="FZ57" s="92">
        <v>0</v>
      </c>
      <c r="GA57" s="92">
        <v>0</v>
      </c>
      <c r="GB57" s="92">
        <v>0</v>
      </c>
      <c r="GC57" s="92">
        <v>0</v>
      </c>
      <c r="GD57" s="92">
        <v>23476439</v>
      </c>
      <c r="GE57" s="92">
        <v>24050087</v>
      </c>
      <c r="GF57" s="92">
        <v>450252018</v>
      </c>
      <c r="GG57" s="47" t="s">
        <v>305</v>
      </c>
      <c r="GH57" s="47" t="s">
        <v>306</v>
      </c>
      <c r="GI57" s="93" t="s">
        <v>1010</v>
      </c>
      <c r="GJ57" s="47" t="s">
        <v>307</v>
      </c>
      <c r="GK57" s="47" t="s">
        <v>451</v>
      </c>
      <c r="GL57" s="47" t="s">
        <v>309</v>
      </c>
      <c r="GM57" s="93" t="s">
        <v>1010</v>
      </c>
      <c r="GN57" s="47" t="s">
        <v>452</v>
      </c>
      <c r="GO57" s="92" cm="1">
        <f t="array" ref="GO57">IFERROR(_xlfn.IFS(ResearchInput[[#This Row],[Type]]="HRI",SUMIFS('FTSE | FTFE'!$P$8:$P$77,'FTSE | FTFE'!$H$8:$H$77,A57),ResearchInput[[#This Row],[Type]]="UNIV",SUMIFS('FTSE | FTFE'!$P$104:$P$139,'FTSE | FTFE'!$H$104:$H$139,A57),OR(ResearchInput[[#This Row],[Type]]="TSTC",ResearchInput[[#This Row],[Type]]="LSC"),SUMIFS('FTSE | FTFE'!$O$88:$O$96,'FTSE | FTFE'!$H$88:$H$96,A57),ResearchInput[[#This Row],[Type]]="AHM",SUMIFS(Hidden!$H$43:$H$46,Hidden!$G$42:$G$45,A57)),"N/A")</f>
        <v>196</v>
      </c>
      <c r="GP57" s="92" cm="1">
        <f t="array" ref="GP57">IFERROR(_xlfn.IFS(ResearchInput[[#This Row],[Type]]="HRI",SUMIFS('FTSE | FTFE'!$Q$8:$Q$77,'FTSE | FTFE'!$H$8:$H$77,A57),ResearchInput[[#This Row],[Type]]="UNIV",SUMIFS('FTSE | FTFE'!$Q$104:$Q$139,'FTSE | FTFE'!$H$104:$H$139,A57),OR(ResearchInput[[#This Row],[Type]]="TSTC",ResearchInput[[#This Row],[Type]]="LSC"),SUMIFS('FTSE | FTFE'!$P$88:$P$96,'FTSE | FTFE'!$H$88:$H$96,A57)),"N/A")</f>
        <v>7</v>
      </c>
      <c r="GQ57" s="92">
        <v>0</v>
      </c>
      <c r="GR57" s="92">
        <f>SUM(ResearchInput[[#This Row],[Fed.Comp]],ResearchInput[[#This Row],[Fed.Eng]],ResearchInput[[#This Row],[Fed.Geo]],ResearchInput[[#This Row],[Fed.Life]],ResearchInput[[#This Row],[Fed.Math]],ResearchInput[[#This Row],[Fed.Phys]],ResearchInput[[#This Row],[Fed.Psyc]],ResearchInput[[#This Row],[Fed.Soc]],ResearchInput[[#This Row],[Fed.Othr]],ResearchInput[[#This Row],[Fed.Non]])</f>
        <v>7540088</v>
      </c>
      <c r="GS57" s="92">
        <f>SUM(ResearchInput[[#This Row],[St.Comp]],ResearchInput[[#This Row],[St.Eng]],ResearchInput[[#This Row],[St.Geo]],ResearchInput[[#This Row],[St.Life]],ResearchInput[[#This Row],[St.Math]],ResearchInput[[#This Row],[St.Phys]],ResearchInput[[#This Row],[St.Psyc]],ResearchInput[[#This Row],[St.Soc]],ResearchInput[[#This Row],[St.Othr]],ResearchInput[[#This Row],[St.Non]])</f>
        <v>9401184</v>
      </c>
      <c r="GT57" s="92">
        <f>SUM(ResearchInput[[#This Row],[St.C&amp;G.Comp]],ResearchInput[[#This Row],[St.C&amp;G.Eng]],ResearchInput[[#This Row],[St.C&amp;G.Geo]],ResearchInput[[#This Row],[St.C&amp;G.Life]],ResearchInput[[#This Row],[St.C&amp;G.Math]],ResearchInput[[#This Row],[St.C&amp;G.Phys]],ResearchInput[[#This Row],[St.C&amp;G.Psyc]],ResearchInput[[#This Row],[St.C&amp;G.Soc]],ResearchInput[[#This Row],[St.C&amp;G.Othr]],ResearchInput[[#This Row],[St.C&amp;G.Non]])</f>
        <v>1092259</v>
      </c>
      <c r="GU57" s="92">
        <f>SUM(ResearchInput[[#This Row],[St.All.Comp]],ResearchInput[[#This Row],[St.All.Eng]],ResearchInput[[#This Row],[St.All.Geo]],ResearchInput[[#This Row],[St.All.Life]],ResearchInput[[#This Row],[St.All.Math]],ResearchInput[[#This Row],[St.All.Phys]],ResearchInput[[#This Row],[St.All.Psyc]],ResearchInput[[#This Row],[St.All.Soc]],ResearchInput[[#This Row],[St.All.Othr]],ResearchInput[[#This Row],[St.All.Non]])</f>
        <v>0</v>
      </c>
      <c r="GV57" s="92">
        <f>SUM(ResearchInput[[#This Row],[Inst.Comp]],ResearchInput[[#This Row],[Inst.Eng]],ResearchInput[[#This Row],[Inst.Geo]],ResearchInput[[#This Row],[Inst.Life]],ResearchInput[[#This Row],[Inst.Math]],ResearchInput[[#This Row],[Inst.Phys]],ResearchInput[[#This Row],[Inst.Psyc]],ResearchInput[[#This Row],[Inst.Soc]],ResearchInput[[#This Row],[Inst.Othr]],ResearchInput[[#This Row],[Inst.Non]])</f>
        <v>2302149</v>
      </c>
      <c r="GW57" s="92">
        <f>SUM(ResearchInput[[#This Row],[P4P.Comp]],ResearchInput[[#This Row],[P4P.Eng]],ResearchInput[[#This Row],[P4P.Geo]],ResearchInput[[#This Row],[P4P.Life]],ResearchInput[[#This Row],[P4P.Math]],ResearchInput[[#This Row],[P4P.Phys]],ResearchInput[[#This Row],[P4P.Psyc]],ResearchInput[[#This Row],[P4P.Soc]],ResearchInput[[#This Row],[P4P.Othr]],ResearchInput[[#This Row],[P4P.Non]])</f>
        <v>0</v>
      </c>
      <c r="GX57" s="92">
        <f>SUM(ResearchInput[[#This Row],[PNP.Comp]],ResearchInput[[#This Row],[PNP.Eng]],ResearchInput[[#This Row],[PNP.Geo]],ResearchInput[[#This Row],[PNP.Life]],ResearchInput[[#This Row],[PNP.Math]],ResearchInput[[#This Row],[PNP.Phys]],ResearchInput[[#This Row],[PNP.Psyc]],ResearchInput[[#This Row],[PNP.Soc]],ResearchInput[[#This Row],[PNP.Othr]],ResearchInput[[#This Row],[PNP.Non]])</f>
        <v>1628979</v>
      </c>
      <c r="GY57" s="92">
        <f>SUM(ResearchInput[[#This Row],[P.All.Comp]],ResearchInput[[#This Row],[P.All.Eng]],ResearchInput[[#This Row],[P.All.Geo]],ResearchInput[[#This Row],[P.All.Life]],ResearchInput[[#This Row],[P.All.Math]],ResearchInput[[#This Row],[P.All.Phys]],ResearchInput[[#This Row],[P.All.Psyc]],ResearchInput[[#This Row],[P.All.Soc]],ResearchInput[[#This Row],[P.All.Othr]],ResearchInput[[#This Row],[P.All.Non]])</f>
        <v>0</v>
      </c>
    </row>
    <row r="58" spans="1:207" s="47" customFormat="1" ht="27" customHeight="1" x14ac:dyDescent="0.25">
      <c r="A58" s="34" t="s">
        <v>209</v>
      </c>
      <c r="B58" s="34" t="s">
        <v>680</v>
      </c>
      <c r="C58" s="35" t="s">
        <v>553</v>
      </c>
      <c r="D58" s="35" t="s">
        <v>681</v>
      </c>
      <c r="E58" s="94">
        <v>908</v>
      </c>
      <c r="F58" s="35" t="s">
        <v>714</v>
      </c>
      <c r="G58" s="35" t="s">
        <v>553</v>
      </c>
      <c r="H58" s="96">
        <v>203658</v>
      </c>
      <c r="I58" s="92">
        <v>18272895</v>
      </c>
      <c r="J58" s="92">
        <v>3516005</v>
      </c>
      <c r="K58" s="92">
        <v>2413125</v>
      </c>
      <c r="L58" s="92">
        <v>0</v>
      </c>
      <c r="M58" s="92">
        <v>13645603</v>
      </c>
      <c r="N58" s="92">
        <v>1031250</v>
      </c>
      <c r="O58" s="92">
        <v>6130820</v>
      </c>
      <c r="P58" s="92">
        <v>4058852</v>
      </c>
      <c r="Q58" s="92">
        <v>0</v>
      </c>
      <c r="R58" s="92">
        <v>0</v>
      </c>
      <c r="S58" s="92">
        <v>0</v>
      </c>
      <c r="T58" s="92">
        <v>0</v>
      </c>
      <c r="U58" s="92">
        <v>0</v>
      </c>
      <c r="V58" s="92">
        <v>0</v>
      </c>
      <c r="W58" s="92">
        <v>0</v>
      </c>
      <c r="X58" s="92">
        <v>0</v>
      </c>
      <c r="Y58" s="92">
        <v>0</v>
      </c>
      <c r="Z58" s="92">
        <v>0</v>
      </c>
      <c r="AA58" s="92">
        <v>0</v>
      </c>
      <c r="AB58" s="92">
        <v>0</v>
      </c>
      <c r="AC58" s="92">
        <v>0</v>
      </c>
      <c r="AD58" s="92">
        <v>0</v>
      </c>
      <c r="AE58" s="92">
        <v>0</v>
      </c>
      <c r="AF58" s="92">
        <v>0</v>
      </c>
      <c r="AG58" s="92">
        <v>5792131</v>
      </c>
      <c r="AH58" s="92">
        <v>0</v>
      </c>
      <c r="AI58" s="92">
        <v>205967</v>
      </c>
      <c r="AJ58" s="92">
        <v>0</v>
      </c>
      <c r="AK58" s="92">
        <v>0</v>
      </c>
      <c r="AL58" s="92">
        <v>258344</v>
      </c>
      <c r="AM58" s="92">
        <v>620157</v>
      </c>
      <c r="AN58" s="92">
        <v>0</v>
      </c>
      <c r="AO58" s="92">
        <v>23497</v>
      </c>
      <c r="AP58" s="92">
        <v>0</v>
      </c>
      <c r="AQ58" s="92">
        <v>0</v>
      </c>
      <c r="AR58" s="92">
        <v>0</v>
      </c>
      <c r="AS58" s="92">
        <v>64293</v>
      </c>
      <c r="AT58" s="92">
        <v>0</v>
      </c>
      <c r="AU58" s="92">
        <v>63284</v>
      </c>
      <c r="AV58" s="92">
        <v>46644</v>
      </c>
      <c r="AW58" s="92">
        <v>0</v>
      </c>
      <c r="AX58" s="92">
        <v>0</v>
      </c>
      <c r="AY58" s="92">
        <v>0</v>
      </c>
      <c r="AZ58" s="92">
        <v>0</v>
      </c>
      <c r="BA58" s="92">
        <v>0</v>
      </c>
      <c r="BB58" s="92">
        <v>0</v>
      </c>
      <c r="BC58" s="92">
        <v>0</v>
      </c>
      <c r="BD58" s="92">
        <v>0</v>
      </c>
      <c r="BE58" s="92">
        <v>0</v>
      </c>
      <c r="BF58" s="92">
        <v>0</v>
      </c>
      <c r="BG58" s="92">
        <v>0</v>
      </c>
      <c r="BH58" s="92">
        <v>0</v>
      </c>
      <c r="BI58" s="92">
        <v>0</v>
      </c>
      <c r="BJ58" s="92">
        <v>0</v>
      </c>
      <c r="BK58" s="92">
        <v>0</v>
      </c>
      <c r="BL58" s="92">
        <v>0</v>
      </c>
      <c r="BM58" s="92">
        <v>0</v>
      </c>
      <c r="BN58" s="92">
        <v>0</v>
      </c>
      <c r="BO58" s="92">
        <v>0</v>
      </c>
      <c r="BP58" s="92">
        <v>0</v>
      </c>
      <c r="BQ58" s="92">
        <v>0</v>
      </c>
      <c r="BR58" s="92">
        <v>0</v>
      </c>
      <c r="BS58" s="92">
        <v>0</v>
      </c>
      <c r="BT58" s="92">
        <v>0</v>
      </c>
      <c r="BU58" s="92">
        <v>0</v>
      </c>
      <c r="BV58" s="92">
        <v>0</v>
      </c>
      <c r="BW58" s="92">
        <v>0</v>
      </c>
      <c r="BX58" s="92">
        <v>0</v>
      </c>
      <c r="BY58" s="92">
        <v>0</v>
      </c>
      <c r="BZ58" s="92">
        <v>0</v>
      </c>
      <c r="CA58" s="92">
        <v>0</v>
      </c>
      <c r="CB58" s="92">
        <v>0</v>
      </c>
      <c r="CC58" s="92">
        <v>0</v>
      </c>
      <c r="CD58" s="92">
        <v>0</v>
      </c>
      <c r="CE58" s="92">
        <v>0</v>
      </c>
      <c r="CF58" s="92">
        <v>0</v>
      </c>
      <c r="CG58" s="92">
        <v>0</v>
      </c>
      <c r="CH58" s="92">
        <v>0</v>
      </c>
      <c r="CI58" s="92">
        <v>0</v>
      </c>
      <c r="CJ58" s="92">
        <v>0</v>
      </c>
      <c r="CK58" s="92">
        <v>0</v>
      </c>
      <c r="CL58" s="92">
        <v>0</v>
      </c>
      <c r="CM58" s="92">
        <v>0</v>
      </c>
      <c r="CN58" s="92">
        <v>0</v>
      </c>
      <c r="CO58" s="92">
        <v>0</v>
      </c>
      <c r="CP58" s="92">
        <v>0</v>
      </c>
      <c r="CQ58" s="92">
        <v>0</v>
      </c>
      <c r="CR58" s="92">
        <v>0</v>
      </c>
      <c r="CS58" s="92">
        <v>24088523</v>
      </c>
      <c r="CT58" s="92">
        <v>3516005</v>
      </c>
      <c r="CU58" s="92">
        <v>2619092</v>
      </c>
      <c r="CV58" s="92">
        <v>0</v>
      </c>
      <c r="CW58" s="92">
        <v>13709896</v>
      </c>
      <c r="CX58" s="92">
        <v>1289594</v>
      </c>
      <c r="CY58" s="92">
        <v>6814261</v>
      </c>
      <c r="CZ58" s="92">
        <v>4105496</v>
      </c>
      <c r="DA58" s="92">
        <v>0</v>
      </c>
      <c r="DB58" s="92">
        <v>0</v>
      </c>
      <c r="DC58" s="92">
        <v>0</v>
      </c>
      <c r="DD58" s="92">
        <v>0</v>
      </c>
      <c r="DE58" s="92">
        <v>0</v>
      </c>
      <c r="DF58" s="92">
        <v>0</v>
      </c>
      <c r="DG58" s="92">
        <v>0</v>
      </c>
      <c r="DH58" s="92">
        <v>0</v>
      </c>
      <c r="DI58" s="92">
        <v>0</v>
      </c>
      <c r="DJ58" s="92">
        <v>0</v>
      </c>
      <c r="DK58" s="92">
        <v>0</v>
      </c>
      <c r="DL58" s="92">
        <v>0</v>
      </c>
      <c r="DM58" s="92">
        <v>0</v>
      </c>
      <c r="DN58" s="92">
        <v>0</v>
      </c>
      <c r="DO58" s="92">
        <v>0</v>
      </c>
      <c r="DP58" s="92">
        <v>0</v>
      </c>
      <c r="DQ58" s="92">
        <v>0</v>
      </c>
      <c r="DR58" s="92">
        <v>0</v>
      </c>
      <c r="DS58" s="92">
        <v>0</v>
      </c>
      <c r="DT58" s="92">
        <v>0</v>
      </c>
      <c r="DU58" s="92">
        <v>0</v>
      </c>
      <c r="DV58" s="92">
        <v>0</v>
      </c>
      <c r="DW58" s="92">
        <v>0</v>
      </c>
      <c r="DX58" s="92">
        <v>0</v>
      </c>
      <c r="DY58" s="92">
        <v>0</v>
      </c>
      <c r="DZ58" s="92">
        <v>0</v>
      </c>
      <c r="EA58" s="92">
        <v>0</v>
      </c>
      <c r="EB58" s="92">
        <v>0</v>
      </c>
      <c r="EC58" s="92">
        <v>0</v>
      </c>
      <c r="ED58" s="92">
        <v>0</v>
      </c>
      <c r="EE58" s="92">
        <v>0</v>
      </c>
      <c r="EF58" s="92">
        <v>0</v>
      </c>
      <c r="EG58" s="92">
        <v>0</v>
      </c>
      <c r="EH58" s="92">
        <v>0</v>
      </c>
      <c r="EI58" s="92">
        <v>0</v>
      </c>
      <c r="EJ58" s="92">
        <v>0</v>
      </c>
      <c r="EK58" s="92">
        <v>0</v>
      </c>
      <c r="EL58" s="92">
        <v>0</v>
      </c>
      <c r="EM58" s="92">
        <v>0</v>
      </c>
      <c r="EN58" s="92">
        <v>0</v>
      </c>
      <c r="EO58" s="92">
        <v>0</v>
      </c>
      <c r="EP58" s="92">
        <v>0</v>
      </c>
      <c r="EQ58" s="92">
        <v>0</v>
      </c>
      <c r="ER58" s="92">
        <v>0</v>
      </c>
      <c r="ES58" s="92">
        <v>0</v>
      </c>
      <c r="ET58" s="92">
        <v>0</v>
      </c>
      <c r="EU58" s="92">
        <v>0</v>
      </c>
      <c r="EV58" s="92">
        <v>0</v>
      </c>
      <c r="EW58" s="92">
        <v>24088523</v>
      </c>
      <c r="EX58" s="92">
        <v>3516005</v>
      </c>
      <c r="EY58" s="92">
        <v>2619092</v>
      </c>
      <c r="EZ58" s="92">
        <v>0</v>
      </c>
      <c r="FA58" s="92">
        <v>13709896</v>
      </c>
      <c r="FB58" s="92">
        <v>1289594</v>
      </c>
      <c r="FC58" s="92">
        <v>6814261</v>
      </c>
      <c r="FD58" s="92">
        <v>4105496</v>
      </c>
      <c r="FE58" s="92">
        <v>0</v>
      </c>
      <c r="FF58" s="92">
        <v>0</v>
      </c>
      <c r="FG58" s="92">
        <v>0</v>
      </c>
      <c r="FH58" s="92">
        <v>0</v>
      </c>
      <c r="FI58" s="92">
        <v>0</v>
      </c>
      <c r="FJ58" s="92">
        <v>0</v>
      </c>
      <c r="FK58" s="92">
        <v>207035</v>
      </c>
      <c r="FL58" s="92">
        <v>0</v>
      </c>
      <c r="FM58" s="92">
        <v>0</v>
      </c>
      <c r="FN58" s="92">
        <v>0</v>
      </c>
      <c r="FO58" s="92">
        <v>0</v>
      </c>
      <c r="FP58" s="92">
        <v>0</v>
      </c>
      <c r="FQ58" s="92">
        <v>0</v>
      </c>
      <c r="FR58" s="92">
        <v>0</v>
      </c>
      <c r="FS58" s="92">
        <v>0</v>
      </c>
      <c r="FT58" s="92">
        <v>0</v>
      </c>
      <c r="FU58" s="92">
        <v>0</v>
      </c>
      <c r="FV58" s="92">
        <v>0</v>
      </c>
      <c r="FW58" s="92">
        <v>0</v>
      </c>
      <c r="FX58" s="92">
        <v>0</v>
      </c>
      <c r="FY58" s="92">
        <v>0</v>
      </c>
      <c r="FZ58" s="92">
        <v>0</v>
      </c>
      <c r="GA58" s="92">
        <v>0</v>
      </c>
      <c r="GB58" s="92">
        <v>0</v>
      </c>
      <c r="GC58" s="92">
        <v>0</v>
      </c>
      <c r="GD58" s="92">
        <v>49068550</v>
      </c>
      <c r="GE58" s="92">
        <v>43336701</v>
      </c>
      <c r="GF58" s="92">
        <v>374346063</v>
      </c>
      <c r="GG58" s="47" t="s">
        <v>479</v>
      </c>
      <c r="GH58" s="47" t="s">
        <v>480</v>
      </c>
      <c r="GI58" s="93">
        <v>5124716527</v>
      </c>
      <c r="GJ58" s="47" t="s">
        <v>481</v>
      </c>
      <c r="GK58" s="47" t="s">
        <v>482</v>
      </c>
      <c r="GL58" s="47" t="s">
        <v>483</v>
      </c>
      <c r="GM58" s="93">
        <v>5122323566</v>
      </c>
      <c r="GN58" s="47" t="s">
        <v>484</v>
      </c>
      <c r="GO58" s="92" cm="1">
        <f t="array" ref="GO58">IFERROR(_xlfn.IFS(ResearchInput[[#This Row],[Type]]="HRI",SUMIFS('FTSE | FTFE'!$P$8:$P$77,'FTSE | FTFE'!$H$8:$H$77,A58),ResearchInput[[#This Row],[Type]]="UNIV",SUMIFS('FTSE | FTFE'!$P$104:$P$139,'FTSE | FTFE'!$H$104:$H$139,A58),OR(ResearchInput[[#This Row],[Type]]="TSTC",ResearchInput[[#This Row],[Type]]="LSC"),SUMIFS('FTSE | FTFE'!$O$88:$O$96,'FTSE | FTFE'!$H$88:$H$96,A58),ResearchInput[[#This Row],[Type]]="AHM",SUMIFS(Hidden!$H$43:$H$46,Hidden!$G$42:$G$45,A58)),"N/A")</f>
        <v>203</v>
      </c>
      <c r="GP58" s="92" cm="1">
        <f t="array" ref="GP58">IFERROR(_xlfn.IFS(ResearchInput[[#This Row],[Type]]="HRI",SUMIFS('FTSE | FTFE'!$Q$8:$Q$77,'FTSE | FTFE'!$H$8:$H$77,A58),ResearchInput[[#This Row],[Type]]="UNIV",SUMIFS('FTSE | FTFE'!$Q$104:$Q$139,'FTSE | FTFE'!$H$104:$H$139,A58),OR(ResearchInput[[#This Row],[Type]]="TSTC",ResearchInput[[#This Row],[Type]]="LSC"),SUMIFS('FTSE | FTFE'!$P$88:$P$96,'FTSE | FTFE'!$H$88:$H$96,A58)),"N/A")</f>
        <v>40.590000000000003</v>
      </c>
      <c r="GQ58" s="92">
        <v>0</v>
      </c>
      <c r="GR58" s="92">
        <f>SUM(ResearchInput[[#This Row],[Fed.Comp]],ResearchInput[[#This Row],[Fed.Eng]],ResearchInput[[#This Row],[Fed.Geo]],ResearchInput[[#This Row],[Fed.Life]],ResearchInput[[#This Row],[Fed.Math]],ResearchInput[[#This Row],[Fed.Phys]],ResearchInput[[#This Row],[Fed.Psyc]],ResearchInput[[#This Row],[Fed.Soc]],ResearchInput[[#This Row],[Fed.Othr]],ResearchInput[[#This Row],[Fed.Non]])</f>
        <v>24088523</v>
      </c>
      <c r="GS58" s="92">
        <f>SUM(ResearchInput[[#This Row],[St.Comp]],ResearchInput[[#This Row],[St.Eng]],ResearchInput[[#This Row],[St.Geo]],ResearchInput[[#This Row],[St.Life]],ResearchInput[[#This Row],[St.Math]],ResearchInput[[#This Row],[St.Phys]],ResearchInput[[#This Row],[St.Psyc]],ResearchInput[[#This Row],[St.Soc]],ResearchInput[[#This Row],[St.Othr]],ResearchInput[[#This Row],[St.Non]])</f>
        <v>3516005</v>
      </c>
      <c r="GT58" s="92">
        <f>SUM(ResearchInput[[#This Row],[St.C&amp;G.Comp]],ResearchInput[[#This Row],[St.C&amp;G.Eng]],ResearchInput[[#This Row],[St.C&amp;G.Geo]],ResearchInput[[#This Row],[St.C&amp;G.Life]],ResearchInput[[#This Row],[St.C&amp;G.Math]],ResearchInput[[#This Row],[St.C&amp;G.Phys]],ResearchInput[[#This Row],[St.C&amp;G.Psyc]],ResearchInput[[#This Row],[St.C&amp;G.Soc]],ResearchInput[[#This Row],[St.C&amp;G.Othr]],ResearchInput[[#This Row],[St.C&amp;G.Non]])</f>
        <v>2619092</v>
      </c>
      <c r="GU58" s="92">
        <f>SUM(ResearchInput[[#This Row],[St.All.Comp]],ResearchInput[[#This Row],[St.All.Eng]],ResearchInput[[#This Row],[St.All.Geo]],ResearchInput[[#This Row],[St.All.Life]],ResearchInput[[#This Row],[St.All.Math]],ResearchInput[[#This Row],[St.All.Phys]],ResearchInput[[#This Row],[St.All.Psyc]],ResearchInput[[#This Row],[St.All.Soc]],ResearchInput[[#This Row],[St.All.Othr]],ResearchInput[[#This Row],[St.All.Non]])</f>
        <v>0</v>
      </c>
      <c r="GV58" s="92">
        <f>SUM(ResearchInput[[#This Row],[Inst.Comp]],ResearchInput[[#This Row],[Inst.Eng]],ResearchInput[[#This Row],[Inst.Geo]],ResearchInput[[#This Row],[Inst.Life]],ResearchInput[[#This Row],[Inst.Math]],ResearchInput[[#This Row],[Inst.Phys]],ResearchInput[[#This Row],[Inst.Psyc]],ResearchInput[[#This Row],[Inst.Soc]],ResearchInput[[#This Row],[Inst.Othr]],ResearchInput[[#This Row],[Inst.Non]])</f>
        <v>13709896</v>
      </c>
      <c r="GW58" s="92">
        <f>SUM(ResearchInput[[#This Row],[P4P.Comp]],ResearchInput[[#This Row],[P4P.Eng]],ResearchInput[[#This Row],[P4P.Geo]],ResearchInput[[#This Row],[P4P.Life]],ResearchInput[[#This Row],[P4P.Math]],ResearchInput[[#This Row],[P4P.Phys]],ResearchInput[[#This Row],[P4P.Psyc]],ResearchInput[[#This Row],[P4P.Soc]],ResearchInput[[#This Row],[P4P.Othr]],ResearchInput[[#This Row],[P4P.Non]])</f>
        <v>1289594</v>
      </c>
      <c r="GX58" s="92">
        <f>SUM(ResearchInput[[#This Row],[PNP.Comp]],ResearchInput[[#This Row],[PNP.Eng]],ResearchInput[[#This Row],[PNP.Geo]],ResearchInput[[#This Row],[PNP.Life]],ResearchInput[[#This Row],[PNP.Math]],ResearchInput[[#This Row],[PNP.Phys]],ResearchInput[[#This Row],[PNP.Psyc]],ResearchInput[[#This Row],[PNP.Soc]],ResearchInput[[#This Row],[PNP.Othr]],ResearchInput[[#This Row],[PNP.Non]])</f>
        <v>6814261</v>
      </c>
      <c r="GY58" s="92">
        <f>SUM(ResearchInput[[#This Row],[P.All.Comp]],ResearchInput[[#This Row],[P.All.Eng]],ResearchInput[[#This Row],[P.All.Geo]],ResearchInput[[#This Row],[P.All.Life]],ResearchInput[[#This Row],[P.All.Math]],ResearchInput[[#This Row],[P.All.Phys]],ResearchInput[[#This Row],[P.All.Psyc]],ResearchInput[[#This Row],[P.All.Soc]],ResearchInput[[#This Row],[P.All.Othr]],ResearchInput[[#This Row],[P.All.Non]])</f>
        <v>4105496</v>
      </c>
    </row>
    <row r="59" spans="1:207" s="47" customFormat="1" ht="27" customHeight="1" x14ac:dyDescent="0.25">
      <c r="A59" s="34" t="s">
        <v>234</v>
      </c>
      <c r="B59" s="34" t="s">
        <v>680</v>
      </c>
      <c r="C59" s="35" t="s">
        <v>674</v>
      </c>
      <c r="D59" s="35" t="s">
        <v>681</v>
      </c>
      <c r="E59" s="94">
        <v>909</v>
      </c>
      <c r="F59" s="35" t="s">
        <v>714</v>
      </c>
      <c r="G59" s="35" t="s">
        <v>553</v>
      </c>
      <c r="H59" s="96">
        <v>89</v>
      </c>
      <c r="I59" s="92">
        <v>43577594</v>
      </c>
      <c r="J59" s="92">
        <v>30382770</v>
      </c>
      <c r="K59" s="92">
        <v>9821061</v>
      </c>
      <c r="L59" s="92">
        <v>103324</v>
      </c>
      <c r="M59" s="92">
        <v>26054413</v>
      </c>
      <c r="N59" s="92">
        <v>189284</v>
      </c>
      <c r="O59" s="92">
        <v>8535508</v>
      </c>
      <c r="P59" s="92">
        <v>0</v>
      </c>
      <c r="Q59" s="92">
        <v>0</v>
      </c>
      <c r="R59" s="92">
        <v>-606059</v>
      </c>
      <c r="S59" s="92">
        <v>-170987</v>
      </c>
      <c r="T59" s="92">
        <v>-103324</v>
      </c>
      <c r="U59" s="92">
        <v>-1498078</v>
      </c>
      <c r="V59" s="92">
        <v>0</v>
      </c>
      <c r="W59" s="92">
        <v>0</v>
      </c>
      <c r="X59" s="92">
        <v>0</v>
      </c>
      <c r="Y59" s="92">
        <v>-1696152</v>
      </c>
      <c r="Z59" s="92">
        <v>0</v>
      </c>
      <c r="AA59" s="92">
        <v>-386695</v>
      </c>
      <c r="AB59" s="92">
        <v>0</v>
      </c>
      <c r="AC59" s="92">
        <v>0</v>
      </c>
      <c r="AD59" s="92">
        <v>0</v>
      </c>
      <c r="AE59" s="92">
        <v>-70490</v>
      </c>
      <c r="AF59" s="92">
        <v>0</v>
      </c>
      <c r="AG59" s="92">
        <v>15790515</v>
      </c>
      <c r="AH59" s="92">
        <v>0</v>
      </c>
      <c r="AI59" s="92">
        <v>954709</v>
      </c>
      <c r="AJ59" s="92">
        <v>0</v>
      </c>
      <c r="AK59" s="92">
        <v>0</v>
      </c>
      <c r="AL59" s="92">
        <v>58171</v>
      </c>
      <c r="AM59" s="92">
        <v>2501543</v>
      </c>
      <c r="AN59" s="92">
        <v>0</v>
      </c>
      <c r="AO59" s="92">
        <v>424007</v>
      </c>
      <c r="AP59" s="92">
        <v>1836619</v>
      </c>
      <c r="AQ59" s="92">
        <v>171965</v>
      </c>
      <c r="AR59" s="92">
        <v>0</v>
      </c>
      <c r="AS59" s="92">
        <v>1288806</v>
      </c>
      <c r="AT59" s="92">
        <v>0</v>
      </c>
      <c r="AU59" s="92">
        <v>984371</v>
      </c>
      <c r="AV59" s="92">
        <v>0</v>
      </c>
      <c r="AW59" s="92">
        <v>14639900</v>
      </c>
      <c r="AX59" s="92">
        <v>0</v>
      </c>
      <c r="AY59" s="92">
        <v>1864647</v>
      </c>
      <c r="AZ59" s="92">
        <v>0</v>
      </c>
      <c r="BA59" s="92">
        <v>0</v>
      </c>
      <c r="BB59" s="92">
        <v>15013127</v>
      </c>
      <c r="BC59" s="92">
        <v>7227551</v>
      </c>
      <c r="BD59" s="92">
        <v>2036</v>
      </c>
      <c r="BE59" s="92">
        <v>3123921</v>
      </c>
      <c r="BF59" s="92">
        <v>7996</v>
      </c>
      <c r="BG59" s="92">
        <v>1385209</v>
      </c>
      <c r="BH59" s="92">
        <v>0</v>
      </c>
      <c r="BI59" s="92">
        <v>3717089</v>
      </c>
      <c r="BJ59" s="92">
        <v>0</v>
      </c>
      <c r="BK59" s="92">
        <v>821535</v>
      </c>
      <c r="BL59" s="92">
        <v>0</v>
      </c>
      <c r="BM59" s="92">
        <v>0</v>
      </c>
      <c r="BN59" s="92">
        <v>-15517</v>
      </c>
      <c r="BO59" s="92">
        <v>0</v>
      </c>
      <c r="BP59" s="92">
        <v>0</v>
      </c>
      <c r="BQ59" s="92">
        <v>0</v>
      </c>
      <c r="BR59" s="92">
        <v>0</v>
      </c>
      <c r="BS59" s="92">
        <v>0</v>
      </c>
      <c r="BT59" s="92">
        <v>0</v>
      </c>
      <c r="BU59" s="92">
        <v>0</v>
      </c>
      <c r="BV59" s="92">
        <v>0</v>
      </c>
      <c r="BW59" s="92">
        <v>0</v>
      </c>
      <c r="BX59" s="92">
        <v>0</v>
      </c>
      <c r="BY59" s="92">
        <v>50</v>
      </c>
      <c r="BZ59" s="92">
        <v>0</v>
      </c>
      <c r="CA59" s="92">
        <v>0</v>
      </c>
      <c r="CB59" s="92">
        <v>0</v>
      </c>
      <c r="CC59" s="92">
        <v>2811383</v>
      </c>
      <c r="CD59" s="92">
        <v>148763</v>
      </c>
      <c r="CE59" s="92">
        <v>783444</v>
      </c>
      <c r="CF59" s="92">
        <v>0</v>
      </c>
      <c r="CG59" s="92">
        <v>-59079</v>
      </c>
      <c r="CH59" s="92">
        <v>7332</v>
      </c>
      <c r="CI59" s="92">
        <v>26842</v>
      </c>
      <c r="CJ59" s="92">
        <v>0</v>
      </c>
      <c r="CK59" s="92">
        <v>520037</v>
      </c>
      <c r="CL59" s="92">
        <v>48178</v>
      </c>
      <c r="CM59" s="92">
        <v>0</v>
      </c>
      <c r="CN59" s="92">
        <v>0</v>
      </c>
      <c r="CO59" s="92">
        <v>64997</v>
      </c>
      <c r="CP59" s="92">
        <v>0</v>
      </c>
      <c r="CQ59" s="92">
        <v>1576</v>
      </c>
      <c r="CR59" s="92">
        <v>0</v>
      </c>
      <c r="CS59" s="92">
        <v>36657406</v>
      </c>
      <c r="CT59" s="92">
        <v>1990153</v>
      </c>
      <c r="CU59" s="92">
        <v>4823442</v>
      </c>
      <c r="CV59" s="92">
        <v>0</v>
      </c>
      <c r="CW59" s="92">
        <v>5643515</v>
      </c>
      <c r="CX59" s="92">
        <v>15032551</v>
      </c>
      <c r="CY59" s="92">
        <v>11341620</v>
      </c>
      <c r="CZ59" s="92">
        <v>2036</v>
      </c>
      <c r="DA59" s="92">
        <v>0</v>
      </c>
      <c r="DB59" s="92">
        <v>0</v>
      </c>
      <c r="DC59" s="92">
        <v>0</v>
      </c>
      <c r="DD59" s="92">
        <v>0</v>
      </c>
      <c r="DE59" s="92">
        <v>0</v>
      </c>
      <c r="DF59" s="92">
        <v>0</v>
      </c>
      <c r="DG59" s="92">
        <v>0</v>
      </c>
      <c r="DH59" s="92">
        <v>0</v>
      </c>
      <c r="DI59" s="92">
        <v>1213379</v>
      </c>
      <c r="DJ59" s="92">
        <v>21953</v>
      </c>
      <c r="DK59" s="92">
        <v>0</v>
      </c>
      <c r="DL59" s="92">
        <v>0</v>
      </c>
      <c r="DM59" s="92">
        <v>24210</v>
      </c>
      <c r="DN59" s="92">
        <v>0</v>
      </c>
      <c r="DO59" s="92">
        <v>0</v>
      </c>
      <c r="DP59" s="92">
        <v>0</v>
      </c>
      <c r="DQ59" s="92">
        <v>0</v>
      </c>
      <c r="DR59" s="92">
        <v>0</v>
      </c>
      <c r="DS59" s="92">
        <v>0</v>
      </c>
      <c r="DT59" s="92">
        <v>0</v>
      </c>
      <c r="DU59" s="92">
        <v>0</v>
      </c>
      <c r="DV59" s="92">
        <v>0</v>
      </c>
      <c r="DW59" s="92">
        <v>0</v>
      </c>
      <c r="DX59" s="92">
        <v>0</v>
      </c>
      <c r="DY59" s="92">
        <v>4744239</v>
      </c>
      <c r="DZ59" s="92">
        <v>11812</v>
      </c>
      <c r="EA59" s="92">
        <v>120793</v>
      </c>
      <c r="EB59" s="92">
        <v>0</v>
      </c>
      <c r="EC59" s="92">
        <v>64065</v>
      </c>
      <c r="ED59" s="92">
        <v>2507</v>
      </c>
      <c r="EE59" s="92">
        <v>288364</v>
      </c>
      <c r="EF59" s="92">
        <v>0</v>
      </c>
      <c r="EG59" s="92">
        <v>28571618</v>
      </c>
      <c r="EH59" s="92">
        <v>29343230</v>
      </c>
      <c r="EI59" s="92">
        <v>7286158</v>
      </c>
      <c r="EJ59" s="92">
        <v>0</v>
      </c>
      <c r="EK59" s="92">
        <v>23824070</v>
      </c>
      <c r="EL59" s="92">
        <v>218192</v>
      </c>
      <c r="EM59" s="92">
        <v>7783579</v>
      </c>
      <c r="EN59" s="92">
        <v>0</v>
      </c>
      <c r="EO59" s="92">
        <v>1341723</v>
      </c>
      <c r="EP59" s="92">
        <v>41720</v>
      </c>
      <c r="EQ59" s="92">
        <v>626072</v>
      </c>
      <c r="ER59" s="92">
        <v>0</v>
      </c>
      <c r="ES59" s="92">
        <v>402</v>
      </c>
      <c r="ET59" s="92">
        <v>0</v>
      </c>
      <c r="EU59" s="92">
        <v>558037</v>
      </c>
      <c r="EV59" s="92">
        <v>0</v>
      </c>
      <c r="EW59" s="92">
        <v>40729253</v>
      </c>
      <c r="EX59" s="92">
        <v>29938808</v>
      </c>
      <c r="EY59" s="92">
        <v>9431252</v>
      </c>
      <c r="EZ59" s="92">
        <v>0</v>
      </c>
      <c r="FA59" s="92">
        <v>20539051</v>
      </c>
      <c r="FB59" s="92">
        <v>15034124</v>
      </c>
      <c r="FC59" s="92">
        <v>13821171</v>
      </c>
      <c r="FD59" s="92">
        <v>2036</v>
      </c>
      <c r="FE59" s="92">
        <v>127845.47</v>
      </c>
      <c r="FF59" s="92">
        <v>0</v>
      </c>
      <c r="FG59" s="92">
        <v>0</v>
      </c>
      <c r="FH59" s="92">
        <v>0</v>
      </c>
      <c r="FI59" s="92">
        <v>0</v>
      </c>
      <c r="FJ59" s="92">
        <v>0</v>
      </c>
      <c r="FK59" s="92">
        <v>0</v>
      </c>
      <c r="FL59" s="92">
        <v>0</v>
      </c>
      <c r="FM59" s="92">
        <v>0</v>
      </c>
      <c r="FN59" s="92">
        <v>0</v>
      </c>
      <c r="FO59" s="92">
        <v>0</v>
      </c>
      <c r="FP59" s="92">
        <v>0</v>
      </c>
      <c r="FQ59" s="92">
        <v>0</v>
      </c>
      <c r="FR59" s="92">
        <v>0</v>
      </c>
      <c r="FS59" s="92">
        <v>0</v>
      </c>
      <c r="FT59" s="92">
        <v>0</v>
      </c>
      <c r="FU59" s="92">
        <v>0</v>
      </c>
      <c r="FV59" s="92">
        <v>0</v>
      </c>
      <c r="FW59" s="92">
        <v>0</v>
      </c>
      <c r="FX59" s="92">
        <v>0</v>
      </c>
      <c r="FY59" s="92">
        <v>0</v>
      </c>
      <c r="FZ59" s="92">
        <v>0</v>
      </c>
      <c r="GA59" s="92">
        <v>0</v>
      </c>
      <c r="GB59" s="92">
        <v>0</v>
      </c>
      <c r="GC59" s="92">
        <v>0</v>
      </c>
      <c r="GD59" s="92">
        <v>118663954</v>
      </c>
      <c r="GE59" s="92">
        <v>121263715</v>
      </c>
      <c r="GF59" s="92">
        <v>478377596</v>
      </c>
      <c r="GG59" s="47" t="s">
        <v>311</v>
      </c>
      <c r="GH59" s="47" t="s">
        <v>312</v>
      </c>
      <c r="GI59" s="93">
        <v>9798459761</v>
      </c>
      <c r="GJ59" s="47" t="s">
        <v>313</v>
      </c>
      <c r="GK59" s="47" t="s">
        <v>453</v>
      </c>
      <c r="GL59" s="47" t="s">
        <v>454</v>
      </c>
      <c r="GM59" s="93">
        <v>9794369239</v>
      </c>
      <c r="GN59" s="47" t="s">
        <v>455</v>
      </c>
      <c r="GO59" s="92" cm="1">
        <f t="array" ref="GO59">IFERROR(_xlfn.IFS(ResearchInput[[#This Row],[Type]]="HRI",SUMIFS('FTSE | FTFE'!$P$8:$P$77,'FTSE | FTFE'!$H$8:$H$77,A59),ResearchInput[[#This Row],[Type]]="UNIV",SUMIFS('FTSE | FTFE'!$P$104:$P$139,'FTSE | FTFE'!$H$104:$H$139,A59),OR(ResearchInput[[#This Row],[Type]]="TSTC",ResearchInput[[#This Row],[Type]]="LSC"),SUMIFS('FTSE | FTFE'!$O$88:$O$96,'FTSE | FTFE'!$H$88:$H$96,A59),ResearchInput[[#This Row],[Type]]="AHM",SUMIFS(Hidden!$H$43:$H$46,Hidden!$G$42:$G$45,A59)),"N/A")</f>
        <v>4236</v>
      </c>
      <c r="GP59" s="92" cm="1">
        <f t="array" ref="GP59">IFERROR(_xlfn.IFS(ResearchInput[[#This Row],[Type]]="HRI",SUMIFS('FTSE | FTFE'!$Q$8:$Q$77,'FTSE | FTFE'!$H$8:$H$77,A59),ResearchInput[[#This Row],[Type]]="UNIV",SUMIFS('FTSE | FTFE'!$Q$104:$Q$139,'FTSE | FTFE'!$H$104:$H$139,A59),OR(ResearchInput[[#This Row],[Type]]="TSTC",ResearchInput[[#This Row],[Type]]="LSC"),SUMIFS('FTSE | FTFE'!$P$88:$P$96,'FTSE | FTFE'!$H$88:$H$96,A59)),"N/A")</f>
        <v>264.66000000000003</v>
      </c>
      <c r="GQ59" s="92">
        <v>38747261</v>
      </c>
      <c r="GR59" s="92">
        <f>SUM(ResearchInput[[#This Row],[Fed.Comp]],ResearchInput[[#This Row],[Fed.Eng]],ResearchInput[[#This Row],[Fed.Geo]],ResearchInput[[#This Row],[Fed.Life]],ResearchInput[[#This Row],[Fed.Math]],ResearchInput[[#This Row],[Fed.Phys]],ResearchInput[[#This Row],[Fed.Psyc]],ResearchInput[[#This Row],[Fed.Soc]],ResearchInput[[#This Row],[Fed.Othr]],ResearchInput[[#This Row],[Fed.Non]])</f>
        <v>75859785</v>
      </c>
      <c r="GS59" s="92">
        <f>SUM(ResearchInput[[#This Row],[St.Comp]],ResearchInput[[#This Row],[St.Eng]],ResearchInput[[#This Row],[St.Geo]],ResearchInput[[#This Row],[St.Life]],ResearchInput[[#This Row],[St.Math]],ResearchInput[[#This Row],[St.Phys]],ResearchInput[[#This Row],[St.Psyc]],ResearchInput[[#This Row],[St.Soc]],ResearchInput[[#This Row],[St.Othr]],ResearchInput[[#This Row],[St.Non]])</f>
        <v>31605809</v>
      </c>
      <c r="GT59" s="92">
        <f>SUM(ResearchInput[[#This Row],[St.C&amp;G.Comp]],ResearchInput[[#This Row],[St.C&amp;G.Eng]],ResearchInput[[#This Row],[St.C&amp;G.Geo]],ResearchInput[[#This Row],[St.C&amp;G.Life]],ResearchInput[[#This Row],[St.C&amp;G.Math]],ResearchInput[[#This Row],[St.C&amp;G.Phys]],ResearchInput[[#This Row],[St.C&amp;G.Psyc]],ResearchInput[[#This Row],[St.C&amp;G.Soc]],ResearchInput[[#This Row],[St.C&amp;G.Othr]],ResearchInput[[#This Row],[St.C&amp;G.Non]])</f>
        <v>13639909</v>
      </c>
      <c r="GU59" s="92">
        <f>SUM(ResearchInput[[#This Row],[St.All.Comp]],ResearchInput[[#This Row],[St.All.Eng]],ResearchInput[[#This Row],[St.All.Geo]],ResearchInput[[#This Row],[St.All.Life]],ResearchInput[[#This Row],[St.All.Math]],ResearchInput[[#This Row],[St.All.Phys]],ResearchInput[[#This Row],[St.All.Psyc]],ResearchInput[[#This Row],[St.All.Soc]],ResearchInput[[#This Row],[St.All.Othr]],ResearchInput[[#This Row],[St.All.Non]])</f>
        <v>0</v>
      </c>
      <c r="GV59" s="92">
        <f>SUM(ResearchInput[[#This Row],[Inst.Comp]],ResearchInput[[#This Row],[Inst.Eng]],ResearchInput[[#This Row],[Inst.Geo]],ResearchInput[[#This Row],[Inst.Life]],ResearchInput[[#This Row],[Inst.Math]],ResearchInput[[#This Row],[Inst.Phys]],ResearchInput[[#This Row],[Inst.Psyc]],ResearchInput[[#This Row],[Inst.Soc]],ResearchInput[[#This Row],[Inst.Othr]],ResearchInput[[#This Row],[Inst.Non]])</f>
        <v>29562230</v>
      </c>
      <c r="GW59" s="92">
        <f>SUM(ResearchInput[[#This Row],[P4P.Comp]],ResearchInput[[#This Row],[P4P.Eng]],ResearchInput[[#This Row],[P4P.Geo]],ResearchInput[[#This Row],[P4P.Life]],ResearchInput[[#This Row],[P4P.Math]],ResearchInput[[#This Row],[P4P.Phys]],ResearchInput[[#This Row],[P4P.Psyc]],ResearchInput[[#This Row],[P4P.Soc]],ResearchInput[[#This Row],[P4P.Othr]],ResearchInput[[#This Row],[P4P.Non]])</f>
        <v>15260582</v>
      </c>
      <c r="GX59" s="92">
        <f>SUM(ResearchInput[[#This Row],[PNP.Comp]],ResearchInput[[#This Row],[PNP.Eng]],ResearchInput[[#This Row],[PNP.Geo]],ResearchInput[[#This Row],[PNP.Life]],ResearchInput[[#This Row],[PNP.Math]],ResearchInput[[#This Row],[PNP.Phys]],ResearchInput[[#This Row],[PNP.Psyc]],ResearchInput[[#This Row],[PNP.Soc]],ResearchInput[[#This Row],[PNP.Othr]],ResearchInput[[#This Row],[PNP.Non]])</f>
        <v>20000018</v>
      </c>
      <c r="GY59" s="92">
        <f>SUM(ResearchInput[[#This Row],[P.All.Comp]],ResearchInput[[#This Row],[P.All.Eng]],ResearchInput[[#This Row],[P.All.Geo]],ResearchInput[[#This Row],[P.All.Life]],ResearchInput[[#This Row],[P.All.Math]],ResearchInput[[#This Row],[P.All.Phys]],ResearchInput[[#This Row],[P.All.Psyc]],ResearchInput[[#This Row],[P.All.Soc]],ResearchInput[[#This Row],[P.All.Othr]],ResearchInput[[#This Row],[P.All.Non]])</f>
        <v>2036</v>
      </c>
    </row>
    <row r="60" spans="1:207" s="47" customFormat="1" ht="27" customHeight="1" x14ac:dyDescent="0.25">
      <c r="A60" s="34" t="s">
        <v>203</v>
      </c>
      <c r="B60" s="34" t="s">
        <v>680</v>
      </c>
      <c r="C60" s="35" t="s">
        <v>688</v>
      </c>
      <c r="D60" s="35" t="s">
        <v>681</v>
      </c>
      <c r="E60" s="94">
        <v>910</v>
      </c>
      <c r="F60" s="35" t="s">
        <v>714</v>
      </c>
      <c r="G60" s="35" t="s">
        <v>553</v>
      </c>
      <c r="H60" s="96">
        <v>130</v>
      </c>
      <c r="I60" s="92">
        <v>96153053</v>
      </c>
      <c r="J60" s="92">
        <v>2078215</v>
      </c>
      <c r="K60" s="92">
        <v>593338</v>
      </c>
      <c r="L60" s="92">
        <v>0</v>
      </c>
      <c r="M60" s="92">
        <v>2662617</v>
      </c>
      <c r="N60" s="92">
        <v>280589</v>
      </c>
      <c r="O60" s="92">
        <v>506144</v>
      </c>
      <c r="P60" s="92">
        <v>335031</v>
      </c>
      <c r="Q60" s="92">
        <v>0</v>
      </c>
      <c r="R60" s="92">
        <v>0</v>
      </c>
      <c r="S60" s="92">
        <v>0</v>
      </c>
      <c r="T60" s="92">
        <v>0</v>
      </c>
      <c r="U60" s="92">
        <v>0</v>
      </c>
      <c r="V60" s="92">
        <v>0</v>
      </c>
      <c r="W60" s="92">
        <v>0</v>
      </c>
      <c r="X60" s="92">
        <v>0</v>
      </c>
      <c r="Y60" s="92">
        <v>-8379341</v>
      </c>
      <c r="Z60" s="92">
        <v>0</v>
      </c>
      <c r="AA60" s="92">
        <v>0</v>
      </c>
      <c r="AB60" s="92">
        <v>0</v>
      </c>
      <c r="AC60" s="92">
        <v>0</v>
      </c>
      <c r="AD60" s="92">
        <v>0</v>
      </c>
      <c r="AE60" s="92">
        <v>0</v>
      </c>
      <c r="AF60" s="92">
        <v>0</v>
      </c>
      <c r="AG60" s="92">
        <v>20276619</v>
      </c>
      <c r="AH60" s="92">
        <v>0</v>
      </c>
      <c r="AI60" s="92">
        <v>102337</v>
      </c>
      <c r="AJ60" s="92">
        <v>0</v>
      </c>
      <c r="AK60" s="92">
        <v>122102</v>
      </c>
      <c r="AL60" s="92">
        <v>149524</v>
      </c>
      <c r="AM60" s="92">
        <v>45904</v>
      </c>
      <c r="AN60" s="92">
        <v>0</v>
      </c>
      <c r="AO60" s="92">
        <v>53060</v>
      </c>
      <c r="AP60" s="92">
        <v>83933</v>
      </c>
      <c r="AQ60" s="92">
        <v>0</v>
      </c>
      <c r="AR60" s="92">
        <v>0</v>
      </c>
      <c r="AS60" s="92">
        <v>336374</v>
      </c>
      <c r="AT60" s="92">
        <v>0</v>
      </c>
      <c r="AU60" s="92">
        <v>0</v>
      </c>
      <c r="AV60" s="92">
        <v>0</v>
      </c>
      <c r="AW60" s="92">
        <v>0</v>
      </c>
      <c r="AX60" s="92">
        <v>0</v>
      </c>
      <c r="AY60" s="92">
        <v>0</v>
      </c>
      <c r="AZ60" s="92">
        <v>0</v>
      </c>
      <c r="BA60" s="92">
        <v>0</v>
      </c>
      <c r="BB60" s="92">
        <v>0</v>
      </c>
      <c r="BC60" s="92">
        <v>0</v>
      </c>
      <c r="BD60" s="92">
        <v>0</v>
      </c>
      <c r="BE60" s="92">
        <v>0</v>
      </c>
      <c r="BF60" s="92">
        <v>0</v>
      </c>
      <c r="BG60" s="92">
        <v>0</v>
      </c>
      <c r="BH60" s="92">
        <v>0</v>
      </c>
      <c r="BI60" s="92">
        <v>0</v>
      </c>
      <c r="BJ60" s="92">
        <v>0</v>
      </c>
      <c r="BK60" s="92">
        <v>0</v>
      </c>
      <c r="BL60" s="92">
        <v>0</v>
      </c>
      <c r="BM60" s="92">
        <v>0</v>
      </c>
      <c r="BN60" s="92">
        <v>0</v>
      </c>
      <c r="BO60" s="92">
        <v>0</v>
      </c>
      <c r="BP60" s="92">
        <v>0</v>
      </c>
      <c r="BQ60" s="92">
        <v>0</v>
      </c>
      <c r="BR60" s="92">
        <v>0</v>
      </c>
      <c r="BS60" s="92">
        <v>0</v>
      </c>
      <c r="BT60" s="92">
        <v>0</v>
      </c>
      <c r="BU60" s="92">
        <v>0</v>
      </c>
      <c r="BV60" s="92">
        <v>0</v>
      </c>
      <c r="BW60" s="92">
        <v>0</v>
      </c>
      <c r="BX60" s="92">
        <v>0</v>
      </c>
      <c r="BY60" s="92">
        <v>0</v>
      </c>
      <c r="BZ60" s="92">
        <v>0</v>
      </c>
      <c r="CA60" s="92">
        <v>0</v>
      </c>
      <c r="CB60" s="92">
        <v>0</v>
      </c>
      <c r="CC60" s="92">
        <v>0</v>
      </c>
      <c r="CD60" s="92">
        <v>0</v>
      </c>
      <c r="CE60" s="92">
        <v>0</v>
      </c>
      <c r="CF60" s="92">
        <v>0</v>
      </c>
      <c r="CG60" s="92">
        <v>0</v>
      </c>
      <c r="CH60" s="92">
        <v>0</v>
      </c>
      <c r="CI60" s="92">
        <v>0</v>
      </c>
      <c r="CJ60" s="92">
        <v>0</v>
      </c>
      <c r="CK60" s="92">
        <v>0</v>
      </c>
      <c r="CL60" s="92">
        <v>0</v>
      </c>
      <c r="CM60" s="92">
        <v>0</v>
      </c>
      <c r="CN60" s="92">
        <v>0</v>
      </c>
      <c r="CO60" s="92">
        <v>0</v>
      </c>
      <c r="CP60" s="92">
        <v>0</v>
      </c>
      <c r="CQ60" s="92">
        <v>0</v>
      </c>
      <c r="CR60" s="92">
        <v>0</v>
      </c>
      <c r="CS60" s="92">
        <v>63630974</v>
      </c>
      <c r="CT60" s="92">
        <v>2162148</v>
      </c>
      <c r="CU60" s="92">
        <v>565867</v>
      </c>
      <c r="CV60" s="92">
        <v>0</v>
      </c>
      <c r="CW60" s="92">
        <v>3108344</v>
      </c>
      <c r="CX60" s="92">
        <v>256147</v>
      </c>
      <c r="CY60" s="92">
        <v>544471</v>
      </c>
      <c r="CZ60" s="92">
        <v>335031</v>
      </c>
      <c r="DA60" s="92">
        <v>42612197</v>
      </c>
      <c r="DB60" s="92">
        <v>0</v>
      </c>
      <c r="DC60" s="92">
        <v>0</v>
      </c>
      <c r="DD60" s="92">
        <v>0</v>
      </c>
      <c r="DE60" s="92">
        <v>0</v>
      </c>
      <c r="DF60" s="92">
        <v>0</v>
      </c>
      <c r="DG60" s="92">
        <v>2641</v>
      </c>
      <c r="DH60" s="92">
        <v>0</v>
      </c>
      <c r="DI60" s="92">
        <v>0</v>
      </c>
      <c r="DJ60" s="92">
        <v>0</v>
      </c>
      <c r="DK60" s="92">
        <v>0</v>
      </c>
      <c r="DL60" s="92">
        <v>0</v>
      </c>
      <c r="DM60" s="92">
        <v>0</v>
      </c>
      <c r="DN60" s="92">
        <v>0</v>
      </c>
      <c r="DO60" s="92">
        <v>0</v>
      </c>
      <c r="DP60" s="92">
        <v>0</v>
      </c>
      <c r="DQ60" s="92">
        <v>0</v>
      </c>
      <c r="DR60" s="92">
        <v>0</v>
      </c>
      <c r="DS60" s="92">
        <v>0</v>
      </c>
      <c r="DT60" s="92">
        <v>0</v>
      </c>
      <c r="DU60" s="92">
        <v>0</v>
      </c>
      <c r="DV60" s="92">
        <v>0</v>
      </c>
      <c r="DW60" s="92">
        <v>0</v>
      </c>
      <c r="DX60" s="92">
        <v>0</v>
      </c>
      <c r="DY60" s="92">
        <v>1860220</v>
      </c>
      <c r="DZ60" s="92">
        <v>0</v>
      </c>
      <c r="EA60" s="92">
        <v>129808</v>
      </c>
      <c r="EB60" s="92">
        <v>0</v>
      </c>
      <c r="EC60" s="92">
        <v>12749</v>
      </c>
      <c r="ED60" s="92">
        <v>173966</v>
      </c>
      <c r="EE60" s="92">
        <v>4936</v>
      </c>
      <c r="EF60" s="92">
        <v>0</v>
      </c>
      <c r="EG60" s="92">
        <v>0</v>
      </c>
      <c r="EH60" s="92">
        <v>0</v>
      </c>
      <c r="EI60" s="92">
        <v>0</v>
      </c>
      <c r="EJ60" s="92">
        <v>0</v>
      </c>
      <c r="EK60" s="92">
        <v>0</v>
      </c>
      <c r="EL60" s="92">
        <v>0</v>
      </c>
      <c r="EM60" s="92">
        <v>0</v>
      </c>
      <c r="EN60" s="92">
        <v>0</v>
      </c>
      <c r="EO60" s="92">
        <v>0</v>
      </c>
      <c r="EP60" s="92">
        <v>0</v>
      </c>
      <c r="EQ60" s="92">
        <v>0</v>
      </c>
      <c r="ER60" s="92">
        <v>0</v>
      </c>
      <c r="ES60" s="92">
        <v>0</v>
      </c>
      <c r="ET60" s="92">
        <v>0</v>
      </c>
      <c r="EU60" s="92">
        <v>0</v>
      </c>
      <c r="EV60" s="92">
        <v>0</v>
      </c>
      <c r="EW60" s="92">
        <v>67729887</v>
      </c>
      <c r="EX60" s="92">
        <v>0</v>
      </c>
      <c r="EY60" s="92">
        <v>342908</v>
      </c>
      <c r="EZ60" s="92">
        <v>0</v>
      </c>
      <c r="FA60" s="92">
        <v>12749</v>
      </c>
      <c r="FB60" s="92">
        <v>333440</v>
      </c>
      <c r="FC60" s="92">
        <v>433219</v>
      </c>
      <c r="FD60" s="92">
        <v>0</v>
      </c>
      <c r="FE60" s="92">
        <v>2821</v>
      </c>
      <c r="FF60" s="92">
        <v>0</v>
      </c>
      <c r="FG60" s="92">
        <v>0</v>
      </c>
      <c r="FH60" s="92">
        <v>0</v>
      </c>
      <c r="FI60" s="92">
        <v>0</v>
      </c>
      <c r="FJ60" s="92">
        <v>15666</v>
      </c>
      <c r="FK60" s="92">
        <v>0</v>
      </c>
      <c r="FL60" s="92">
        <v>0</v>
      </c>
      <c r="FM60" s="92">
        <v>3655</v>
      </c>
      <c r="FN60" s="92">
        <v>0</v>
      </c>
      <c r="FO60" s="92">
        <v>0</v>
      </c>
      <c r="FP60" s="92">
        <v>0</v>
      </c>
      <c r="FQ60" s="92">
        <v>0</v>
      </c>
      <c r="FR60" s="92">
        <v>0</v>
      </c>
      <c r="FS60" s="92">
        <v>0</v>
      </c>
      <c r="FT60" s="92">
        <v>0</v>
      </c>
      <c r="FU60" s="92">
        <v>0</v>
      </c>
      <c r="FV60" s="92">
        <v>0</v>
      </c>
      <c r="FW60" s="92">
        <v>0</v>
      </c>
      <c r="FX60" s="92">
        <v>0</v>
      </c>
      <c r="FY60" s="92">
        <v>0</v>
      </c>
      <c r="FZ60" s="92">
        <v>0</v>
      </c>
      <c r="GA60" s="92">
        <v>0</v>
      </c>
      <c r="GB60" s="92">
        <v>0</v>
      </c>
      <c r="GC60" s="92">
        <v>0</v>
      </c>
      <c r="GD60" s="92">
        <v>102608987</v>
      </c>
      <c r="GE60" s="92">
        <v>94703014</v>
      </c>
      <c r="GF60" s="92">
        <v>333314600</v>
      </c>
      <c r="GG60" s="47" t="s">
        <v>456</v>
      </c>
      <c r="GH60" s="47" t="s">
        <v>457</v>
      </c>
      <c r="GI60" s="93">
        <v>8177352609</v>
      </c>
      <c r="GJ60" s="47" t="s">
        <v>458</v>
      </c>
      <c r="GK60" s="47" t="s">
        <v>459</v>
      </c>
      <c r="GL60" s="47" t="s">
        <v>460</v>
      </c>
      <c r="GM60" s="93">
        <v>8177355413</v>
      </c>
      <c r="GN60" s="47" t="s">
        <v>461</v>
      </c>
      <c r="GO60" s="92" cm="1">
        <f t="array" ref="GO60">IFERROR(_xlfn.IFS(ResearchInput[[#This Row],[Type]]="HRI",SUMIFS('FTSE | FTFE'!$P$8:$P$77,'FTSE | FTFE'!$H$8:$H$77,A60),ResearchInput[[#This Row],[Type]]="UNIV",SUMIFS('FTSE | FTFE'!$P$104:$P$139,'FTSE | FTFE'!$H$104:$H$139,A60),OR(ResearchInput[[#This Row],[Type]]="TSTC",ResearchInput[[#This Row],[Type]]="LSC"),SUMIFS('FTSE | FTFE'!$O$88:$O$96,'FTSE | FTFE'!$H$88:$H$96,A60),ResearchInput[[#This Row],[Type]]="AHM",SUMIFS(Hidden!$H$43:$H$46,Hidden!$G$42:$G$45,A60)),"N/A")</f>
        <v>2716</v>
      </c>
      <c r="GP60" s="92" cm="1">
        <f t="array" ref="GP60">IFERROR(_xlfn.IFS(ResearchInput[[#This Row],[Type]]="HRI",SUMIFS('FTSE | FTFE'!$Q$8:$Q$77,'FTSE | FTFE'!$H$8:$H$77,A60),ResearchInput[[#This Row],[Type]]="UNIV",SUMIFS('FTSE | FTFE'!$Q$104:$Q$139,'FTSE | FTFE'!$H$104:$H$139,A60),OR(ResearchInput[[#This Row],[Type]]="TSTC",ResearchInput[[#This Row],[Type]]="LSC"),SUMIFS('FTSE | FTFE'!$P$88:$P$96,'FTSE | FTFE'!$H$88:$H$96,A60)),"N/A")</f>
        <v>81.28</v>
      </c>
      <c r="GQ60" s="92">
        <v>0</v>
      </c>
      <c r="GR60" s="92">
        <f>SUM(ResearchInput[[#This Row],[Fed.Comp]],ResearchInput[[#This Row],[Fed.Eng]],ResearchInput[[#This Row],[Fed.Geo]],ResearchInput[[#This Row],[Fed.Life]],ResearchInput[[#This Row],[Fed.Math]],ResearchInput[[#This Row],[Fed.Phys]],ResearchInput[[#This Row],[Fed.Psyc]],ResearchInput[[#This Row],[Fed.Soc]],ResearchInput[[#This Row],[Fed.Othr]],ResearchInput[[#This Row],[Fed.Non]])</f>
        <v>108103391</v>
      </c>
      <c r="GS60" s="92">
        <f>SUM(ResearchInput[[#This Row],[St.Comp]],ResearchInput[[#This Row],[St.Eng]],ResearchInput[[#This Row],[St.Geo]],ResearchInput[[#This Row],[St.Life]],ResearchInput[[#This Row],[St.Math]],ResearchInput[[#This Row],[St.Phys]],ResearchInput[[#This Row],[St.Psyc]],ResearchInput[[#This Row],[St.Soc]],ResearchInput[[#This Row],[St.Othr]],ResearchInput[[#This Row],[St.Non]])</f>
        <v>2162148</v>
      </c>
      <c r="GT60" s="92">
        <f>SUM(ResearchInput[[#This Row],[St.C&amp;G.Comp]],ResearchInput[[#This Row],[St.C&amp;G.Eng]],ResearchInput[[#This Row],[St.C&amp;G.Geo]],ResearchInput[[#This Row],[St.C&amp;G.Life]],ResearchInput[[#This Row],[St.C&amp;G.Math]],ResearchInput[[#This Row],[St.C&amp;G.Phys]],ResearchInput[[#This Row],[St.C&amp;G.Psyc]],ResearchInput[[#This Row],[St.C&amp;G.Soc]],ResearchInput[[#This Row],[St.C&amp;G.Othr]],ResearchInput[[#This Row],[St.C&amp;G.Non]])</f>
        <v>695675</v>
      </c>
      <c r="GU60" s="92">
        <f>SUM(ResearchInput[[#This Row],[St.All.Comp]],ResearchInput[[#This Row],[St.All.Eng]],ResearchInput[[#This Row],[St.All.Geo]],ResearchInput[[#This Row],[St.All.Life]],ResearchInput[[#This Row],[St.All.Math]],ResearchInput[[#This Row],[St.All.Phys]],ResearchInput[[#This Row],[St.All.Psyc]],ResearchInput[[#This Row],[St.All.Soc]],ResearchInput[[#This Row],[St.All.Othr]],ResearchInput[[#This Row],[St.All.Non]])</f>
        <v>0</v>
      </c>
      <c r="GV60" s="92">
        <f>SUM(ResearchInput[[#This Row],[Inst.Comp]],ResearchInput[[#This Row],[Inst.Eng]],ResearchInput[[#This Row],[Inst.Geo]],ResearchInput[[#This Row],[Inst.Life]],ResearchInput[[#This Row],[Inst.Math]],ResearchInput[[#This Row],[Inst.Phys]],ResearchInput[[#This Row],[Inst.Psyc]],ResearchInput[[#This Row],[Inst.Soc]],ResearchInput[[#This Row],[Inst.Othr]],ResearchInput[[#This Row],[Inst.Non]])</f>
        <v>3121093</v>
      </c>
      <c r="GW60" s="92">
        <f>SUM(ResearchInput[[#This Row],[P4P.Comp]],ResearchInput[[#This Row],[P4P.Eng]],ResearchInput[[#This Row],[P4P.Geo]],ResearchInput[[#This Row],[P4P.Life]],ResearchInput[[#This Row],[P4P.Math]],ResearchInput[[#This Row],[P4P.Phys]],ResearchInput[[#This Row],[P4P.Psyc]],ResearchInput[[#This Row],[P4P.Soc]],ResearchInput[[#This Row],[P4P.Othr]],ResearchInput[[#This Row],[P4P.Non]])</f>
        <v>430113</v>
      </c>
      <c r="GX60" s="92">
        <f>SUM(ResearchInput[[#This Row],[PNP.Comp]],ResearchInput[[#This Row],[PNP.Eng]],ResearchInput[[#This Row],[PNP.Geo]],ResearchInput[[#This Row],[PNP.Life]],ResearchInput[[#This Row],[PNP.Math]],ResearchInput[[#This Row],[PNP.Phys]],ResearchInput[[#This Row],[PNP.Psyc]],ResearchInput[[#This Row],[PNP.Soc]],ResearchInput[[#This Row],[PNP.Othr]],ResearchInput[[#This Row],[PNP.Non]])</f>
        <v>552048</v>
      </c>
      <c r="GY60" s="92">
        <f>SUM(ResearchInput[[#This Row],[P.All.Comp]],ResearchInput[[#This Row],[P.All.Eng]],ResearchInput[[#This Row],[P.All.Geo]],ResearchInput[[#This Row],[P.All.Life]],ResearchInput[[#This Row],[P.All.Math]],ResearchInput[[#This Row],[P.All.Phys]],ResearchInput[[#This Row],[P.All.Psyc]],ResearchInput[[#This Row],[P.All.Soc]],ResearchInput[[#This Row],[P.All.Othr]],ResearchInput[[#This Row],[P.All.Non]])</f>
        <v>335031</v>
      </c>
    </row>
    <row r="61" spans="1:207" s="47" customFormat="1" ht="27" customHeight="1" x14ac:dyDescent="0.25">
      <c r="A61" s="34" t="s">
        <v>204</v>
      </c>
      <c r="B61" s="34" t="s">
        <v>680</v>
      </c>
      <c r="C61" s="35" t="s">
        <v>672</v>
      </c>
      <c r="D61" s="35" t="s">
        <v>681</v>
      </c>
      <c r="E61" s="94">
        <v>911</v>
      </c>
      <c r="F61" s="35" t="s">
        <v>714</v>
      </c>
      <c r="G61" s="35" t="s">
        <v>553</v>
      </c>
      <c r="H61" s="96">
        <v>412</v>
      </c>
      <c r="I61" s="92">
        <v>13026274</v>
      </c>
      <c r="J61" s="92">
        <v>11380858</v>
      </c>
      <c r="K61" s="92">
        <v>2893906</v>
      </c>
      <c r="L61" s="92">
        <v>0</v>
      </c>
      <c r="M61" s="92">
        <v>15276221</v>
      </c>
      <c r="N61" s="92">
        <v>693451</v>
      </c>
      <c r="O61" s="92">
        <v>6459400</v>
      </c>
      <c r="P61" s="92">
        <v>81716</v>
      </c>
      <c r="Q61" s="92">
        <v>0</v>
      </c>
      <c r="R61" s="92">
        <v>0</v>
      </c>
      <c r="S61" s="92">
        <v>0</v>
      </c>
      <c r="T61" s="92">
        <v>0</v>
      </c>
      <c r="U61" s="92">
        <v>-7333</v>
      </c>
      <c r="V61" s="92">
        <v>0</v>
      </c>
      <c r="W61" s="92">
        <v>0</v>
      </c>
      <c r="X61" s="92">
        <v>0</v>
      </c>
      <c r="Y61" s="92">
        <v>-145764</v>
      </c>
      <c r="Z61" s="92">
        <v>0</v>
      </c>
      <c r="AA61" s="92">
        <v>-133502</v>
      </c>
      <c r="AB61" s="92">
        <v>0</v>
      </c>
      <c r="AC61" s="92">
        <v>0</v>
      </c>
      <c r="AD61" s="92">
        <v>0</v>
      </c>
      <c r="AE61" s="92">
        <v>0</v>
      </c>
      <c r="AF61" s="92">
        <v>0</v>
      </c>
      <c r="AG61" s="92">
        <v>5716158</v>
      </c>
      <c r="AH61" s="92">
        <v>0</v>
      </c>
      <c r="AI61" s="92">
        <v>147944</v>
      </c>
      <c r="AJ61" s="92">
        <v>0</v>
      </c>
      <c r="AK61" s="92">
        <v>0</v>
      </c>
      <c r="AL61" s="92">
        <v>193016</v>
      </c>
      <c r="AM61" s="92">
        <v>100149</v>
      </c>
      <c r="AN61" s="92">
        <v>0</v>
      </c>
      <c r="AO61" s="92">
        <v>117153</v>
      </c>
      <c r="AP61" s="92">
        <v>636170</v>
      </c>
      <c r="AQ61" s="92">
        <v>75419</v>
      </c>
      <c r="AR61" s="92">
        <v>0</v>
      </c>
      <c r="AS61" s="92">
        <v>967626</v>
      </c>
      <c r="AT61" s="92">
        <v>0</v>
      </c>
      <c r="AU61" s="92">
        <v>179467</v>
      </c>
      <c r="AV61" s="92">
        <v>0</v>
      </c>
      <c r="AW61" s="92">
        <v>0</v>
      </c>
      <c r="AX61" s="92">
        <v>0</v>
      </c>
      <c r="AY61" s="92">
        <v>0</v>
      </c>
      <c r="AZ61" s="92">
        <v>0</v>
      </c>
      <c r="BA61" s="92">
        <v>0</v>
      </c>
      <c r="BB61" s="92">
        <v>0</v>
      </c>
      <c r="BC61" s="92">
        <v>0</v>
      </c>
      <c r="BD61" s="92">
        <v>0</v>
      </c>
      <c r="BE61" s="92">
        <v>0</v>
      </c>
      <c r="BF61" s="92">
        <v>0</v>
      </c>
      <c r="BG61" s="92">
        <v>0</v>
      </c>
      <c r="BH61" s="92">
        <v>0</v>
      </c>
      <c r="BI61" s="92">
        <v>0</v>
      </c>
      <c r="BJ61" s="92">
        <v>0</v>
      </c>
      <c r="BK61" s="92">
        <v>0</v>
      </c>
      <c r="BL61" s="92">
        <v>0</v>
      </c>
      <c r="BM61" s="92">
        <v>0</v>
      </c>
      <c r="BN61" s="92">
        <v>0</v>
      </c>
      <c r="BO61" s="92">
        <v>0</v>
      </c>
      <c r="BP61" s="92">
        <v>0</v>
      </c>
      <c r="BQ61" s="92">
        <v>0</v>
      </c>
      <c r="BR61" s="92">
        <v>0</v>
      </c>
      <c r="BS61" s="92">
        <v>0</v>
      </c>
      <c r="BT61" s="92">
        <v>0</v>
      </c>
      <c r="BU61" s="92">
        <v>0</v>
      </c>
      <c r="BV61" s="92">
        <v>0</v>
      </c>
      <c r="BW61" s="92">
        <v>0</v>
      </c>
      <c r="BX61" s="92">
        <v>0</v>
      </c>
      <c r="BY61" s="92">
        <v>0</v>
      </c>
      <c r="BZ61" s="92">
        <v>0</v>
      </c>
      <c r="CA61" s="92">
        <v>0</v>
      </c>
      <c r="CB61" s="92">
        <v>0</v>
      </c>
      <c r="CC61" s="92">
        <v>0</v>
      </c>
      <c r="CD61" s="92">
        <v>0</v>
      </c>
      <c r="CE61" s="92">
        <v>0</v>
      </c>
      <c r="CF61" s="92">
        <v>0</v>
      </c>
      <c r="CG61" s="92">
        <v>0</v>
      </c>
      <c r="CH61" s="92">
        <v>0</v>
      </c>
      <c r="CI61" s="92">
        <v>0</v>
      </c>
      <c r="CJ61" s="92">
        <v>0</v>
      </c>
      <c r="CK61" s="92">
        <v>0</v>
      </c>
      <c r="CL61" s="92">
        <v>0</v>
      </c>
      <c r="CM61" s="92">
        <v>0</v>
      </c>
      <c r="CN61" s="92">
        <v>0</v>
      </c>
      <c r="CO61" s="92">
        <v>0</v>
      </c>
      <c r="CP61" s="92">
        <v>0</v>
      </c>
      <c r="CQ61" s="92">
        <v>0</v>
      </c>
      <c r="CR61" s="92">
        <v>0</v>
      </c>
      <c r="CS61" s="92">
        <v>9267938</v>
      </c>
      <c r="CT61" s="92">
        <v>3046055</v>
      </c>
      <c r="CU61" s="92">
        <v>450703</v>
      </c>
      <c r="CV61" s="92">
        <v>0</v>
      </c>
      <c r="CW61" s="92">
        <v>9046359</v>
      </c>
      <c r="CX61" s="92">
        <v>128681</v>
      </c>
      <c r="CY61" s="92">
        <v>2133922</v>
      </c>
      <c r="CZ61" s="92">
        <v>41309</v>
      </c>
      <c r="DA61" s="92">
        <v>0</v>
      </c>
      <c r="DB61" s="92">
        <v>0</v>
      </c>
      <c r="DC61" s="92">
        <v>0</v>
      </c>
      <c r="DD61" s="92">
        <v>0</v>
      </c>
      <c r="DE61" s="92">
        <v>0</v>
      </c>
      <c r="DF61" s="92">
        <v>0</v>
      </c>
      <c r="DG61" s="92">
        <v>0</v>
      </c>
      <c r="DH61" s="92">
        <v>0</v>
      </c>
      <c r="DI61" s="92">
        <v>0</v>
      </c>
      <c r="DJ61" s="92">
        <v>0</v>
      </c>
      <c r="DK61" s="92">
        <v>0</v>
      </c>
      <c r="DL61" s="92">
        <v>0</v>
      </c>
      <c r="DM61" s="92">
        <v>0</v>
      </c>
      <c r="DN61" s="92">
        <v>0</v>
      </c>
      <c r="DO61" s="92">
        <v>0</v>
      </c>
      <c r="DP61" s="92">
        <v>0</v>
      </c>
      <c r="DQ61" s="92">
        <v>0</v>
      </c>
      <c r="DR61" s="92">
        <v>0</v>
      </c>
      <c r="DS61" s="92">
        <v>0</v>
      </c>
      <c r="DT61" s="92">
        <v>0</v>
      </c>
      <c r="DU61" s="92">
        <v>0</v>
      </c>
      <c r="DV61" s="92">
        <v>0</v>
      </c>
      <c r="DW61" s="92">
        <v>0</v>
      </c>
      <c r="DX61" s="92">
        <v>0</v>
      </c>
      <c r="DY61" s="92">
        <v>0</v>
      </c>
      <c r="DZ61" s="92">
        <v>0</v>
      </c>
      <c r="EA61" s="92">
        <v>0</v>
      </c>
      <c r="EB61" s="92">
        <v>0</v>
      </c>
      <c r="EC61" s="92">
        <v>0</v>
      </c>
      <c r="ED61" s="92">
        <v>0</v>
      </c>
      <c r="EE61" s="92">
        <v>0</v>
      </c>
      <c r="EF61" s="92">
        <v>0</v>
      </c>
      <c r="EG61" s="92">
        <v>7989950</v>
      </c>
      <c r="EH61" s="92">
        <v>6707794</v>
      </c>
      <c r="EI61" s="92">
        <v>2445556</v>
      </c>
      <c r="EJ61" s="92">
        <v>0</v>
      </c>
      <c r="EK61" s="92">
        <v>6783015</v>
      </c>
      <c r="EL61" s="92">
        <v>503713</v>
      </c>
      <c r="EM61" s="92">
        <v>2572482</v>
      </c>
      <c r="EN61" s="92">
        <v>40407</v>
      </c>
      <c r="EO61" s="92">
        <v>1455933</v>
      </c>
      <c r="EP61" s="92">
        <v>2263179</v>
      </c>
      <c r="EQ61" s="92">
        <v>87508</v>
      </c>
      <c r="ER61" s="92">
        <v>0</v>
      </c>
      <c r="ES61" s="92">
        <v>407140</v>
      </c>
      <c r="ET61" s="92">
        <v>254073</v>
      </c>
      <c r="EU61" s="92">
        <v>2032612</v>
      </c>
      <c r="EV61" s="92">
        <v>0</v>
      </c>
      <c r="EW61" s="92">
        <v>19554180</v>
      </c>
      <c r="EX61" s="92">
        <v>27691858</v>
      </c>
      <c r="EY61" s="92">
        <v>2983767</v>
      </c>
      <c r="EZ61" s="92">
        <v>0</v>
      </c>
      <c r="FA61" s="92">
        <v>36667216</v>
      </c>
      <c r="FB61" s="92">
        <v>1013977</v>
      </c>
      <c r="FC61" s="92">
        <v>8850731</v>
      </c>
      <c r="FD61" s="92">
        <v>81716</v>
      </c>
      <c r="FE61" s="92">
        <v>0</v>
      </c>
      <c r="FF61" s="92">
        <v>0</v>
      </c>
      <c r="FG61" s="92">
        <v>0</v>
      </c>
      <c r="FH61" s="92">
        <v>0</v>
      </c>
      <c r="FI61" s="92">
        <v>1170</v>
      </c>
      <c r="FJ61" s="92">
        <v>0</v>
      </c>
      <c r="FK61" s="92">
        <v>0</v>
      </c>
      <c r="FL61" s="92">
        <v>0</v>
      </c>
      <c r="FM61" s="92">
        <v>0</v>
      </c>
      <c r="FN61" s="92">
        <v>0</v>
      </c>
      <c r="FO61" s="92">
        <v>0</v>
      </c>
      <c r="FP61" s="92">
        <v>0</v>
      </c>
      <c r="FQ61" s="92">
        <v>1170</v>
      </c>
      <c r="FR61" s="92">
        <v>0</v>
      </c>
      <c r="FS61" s="92">
        <v>0</v>
      </c>
      <c r="FT61" s="92">
        <v>0</v>
      </c>
      <c r="FU61" s="92">
        <v>0</v>
      </c>
      <c r="FV61" s="92">
        <v>0</v>
      </c>
      <c r="FW61" s="92">
        <v>0</v>
      </c>
      <c r="FX61" s="92">
        <v>0</v>
      </c>
      <c r="FY61" s="92">
        <v>0</v>
      </c>
      <c r="FZ61" s="92">
        <v>0</v>
      </c>
      <c r="GA61" s="92">
        <v>0</v>
      </c>
      <c r="GB61" s="92">
        <v>0</v>
      </c>
      <c r="GC61" s="92">
        <v>0</v>
      </c>
      <c r="GD61" s="92">
        <v>49811826</v>
      </c>
      <c r="GE61" s="92">
        <v>51501062</v>
      </c>
      <c r="GF61" s="92">
        <v>753227007</v>
      </c>
      <c r="GG61" s="47" t="s">
        <v>462</v>
      </c>
      <c r="GH61" s="47" t="s">
        <v>463</v>
      </c>
      <c r="GI61" s="93">
        <v>8067437381</v>
      </c>
      <c r="GJ61" s="47" t="s">
        <v>464</v>
      </c>
      <c r="GK61" s="47" t="s">
        <v>465</v>
      </c>
      <c r="GL61" s="47" t="s">
        <v>466</v>
      </c>
      <c r="GM61" s="93">
        <v>8067439021</v>
      </c>
      <c r="GN61" s="47" t="s">
        <v>467</v>
      </c>
      <c r="GO61" s="92" cm="1">
        <f t="array" ref="GO61">IFERROR(_xlfn.IFS(ResearchInput[[#This Row],[Type]]="HRI",SUMIFS('FTSE | FTFE'!$P$8:$P$77,'FTSE | FTFE'!$H$8:$H$77,A61),ResearchInput[[#This Row],[Type]]="UNIV",SUMIFS('FTSE | FTFE'!$P$104:$P$139,'FTSE | FTFE'!$H$104:$H$139,A61),OR(ResearchInput[[#This Row],[Type]]="TSTC",ResearchInput[[#This Row],[Type]]="LSC"),SUMIFS('FTSE | FTFE'!$O$88:$O$96,'FTSE | FTFE'!$H$88:$H$96,A61),ResearchInput[[#This Row],[Type]]="AHM",SUMIFS(Hidden!$H$43:$H$46,Hidden!$G$42:$G$45,A61)),"N/A")</f>
        <v>6038</v>
      </c>
      <c r="GP61" s="92" cm="1">
        <f t="array" ref="GP61">IFERROR(_xlfn.IFS(ResearchInput[[#This Row],[Type]]="HRI",SUMIFS('FTSE | FTFE'!$Q$8:$Q$77,'FTSE | FTFE'!$H$8:$H$77,A61),ResearchInput[[#This Row],[Type]]="UNIV",SUMIFS('FTSE | FTFE'!$Q$104:$Q$139,'FTSE | FTFE'!$H$104:$H$139,A61),OR(ResearchInput[[#This Row],[Type]]="TSTC",ResearchInput[[#This Row],[Type]]="LSC"),SUMIFS('FTSE | FTFE'!$P$88:$P$96,'FTSE | FTFE'!$H$88:$H$96,A61)),"N/A")</f>
        <v>67.98</v>
      </c>
      <c r="GQ61" s="92">
        <v>0</v>
      </c>
      <c r="GR61" s="92">
        <f>SUM(ResearchInput[[#This Row],[Fed.Comp]],ResearchInput[[#This Row],[Fed.Eng]],ResearchInput[[#This Row],[Fed.Geo]],ResearchInput[[#This Row],[Fed.Life]],ResearchInput[[#This Row],[Fed.Math]],ResearchInput[[#This Row],[Fed.Phys]],ResearchInput[[#This Row],[Fed.Psyc]],ResearchInput[[#This Row],[Fed.Soc]],ResearchInput[[#This Row],[Fed.Othr]],ResearchInput[[#This Row],[Fed.Non]])</f>
        <v>18713821</v>
      </c>
      <c r="GS61" s="92">
        <f>SUM(ResearchInput[[#This Row],[St.Comp]],ResearchInput[[#This Row],[St.Eng]],ResearchInput[[#This Row],[St.Geo]],ResearchInput[[#This Row],[St.Life]],ResearchInput[[#This Row],[St.Math]],ResearchInput[[#This Row],[St.Phys]],ResearchInput[[#This Row],[St.Psyc]],ResearchInput[[#This Row],[St.Soc]],ResearchInput[[#This Row],[St.Othr]],ResearchInput[[#This Row],[St.Non]])</f>
        <v>12017028</v>
      </c>
      <c r="GT61" s="92">
        <f>SUM(ResearchInput[[#This Row],[St.C&amp;G.Comp]],ResearchInput[[#This Row],[St.C&amp;G.Eng]],ResearchInput[[#This Row],[St.C&amp;G.Geo]],ResearchInput[[#This Row],[St.C&amp;G.Life]],ResearchInput[[#This Row],[St.C&amp;G.Math]],ResearchInput[[#This Row],[St.C&amp;G.Phys]],ResearchInput[[#This Row],[St.C&amp;G.Psyc]],ResearchInput[[#This Row],[St.C&amp;G.Soc]],ResearchInput[[#This Row],[St.C&amp;G.Othr]],ResearchInput[[#This Row],[St.C&amp;G.Non]])</f>
        <v>2983767</v>
      </c>
      <c r="GU61" s="92">
        <f>SUM(ResearchInput[[#This Row],[St.All.Comp]],ResearchInput[[#This Row],[St.All.Eng]],ResearchInput[[#This Row],[St.All.Geo]],ResearchInput[[#This Row],[St.All.Life]],ResearchInput[[#This Row],[St.All.Math]],ResearchInput[[#This Row],[St.All.Phys]],ResearchInput[[#This Row],[St.All.Psyc]],ResearchInput[[#This Row],[St.All.Soc]],ResearchInput[[#This Row],[St.All.Othr]],ResearchInput[[#This Row],[St.All.Non]])</f>
        <v>0</v>
      </c>
      <c r="GV61" s="92">
        <f>SUM(ResearchInput[[#This Row],[Inst.Comp]],ResearchInput[[#This Row],[Inst.Eng]],ResearchInput[[#This Row],[Inst.Geo]],ResearchInput[[#This Row],[Inst.Life]],ResearchInput[[#This Row],[Inst.Math]],ResearchInput[[#This Row],[Inst.Phys]],ResearchInput[[#This Row],[Inst.Psyc]],ResearchInput[[#This Row],[Inst.Soc]],ResearchInput[[#This Row],[Inst.Othr]],ResearchInput[[#This Row],[Inst.Non]])</f>
        <v>16236514</v>
      </c>
      <c r="GW61" s="92">
        <f>SUM(ResearchInput[[#This Row],[P4P.Comp]],ResearchInput[[#This Row],[P4P.Eng]],ResearchInput[[#This Row],[P4P.Geo]],ResearchInput[[#This Row],[P4P.Life]],ResearchInput[[#This Row],[P4P.Math]],ResearchInput[[#This Row],[P4P.Phys]],ResearchInput[[#This Row],[P4P.Psyc]],ResearchInput[[#This Row],[P4P.Soc]],ResearchInput[[#This Row],[P4P.Othr]],ResearchInput[[#This Row],[P4P.Non]])</f>
        <v>886467</v>
      </c>
      <c r="GX61" s="92">
        <f>SUM(ResearchInput[[#This Row],[PNP.Comp]],ResearchInput[[#This Row],[PNP.Eng]],ResearchInput[[#This Row],[PNP.Geo]],ResearchInput[[#This Row],[PNP.Life]],ResearchInput[[#This Row],[PNP.Math]],ResearchInput[[#This Row],[PNP.Phys]],ResearchInput[[#This Row],[PNP.Psyc]],ResearchInput[[#This Row],[PNP.Soc]],ResearchInput[[#This Row],[PNP.Othr]],ResearchInput[[#This Row],[PNP.Non]])</f>
        <v>6739016</v>
      </c>
      <c r="GY61" s="92">
        <f>SUM(ResearchInput[[#This Row],[P.All.Comp]],ResearchInput[[#This Row],[P.All.Eng]],ResearchInput[[#This Row],[P.All.Geo]],ResearchInput[[#This Row],[P.All.Life]],ResearchInput[[#This Row],[P.All.Math]],ResearchInput[[#This Row],[P.All.Phys]],ResearchInput[[#This Row],[P.All.Psyc]],ResearchInput[[#This Row],[P.All.Soc]],ResearchInput[[#This Row],[P.All.Othr]],ResearchInput[[#This Row],[P.All.Non]])</f>
        <v>81716</v>
      </c>
    </row>
    <row r="62" spans="1:207" s="47" customFormat="1" ht="27" customHeight="1" x14ac:dyDescent="0.25">
      <c r="A62" s="34" t="s">
        <v>205</v>
      </c>
      <c r="B62" s="34" t="s">
        <v>680</v>
      </c>
      <c r="C62" s="35" t="s">
        <v>672</v>
      </c>
      <c r="D62" s="35" t="s">
        <v>681</v>
      </c>
      <c r="E62" s="94">
        <v>912</v>
      </c>
      <c r="F62" s="35" t="s">
        <v>714</v>
      </c>
      <c r="G62" s="35" t="s">
        <v>553</v>
      </c>
      <c r="H62" s="96">
        <v>862</v>
      </c>
      <c r="I62" s="92">
        <v>2615709</v>
      </c>
      <c r="J62" s="92">
        <v>3803739</v>
      </c>
      <c r="K62" s="92">
        <v>2915410</v>
      </c>
      <c r="L62" s="92">
        <v>0</v>
      </c>
      <c r="M62" s="92">
        <v>2029079</v>
      </c>
      <c r="N62" s="92">
        <v>192988</v>
      </c>
      <c r="O62" s="92">
        <v>223296</v>
      </c>
      <c r="P62" s="92">
        <v>0</v>
      </c>
      <c r="Q62" s="92">
        <v>0</v>
      </c>
      <c r="R62" s="92">
        <v>0</v>
      </c>
      <c r="S62" s="92">
        <v>0</v>
      </c>
      <c r="T62" s="92">
        <v>0</v>
      </c>
      <c r="U62" s="92">
        <v>0</v>
      </c>
      <c r="V62" s="92">
        <v>0</v>
      </c>
      <c r="W62" s="92">
        <v>0</v>
      </c>
      <c r="X62" s="92">
        <v>0</v>
      </c>
      <c r="Y62" s="92">
        <v>-33758</v>
      </c>
      <c r="Z62" s="92">
        <v>0</v>
      </c>
      <c r="AA62" s="92">
        <v>-122989</v>
      </c>
      <c r="AB62" s="92">
        <v>0</v>
      </c>
      <c r="AC62" s="92">
        <v>0</v>
      </c>
      <c r="AD62" s="92">
        <v>0</v>
      </c>
      <c r="AE62" s="92">
        <v>0</v>
      </c>
      <c r="AF62" s="92">
        <v>0</v>
      </c>
      <c r="AG62" s="92">
        <v>942280</v>
      </c>
      <c r="AH62" s="92">
        <v>1147</v>
      </c>
      <c r="AI62" s="92">
        <v>193748</v>
      </c>
      <c r="AJ62" s="92">
        <v>0</v>
      </c>
      <c r="AK62" s="92">
        <v>0</v>
      </c>
      <c r="AL62" s="92">
        <v>68617</v>
      </c>
      <c r="AM62" s="92">
        <v>17906</v>
      </c>
      <c r="AN62" s="92">
        <v>0</v>
      </c>
      <c r="AO62" s="92">
        <v>7545</v>
      </c>
      <c r="AP62" s="92">
        <v>333614</v>
      </c>
      <c r="AQ62" s="92">
        <v>0</v>
      </c>
      <c r="AR62" s="92">
        <v>0</v>
      </c>
      <c r="AS62" s="92">
        <v>216060</v>
      </c>
      <c r="AT62" s="92">
        <v>0</v>
      </c>
      <c r="AU62" s="92">
        <v>0</v>
      </c>
      <c r="AV62" s="92">
        <v>0</v>
      </c>
      <c r="AW62" s="92">
        <v>0</v>
      </c>
      <c r="AX62" s="92">
        <v>0</v>
      </c>
      <c r="AY62" s="92">
        <v>0</v>
      </c>
      <c r="AZ62" s="92">
        <v>0</v>
      </c>
      <c r="BA62" s="92">
        <v>0</v>
      </c>
      <c r="BB62" s="92">
        <v>0</v>
      </c>
      <c r="BC62" s="92">
        <v>0</v>
      </c>
      <c r="BD62" s="92">
        <v>0</v>
      </c>
      <c r="BE62" s="92">
        <v>0</v>
      </c>
      <c r="BF62" s="92">
        <v>0</v>
      </c>
      <c r="BG62" s="92">
        <v>0</v>
      </c>
      <c r="BH62" s="92">
        <v>0</v>
      </c>
      <c r="BI62" s="92">
        <v>0</v>
      </c>
      <c r="BJ62" s="92">
        <v>0</v>
      </c>
      <c r="BK62" s="92">
        <v>0</v>
      </c>
      <c r="BL62" s="92">
        <v>0</v>
      </c>
      <c r="BM62" s="92">
        <v>0</v>
      </c>
      <c r="BN62" s="92">
        <v>0</v>
      </c>
      <c r="BO62" s="92">
        <v>0</v>
      </c>
      <c r="BP62" s="92">
        <v>0</v>
      </c>
      <c r="BQ62" s="92">
        <v>0</v>
      </c>
      <c r="BR62" s="92">
        <v>0</v>
      </c>
      <c r="BS62" s="92">
        <v>0</v>
      </c>
      <c r="BT62" s="92">
        <v>0</v>
      </c>
      <c r="BU62" s="92">
        <v>0</v>
      </c>
      <c r="BV62" s="92">
        <v>0</v>
      </c>
      <c r="BW62" s="92">
        <v>0</v>
      </c>
      <c r="BX62" s="92">
        <v>0</v>
      </c>
      <c r="BY62" s="92">
        <v>0</v>
      </c>
      <c r="BZ62" s="92">
        <v>0</v>
      </c>
      <c r="CA62" s="92">
        <v>0</v>
      </c>
      <c r="CB62" s="92">
        <v>0</v>
      </c>
      <c r="CC62" s="92">
        <v>0</v>
      </c>
      <c r="CD62" s="92">
        <v>0</v>
      </c>
      <c r="CE62" s="92">
        <v>0</v>
      </c>
      <c r="CF62" s="92">
        <v>0</v>
      </c>
      <c r="CG62" s="92">
        <v>0</v>
      </c>
      <c r="CH62" s="92">
        <v>0</v>
      </c>
      <c r="CI62" s="92">
        <v>0</v>
      </c>
      <c r="CJ62" s="92">
        <v>0</v>
      </c>
      <c r="CK62" s="92">
        <v>0</v>
      </c>
      <c r="CL62" s="92">
        <v>0</v>
      </c>
      <c r="CM62" s="92">
        <v>0</v>
      </c>
      <c r="CN62" s="92">
        <v>0</v>
      </c>
      <c r="CO62" s="92">
        <v>0</v>
      </c>
      <c r="CP62" s="92">
        <v>0</v>
      </c>
      <c r="CQ62" s="92">
        <v>0</v>
      </c>
      <c r="CR62" s="92">
        <v>0</v>
      </c>
      <c r="CS62" s="92">
        <v>1083052</v>
      </c>
      <c r="CT62" s="92">
        <v>2258196</v>
      </c>
      <c r="CU62" s="92">
        <v>25407</v>
      </c>
      <c r="CV62" s="92">
        <v>0</v>
      </c>
      <c r="CW62" s="92">
        <v>337126</v>
      </c>
      <c r="CX62" s="92">
        <v>44486</v>
      </c>
      <c r="CY62" s="92">
        <v>123624</v>
      </c>
      <c r="CZ62" s="92">
        <v>0</v>
      </c>
      <c r="DA62" s="92">
        <v>0</v>
      </c>
      <c r="DB62" s="92">
        <v>0</v>
      </c>
      <c r="DC62" s="92">
        <v>0</v>
      </c>
      <c r="DD62" s="92">
        <v>0</v>
      </c>
      <c r="DE62" s="92">
        <v>0</v>
      </c>
      <c r="DF62" s="92">
        <v>0</v>
      </c>
      <c r="DG62" s="92">
        <v>0</v>
      </c>
      <c r="DH62" s="92">
        <v>0</v>
      </c>
      <c r="DI62" s="92">
        <v>0</v>
      </c>
      <c r="DJ62" s="92">
        <v>0</v>
      </c>
      <c r="DK62" s="92">
        <v>0</v>
      </c>
      <c r="DL62" s="92">
        <v>0</v>
      </c>
      <c r="DM62" s="92">
        <v>0</v>
      </c>
      <c r="DN62" s="92">
        <v>0</v>
      </c>
      <c r="DO62" s="92">
        <v>0</v>
      </c>
      <c r="DP62" s="92">
        <v>0</v>
      </c>
      <c r="DQ62" s="92">
        <v>0</v>
      </c>
      <c r="DR62" s="92">
        <v>0</v>
      </c>
      <c r="DS62" s="92">
        <v>0</v>
      </c>
      <c r="DT62" s="92">
        <v>0</v>
      </c>
      <c r="DU62" s="92">
        <v>0</v>
      </c>
      <c r="DV62" s="92">
        <v>0</v>
      </c>
      <c r="DW62" s="92">
        <v>0</v>
      </c>
      <c r="DX62" s="92">
        <v>0</v>
      </c>
      <c r="DY62" s="92">
        <v>0</v>
      </c>
      <c r="DZ62" s="92">
        <v>0</v>
      </c>
      <c r="EA62" s="92">
        <v>0</v>
      </c>
      <c r="EB62" s="92">
        <v>0</v>
      </c>
      <c r="EC62" s="92">
        <v>0</v>
      </c>
      <c r="ED62" s="92">
        <v>0</v>
      </c>
      <c r="EE62" s="92">
        <v>0</v>
      </c>
      <c r="EF62" s="92">
        <v>0</v>
      </c>
      <c r="EG62" s="92">
        <v>1732617</v>
      </c>
      <c r="EH62" s="92">
        <v>1773045</v>
      </c>
      <c r="EI62" s="92">
        <v>2872467</v>
      </c>
      <c r="EJ62" s="92">
        <v>0</v>
      </c>
      <c r="EK62" s="92">
        <v>1904065</v>
      </c>
      <c r="EL62" s="92">
        <v>217119</v>
      </c>
      <c r="EM62" s="92">
        <v>116464</v>
      </c>
      <c r="EN62" s="92">
        <v>0</v>
      </c>
      <c r="EO62" s="92">
        <v>716107</v>
      </c>
      <c r="EP62" s="92">
        <v>107259</v>
      </c>
      <c r="EQ62" s="92">
        <v>88295</v>
      </c>
      <c r="ER62" s="92">
        <v>0</v>
      </c>
      <c r="ES62" s="92">
        <v>3948</v>
      </c>
      <c r="ET62" s="92">
        <v>0</v>
      </c>
      <c r="EU62" s="92">
        <v>1114</v>
      </c>
      <c r="EV62" s="92">
        <v>0</v>
      </c>
      <c r="EW62" s="92">
        <v>1200112</v>
      </c>
      <c r="EX62" s="92">
        <v>2371497</v>
      </c>
      <c r="EY62" s="92">
        <v>2787580</v>
      </c>
      <c r="EZ62" s="92">
        <v>0</v>
      </c>
      <c r="FA62" s="92">
        <v>643889</v>
      </c>
      <c r="FB62" s="92">
        <v>70922</v>
      </c>
      <c r="FC62" s="92">
        <v>150706</v>
      </c>
      <c r="FD62" s="92">
        <v>0</v>
      </c>
      <c r="FE62" s="92">
        <v>0</v>
      </c>
      <c r="FF62" s="92">
        <v>0</v>
      </c>
      <c r="FG62" s="92">
        <v>0</v>
      </c>
      <c r="FH62" s="92">
        <v>0</v>
      </c>
      <c r="FI62" s="92">
        <v>0</v>
      </c>
      <c r="FJ62" s="92">
        <v>0</v>
      </c>
      <c r="FK62" s="92">
        <v>0</v>
      </c>
      <c r="FL62" s="92">
        <v>0</v>
      </c>
      <c r="FM62" s="92">
        <v>0</v>
      </c>
      <c r="FN62" s="92">
        <v>0</v>
      </c>
      <c r="FO62" s="92">
        <v>0</v>
      </c>
      <c r="FP62" s="92">
        <v>0</v>
      </c>
      <c r="FQ62" s="92">
        <v>0</v>
      </c>
      <c r="FR62" s="92">
        <v>0</v>
      </c>
      <c r="FS62" s="92">
        <v>0</v>
      </c>
      <c r="FT62" s="92">
        <v>0</v>
      </c>
      <c r="FU62" s="92">
        <v>0</v>
      </c>
      <c r="FV62" s="92">
        <v>0</v>
      </c>
      <c r="FW62" s="92">
        <v>0</v>
      </c>
      <c r="FX62" s="92">
        <v>0</v>
      </c>
      <c r="FY62" s="92">
        <v>0</v>
      </c>
      <c r="FZ62" s="92">
        <v>0</v>
      </c>
      <c r="GA62" s="92">
        <v>0</v>
      </c>
      <c r="GB62" s="92">
        <v>0</v>
      </c>
      <c r="GC62" s="92">
        <v>0</v>
      </c>
      <c r="GD62" s="92">
        <v>11780221</v>
      </c>
      <c r="GE62" s="92">
        <v>12180694</v>
      </c>
      <c r="GF62" s="92">
        <v>305105893</v>
      </c>
      <c r="GG62" s="47" t="s">
        <v>299</v>
      </c>
      <c r="GH62" s="47" t="s">
        <v>468</v>
      </c>
      <c r="GI62" s="93">
        <v>9152155381</v>
      </c>
      <c r="GJ62" s="47" t="s">
        <v>469</v>
      </c>
      <c r="GK62" s="47" t="s">
        <v>470</v>
      </c>
      <c r="GL62" s="47" t="s">
        <v>471</v>
      </c>
      <c r="GM62" s="93">
        <v>9152155045</v>
      </c>
      <c r="GN62" s="47" t="s">
        <v>472</v>
      </c>
      <c r="GO62" s="92" cm="1">
        <f t="array" ref="GO62">IFERROR(_xlfn.IFS(ResearchInput[[#This Row],[Type]]="HRI",SUMIFS('FTSE | FTFE'!$P$8:$P$77,'FTSE | FTFE'!$H$8:$H$77,A62),ResearchInput[[#This Row],[Type]]="UNIV",SUMIFS('FTSE | FTFE'!$P$104:$P$139,'FTSE | FTFE'!$H$104:$H$139,A62),OR(ResearchInput[[#This Row],[Type]]="TSTC",ResearchInput[[#This Row],[Type]]="LSC"),SUMIFS('FTSE | FTFE'!$O$88:$O$96,'FTSE | FTFE'!$H$88:$H$96,A62),ResearchInput[[#This Row],[Type]]="AHM",SUMIFS(Hidden!$H$43:$H$46,Hidden!$G$42:$G$45,A62)),"N/A")</f>
        <v>1090</v>
      </c>
      <c r="GP62" s="92" cm="1">
        <f t="array" ref="GP62">IFERROR(_xlfn.IFS(ResearchInput[[#This Row],[Type]]="HRI",SUMIFS('FTSE | FTFE'!$Q$8:$Q$77,'FTSE | FTFE'!$H$8:$H$77,A62),ResearchInput[[#This Row],[Type]]="UNIV",SUMIFS('FTSE | FTFE'!$Q$104:$Q$139,'FTSE | FTFE'!$H$104:$H$139,A62),OR(ResearchInput[[#This Row],[Type]]="TSTC",ResearchInput[[#This Row],[Type]]="LSC"),SUMIFS('FTSE | FTFE'!$P$88:$P$96,'FTSE | FTFE'!$H$88:$H$96,A62)),"N/A")</f>
        <v>14.04</v>
      </c>
      <c r="GQ62" s="92">
        <v>0</v>
      </c>
      <c r="GR62" s="92">
        <f>SUM(ResearchInput[[#This Row],[Fed.Comp]],ResearchInput[[#This Row],[Fed.Eng]],ResearchInput[[#This Row],[Fed.Geo]],ResearchInput[[#This Row],[Fed.Life]],ResearchInput[[#This Row],[Fed.Math]],ResearchInput[[#This Row],[Fed.Phys]],ResearchInput[[#This Row],[Fed.Psyc]],ResearchInput[[#This Row],[Fed.Soc]],ResearchInput[[#This Row],[Fed.Othr]],ResearchInput[[#This Row],[Fed.Non]])</f>
        <v>3531776</v>
      </c>
      <c r="GS62" s="92">
        <f>SUM(ResearchInput[[#This Row],[St.Comp]],ResearchInput[[#This Row],[St.Eng]],ResearchInput[[#This Row],[St.Geo]],ResearchInput[[#This Row],[St.Life]],ResearchInput[[#This Row],[St.Math]],ResearchInput[[#This Row],[St.Phys]],ResearchInput[[#This Row],[St.Psyc]],ResearchInput[[#This Row],[St.Soc]],ResearchInput[[#This Row],[St.Othr]],ResearchInput[[#This Row],[St.Non]])</f>
        <v>4138500</v>
      </c>
      <c r="GT62" s="92">
        <f>SUM(ResearchInput[[#This Row],[St.C&amp;G.Comp]],ResearchInput[[#This Row],[St.C&amp;G.Eng]],ResearchInput[[#This Row],[St.C&amp;G.Geo]],ResearchInput[[#This Row],[St.C&amp;G.Life]],ResearchInput[[#This Row],[St.C&amp;G.Math]],ResearchInput[[#This Row],[St.C&amp;G.Phys]],ResearchInput[[#This Row],[St.C&amp;G.Psyc]],ResearchInput[[#This Row],[St.C&amp;G.Soc]],ResearchInput[[#This Row],[St.C&amp;G.Othr]],ResearchInput[[#This Row],[St.C&amp;G.Non]])</f>
        <v>2986169</v>
      </c>
      <c r="GU62" s="92">
        <f>SUM(ResearchInput[[#This Row],[St.All.Comp]],ResearchInput[[#This Row],[St.All.Eng]],ResearchInput[[#This Row],[St.All.Geo]],ResearchInput[[#This Row],[St.All.Life]],ResearchInput[[#This Row],[St.All.Math]],ResearchInput[[#This Row],[St.All.Phys]],ResearchInput[[#This Row],[St.All.Psyc]],ResearchInput[[#This Row],[St.All.Soc]],ResearchInput[[#This Row],[St.All.Othr]],ResearchInput[[#This Row],[St.All.Non]])</f>
        <v>0</v>
      </c>
      <c r="GV62" s="92">
        <f>SUM(ResearchInput[[#This Row],[Inst.Comp]],ResearchInput[[#This Row],[Inst.Eng]],ResearchInput[[#This Row],[Inst.Geo]],ResearchInput[[#This Row],[Inst.Life]],ResearchInput[[#This Row],[Inst.Math]],ResearchInput[[#This Row],[Inst.Phys]],ResearchInput[[#This Row],[Inst.Psyc]],ResearchInput[[#This Row],[Inst.Soc]],ResearchInput[[#This Row],[Inst.Othr]],ResearchInput[[#This Row],[Inst.Non]])</f>
        <v>2245139</v>
      </c>
      <c r="GW62" s="92">
        <f>SUM(ResearchInput[[#This Row],[P4P.Comp]],ResearchInput[[#This Row],[P4P.Eng]],ResearchInput[[#This Row],[P4P.Geo]],ResearchInput[[#This Row],[P4P.Life]],ResearchInput[[#This Row],[P4P.Math]],ResearchInput[[#This Row],[P4P.Phys]],ResearchInput[[#This Row],[P4P.Psyc]],ResearchInput[[#This Row],[P4P.Soc]],ResearchInput[[#This Row],[P4P.Othr]],ResearchInput[[#This Row],[P4P.Non]])</f>
        <v>261605</v>
      </c>
      <c r="GX62" s="92">
        <f>SUM(ResearchInput[[#This Row],[PNP.Comp]],ResearchInput[[#This Row],[PNP.Eng]],ResearchInput[[#This Row],[PNP.Geo]],ResearchInput[[#This Row],[PNP.Life]],ResearchInput[[#This Row],[PNP.Math]],ResearchInput[[#This Row],[PNP.Phys]],ResearchInput[[#This Row],[PNP.Psyc]],ResearchInput[[#This Row],[PNP.Soc]],ResearchInput[[#This Row],[PNP.Othr]],ResearchInput[[#This Row],[PNP.Non]])</f>
        <v>241202</v>
      </c>
      <c r="GY62" s="92">
        <f>SUM(ResearchInput[[#This Row],[P.All.Comp]],ResearchInput[[#This Row],[P.All.Eng]],ResearchInput[[#This Row],[P.All.Geo]],ResearchInput[[#This Row],[P.All.Life]],ResearchInput[[#This Row],[P.All.Math]],ResearchInput[[#This Row],[P.All.Phys]],ResearchInput[[#This Row],[P.All.Psyc]],ResearchInput[[#This Row],[P.All.Soc]],ResearchInput[[#This Row],[P.All.Othr]],ResearchInput[[#This Row],[P.All.Non]])</f>
        <v>0</v>
      </c>
    </row>
    <row r="63" spans="1:207" s="47" customFormat="1" ht="27" customHeight="1" x14ac:dyDescent="0.25">
      <c r="A63" s="34" t="s">
        <v>212</v>
      </c>
      <c r="B63" s="34" t="s">
        <v>680</v>
      </c>
      <c r="C63" s="35" t="s">
        <v>553</v>
      </c>
      <c r="D63" s="35" t="s">
        <v>681</v>
      </c>
      <c r="E63" s="94">
        <v>913</v>
      </c>
      <c r="F63" s="91" t="s">
        <v>716</v>
      </c>
      <c r="G63" s="35" t="s">
        <v>553</v>
      </c>
      <c r="H63" s="96">
        <v>203652</v>
      </c>
      <c r="I63" s="92">
        <v>758892</v>
      </c>
      <c r="J63" s="92">
        <v>206458</v>
      </c>
      <c r="K63" s="92">
        <v>632775</v>
      </c>
      <c r="L63" s="92">
        <v>0</v>
      </c>
      <c r="M63" s="92">
        <v>68975</v>
      </c>
      <c r="N63" s="92">
        <v>0</v>
      </c>
      <c r="O63" s="92">
        <v>641197</v>
      </c>
      <c r="P63" s="92">
        <v>119293</v>
      </c>
      <c r="Q63" s="92">
        <v>-463191</v>
      </c>
      <c r="R63" s="92">
        <v>0</v>
      </c>
      <c r="S63" s="92">
        <v>0</v>
      </c>
      <c r="T63" s="92">
        <v>0</v>
      </c>
      <c r="U63" s="92">
        <v>0</v>
      </c>
      <c r="V63" s="92">
        <v>0</v>
      </c>
      <c r="W63" s="92">
        <v>-190367</v>
      </c>
      <c r="X63" s="92">
        <v>0</v>
      </c>
      <c r="Y63" s="92">
        <v>-49584</v>
      </c>
      <c r="Z63" s="92">
        <v>0</v>
      </c>
      <c r="AA63" s="92">
        <v>0</v>
      </c>
      <c r="AB63" s="92">
        <v>0</v>
      </c>
      <c r="AC63" s="92">
        <v>0</v>
      </c>
      <c r="AD63" s="92">
        <v>0</v>
      </c>
      <c r="AE63" s="92">
        <v>0</v>
      </c>
      <c r="AF63" s="92">
        <v>0</v>
      </c>
      <c r="AG63" s="92">
        <v>140630</v>
      </c>
      <c r="AH63" s="92">
        <v>0</v>
      </c>
      <c r="AI63" s="92">
        <v>0</v>
      </c>
      <c r="AJ63" s="92">
        <v>0</v>
      </c>
      <c r="AK63" s="92">
        <v>0</v>
      </c>
      <c r="AL63" s="92">
        <v>0</v>
      </c>
      <c r="AM63" s="92">
        <v>190367</v>
      </c>
      <c r="AN63" s="92">
        <v>0</v>
      </c>
      <c r="AO63" s="92">
        <v>0</v>
      </c>
      <c r="AP63" s="92">
        <v>0</v>
      </c>
      <c r="AQ63" s="92">
        <v>0</v>
      </c>
      <c r="AR63" s="92">
        <v>0</v>
      </c>
      <c r="AS63" s="92">
        <v>0</v>
      </c>
      <c r="AT63" s="92">
        <v>0</v>
      </c>
      <c r="AU63" s="92">
        <v>0</v>
      </c>
      <c r="AV63" s="92">
        <v>0</v>
      </c>
      <c r="AW63" s="92">
        <v>0</v>
      </c>
      <c r="AX63" s="92">
        <v>0</v>
      </c>
      <c r="AY63" s="92">
        <v>0</v>
      </c>
      <c r="AZ63" s="92">
        <v>0</v>
      </c>
      <c r="BA63" s="92">
        <v>0</v>
      </c>
      <c r="BB63" s="92">
        <v>0</v>
      </c>
      <c r="BC63" s="92">
        <v>0</v>
      </c>
      <c r="BD63" s="92">
        <v>0</v>
      </c>
      <c r="BE63" s="92">
        <v>443965</v>
      </c>
      <c r="BF63" s="92">
        <v>0</v>
      </c>
      <c r="BG63" s="92">
        <v>0</v>
      </c>
      <c r="BH63" s="92">
        <v>0</v>
      </c>
      <c r="BI63" s="92">
        <v>0</v>
      </c>
      <c r="BJ63" s="92">
        <v>0</v>
      </c>
      <c r="BK63" s="92">
        <v>0</v>
      </c>
      <c r="BL63" s="92">
        <v>0</v>
      </c>
      <c r="BM63" s="92">
        <v>-71820</v>
      </c>
      <c r="BN63" s="92">
        <v>0</v>
      </c>
      <c r="BO63" s="92">
        <v>0</v>
      </c>
      <c r="BP63" s="92">
        <v>0</v>
      </c>
      <c r="BQ63" s="92">
        <v>0</v>
      </c>
      <c r="BR63" s="92">
        <v>0</v>
      </c>
      <c r="BS63" s="92">
        <v>0</v>
      </c>
      <c r="BT63" s="92">
        <v>0</v>
      </c>
      <c r="BU63" s="92">
        <v>0</v>
      </c>
      <c r="BV63" s="92">
        <v>0</v>
      </c>
      <c r="BW63" s="92">
        <v>0</v>
      </c>
      <c r="BX63" s="92">
        <v>0</v>
      </c>
      <c r="BY63" s="92">
        <v>0</v>
      </c>
      <c r="BZ63" s="92">
        <v>0</v>
      </c>
      <c r="CA63" s="92">
        <v>0</v>
      </c>
      <c r="CB63" s="92">
        <v>0</v>
      </c>
      <c r="CC63" s="92">
        <v>0</v>
      </c>
      <c r="CD63" s="92">
        <v>0</v>
      </c>
      <c r="CE63" s="92">
        <v>0</v>
      </c>
      <c r="CF63" s="92">
        <v>0</v>
      </c>
      <c r="CG63" s="92">
        <v>0</v>
      </c>
      <c r="CH63" s="92">
        <v>0</v>
      </c>
      <c r="CI63" s="92">
        <v>0</v>
      </c>
      <c r="CJ63" s="92">
        <v>0</v>
      </c>
      <c r="CK63" s="92">
        <v>0</v>
      </c>
      <c r="CL63" s="92">
        <v>0</v>
      </c>
      <c r="CM63" s="92">
        <v>0</v>
      </c>
      <c r="CN63" s="92">
        <v>0</v>
      </c>
      <c r="CO63" s="92">
        <v>0</v>
      </c>
      <c r="CP63" s="92">
        <v>0</v>
      </c>
      <c r="CQ63" s="92">
        <v>0</v>
      </c>
      <c r="CR63" s="92">
        <v>0</v>
      </c>
      <c r="CS63" s="92">
        <v>758892</v>
      </c>
      <c r="CT63" s="92">
        <v>206458</v>
      </c>
      <c r="CU63" s="92">
        <v>632775</v>
      </c>
      <c r="CV63" s="92">
        <v>0</v>
      </c>
      <c r="CW63" s="92">
        <v>68975</v>
      </c>
      <c r="CX63" s="92">
        <v>0</v>
      </c>
      <c r="CY63" s="92">
        <v>641197</v>
      </c>
      <c r="CZ63" s="92">
        <v>119293</v>
      </c>
      <c r="DA63" s="92">
        <v>0</v>
      </c>
      <c r="DB63" s="92">
        <v>0</v>
      </c>
      <c r="DC63" s="92">
        <v>0</v>
      </c>
      <c r="DD63" s="92">
        <v>0</v>
      </c>
      <c r="DE63" s="92">
        <v>0</v>
      </c>
      <c r="DF63" s="92">
        <v>0</v>
      </c>
      <c r="DG63" s="92">
        <v>0</v>
      </c>
      <c r="DH63" s="92">
        <v>0</v>
      </c>
      <c r="DI63" s="92">
        <v>0</v>
      </c>
      <c r="DJ63" s="92">
        <v>0</v>
      </c>
      <c r="DK63" s="92">
        <v>0</v>
      </c>
      <c r="DL63" s="92">
        <v>0</v>
      </c>
      <c r="DM63" s="92">
        <v>0</v>
      </c>
      <c r="DN63" s="92">
        <v>0</v>
      </c>
      <c r="DO63" s="92">
        <v>0</v>
      </c>
      <c r="DP63" s="92">
        <v>0</v>
      </c>
      <c r="DQ63" s="92">
        <v>0</v>
      </c>
      <c r="DR63" s="92">
        <v>0</v>
      </c>
      <c r="DS63" s="92">
        <v>0</v>
      </c>
      <c r="DT63" s="92">
        <v>0</v>
      </c>
      <c r="DU63" s="92">
        <v>0</v>
      </c>
      <c r="DV63" s="92">
        <v>0</v>
      </c>
      <c r="DW63" s="92">
        <v>0</v>
      </c>
      <c r="DX63" s="92">
        <v>0</v>
      </c>
      <c r="DY63" s="92">
        <v>0</v>
      </c>
      <c r="DZ63" s="92">
        <v>0</v>
      </c>
      <c r="EA63" s="92">
        <v>0</v>
      </c>
      <c r="EB63" s="92">
        <v>0</v>
      </c>
      <c r="EC63" s="92">
        <v>0</v>
      </c>
      <c r="ED63" s="92">
        <v>0</v>
      </c>
      <c r="EE63" s="92">
        <v>0</v>
      </c>
      <c r="EF63" s="92">
        <v>0</v>
      </c>
      <c r="EG63" s="92">
        <v>0</v>
      </c>
      <c r="EH63" s="92">
        <v>0</v>
      </c>
      <c r="EI63" s="92">
        <v>0</v>
      </c>
      <c r="EJ63" s="92">
        <v>0</v>
      </c>
      <c r="EK63" s="92">
        <v>0</v>
      </c>
      <c r="EL63" s="92">
        <v>0</v>
      </c>
      <c r="EM63" s="92">
        <v>0</v>
      </c>
      <c r="EN63" s="92">
        <v>0</v>
      </c>
      <c r="EO63" s="92">
        <v>0</v>
      </c>
      <c r="EP63" s="92">
        <v>0</v>
      </c>
      <c r="EQ63" s="92">
        <v>0</v>
      </c>
      <c r="ER63" s="92">
        <v>0</v>
      </c>
      <c r="ES63" s="92">
        <v>0</v>
      </c>
      <c r="ET63" s="92">
        <v>0</v>
      </c>
      <c r="EU63" s="92">
        <v>0</v>
      </c>
      <c r="EV63" s="92">
        <v>0</v>
      </c>
      <c r="EW63" s="92">
        <v>758892</v>
      </c>
      <c r="EX63" s="92">
        <v>206458</v>
      </c>
      <c r="EY63" s="92">
        <v>632775</v>
      </c>
      <c r="EZ63" s="92">
        <v>0</v>
      </c>
      <c r="FA63" s="92">
        <v>68975</v>
      </c>
      <c r="FB63" s="92">
        <v>0</v>
      </c>
      <c r="FC63" s="92">
        <v>641197</v>
      </c>
      <c r="FD63" s="92">
        <v>119293</v>
      </c>
      <c r="FE63" s="92">
        <v>0</v>
      </c>
      <c r="FF63" s="92">
        <v>0</v>
      </c>
      <c r="FG63" s="92">
        <v>0</v>
      </c>
      <c r="FH63" s="92">
        <v>0</v>
      </c>
      <c r="FI63" s="92">
        <v>0</v>
      </c>
      <c r="FJ63" s="92">
        <v>0</v>
      </c>
      <c r="FK63" s="92">
        <v>0</v>
      </c>
      <c r="FL63" s="92">
        <v>0</v>
      </c>
      <c r="FM63" s="92">
        <v>0</v>
      </c>
      <c r="FN63" s="92">
        <v>0</v>
      </c>
      <c r="FO63" s="92">
        <v>0</v>
      </c>
      <c r="FP63" s="92">
        <v>0</v>
      </c>
      <c r="FQ63" s="92">
        <v>0</v>
      </c>
      <c r="FR63" s="92">
        <v>0</v>
      </c>
      <c r="FS63" s="92">
        <v>0</v>
      </c>
      <c r="FT63" s="92">
        <v>0</v>
      </c>
      <c r="FU63" s="92">
        <v>0</v>
      </c>
      <c r="FV63" s="92">
        <v>0</v>
      </c>
      <c r="FW63" s="92">
        <v>0</v>
      </c>
      <c r="FX63" s="92">
        <v>0</v>
      </c>
      <c r="FY63" s="92">
        <v>0</v>
      </c>
      <c r="FZ63" s="92">
        <v>0</v>
      </c>
      <c r="GA63" s="92">
        <v>0</v>
      </c>
      <c r="GB63" s="92">
        <v>0</v>
      </c>
      <c r="GC63" s="92">
        <v>1</v>
      </c>
      <c r="GD63" s="92">
        <v>2427590</v>
      </c>
      <c r="GE63" s="92">
        <v>2306186</v>
      </c>
      <c r="GF63" s="92">
        <v>44479034</v>
      </c>
      <c r="GG63" s="47" t="s">
        <v>348</v>
      </c>
      <c r="GH63" s="47" t="s">
        <v>349</v>
      </c>
      <c r="GI63" s="93">
        <v>7137438188</v>
      </c>
      <c r="GJ63" s="47" t="s">
        <v>350</v>
      </c>
      <c r="GK63" s="47" t="s">
        <v>351</v>
      </c>
      <c r="GL63" s="47" t="s">
        <v>352</v>
      </c>
      <c r="GM63" s="93">
        <v>7137431533</v>
      </c>
      <c r="GN63" s="47" t="s">
        <v>353</v>
      </c>
      <c r="GO63" s="92" cm="1">
        <f t="array" ref="GO63">IFERROR(_xlfn.IFS(ResearchInput[[#This Row],[Type]]="HRI",SUMIFS('FTSE | FTFE'!$P$8:$P$77,'FTSE | FTFE'!$H$8:$H$77,A63),ResearchInput[[#This Row],[Type]]="UNIV",SUMIFS('FTSE | FTFE'!$P$104:$P$139,'FTSE | FTFE'!$H$104:$H$139,A63),OR(ResearchInput[[#This Row],[Type]]="TSTC",ResearchInput[[#This Row],[Type]]="LSC"),SUMIFS('FTSE | FTFE'!$O$88:$O$96,'FTSE | FTFE'!$H$88:$H$96,A63),ResearchInput[[#This Row],[Type]]="AHM",SUMIFS(Hidden!$H$43:$H$46,Hidden!$G$42:$G$45,A63)),"N/A")</f>
        <v>206</v>
      </c>
      <c r="GP63" s="92" cm="1">
        <f t="array" ref="GP63">IFERROR(_xlfn.IFS(ResearchInput[[#This Row],[Type]]="HRI",SUMIFS('FTSE | FTFE'!$Q$8:$Q$77,'FTSE | FTFE'!$H$8:$H$77,A63),ResearchInput[[#This Row],[Type]]="UNIV",SUMIFS('FTSE | FTFE'!$Q$104:$Q$139,'FTSE | FTFE'!$H$104:$H$139,A63),OR(ResearchInput[[#This Row],[Type]]="TSTC",ResearchInput[[#This Row],[Type]]="LSC"),SUMIFS('FTSE | FTFE'!$P$88:$P$96,'FTSE | FTFE'!$H$88:$H$96,A63)),"N/A")</f>
        <v>0</v>
      </c>
      <c r="GQ63" s="92">
        <v>0</v>
      </c>
      <c r="GR63" s="92">
        <f>SUM(ResearchInput[[#This Row],[Fed.Comp]],ResearchInput[[#This Row],[Fed.Eng]],ResearchInput[[#This Row],[Fed.Geo]],ResearchInput[[#This Row],[Fed.Life]],ResearchInput[[#This Row],[Fed.Math]],ResearchInput[[#This Row],[Fed.Phys]],ResearchInput[[#This Row],[Fed.Psyc]],ResearchInput[[#This Row],[Fed.Soc]],ResearchInput[[#This Row],[Fed.Othr]],ResearchInput[[#This Row],[Fed.Non]])</f>
        <v>758892</v>
      </c>
      <c r="GS63" s="92">
        <f>SUM(ResearchInput[[#This Row],[St.Comp]],ResearchInput[[#This Row],[St.Eng]],ResearchInput[[#This Row],[St.Geo]],ResearchInput[[#This Row],[St.Life]],ResearchInput[[#This Row],[St.Math]],ResearchInput[[#This Row],[St.Phys]],ResearchInput[[#This Row],[St.Psyc]],ResearchInput[[#This Row],[St.Soc]],ResearchInput[[#This Row],[St.Othr]],ResearchInput[[#This Row],[St.Non]])</f>
        <v>206458</v>
      </c>
      <c r="GT63" s="92">
        <f>SUM(ResearchInput[[#This Row],[St.C&amp;G.Comp]],ResearchInput[[#This Row],[St.C&amp;G.Eng]],ResearchInput[[#This Row],[St.C&amp;G.Geo]],ResearchInput[[#This Row],[St.C&amp;G.Life]],ResearchInput[[#This Row],[St.C&amp;G.Math]],ResearchInput[[#This Row],[St.C&amp;G.Phys]],ResearchInput[[#This Row],[St.C&amp;G.Psyc]],ResearchInput[[#This Row],[St.C&amp;G.Soc]],ResearchInput[[#This Row],[St.C&amp;G.Othr]],ResearchInput[[#This Row],[St.C&amp;G.Non]])</f>
        <v>632775</v>
      </c>
      <c r="GU63" s="92">
        <f>SUM(ResearchInput[[#This Row],[St.All.Comp]],ResearchInput[[#This Row],[St.All.Eng]],ResearchInput[[#This Row],[St.All.Geo]],ResearchInput[[#This Row],[St.All.Life]],ResearchInput[[#This Row],[St.All.Math]],ResearchInput[[#This Row],[St.All.Phys]],ResearchInput[[#This Row],[St.All.Psyc]],ResearchInput[[#This Row],[St.All.Soc]],ResearchInput[[#This Row],[St.All.Othr]],ResearchInput[[#This Row],[St.All.Non]])</f>
        <v>0</v>
      </c>
      <c r="GV63" s="92">
        <f>SUM(ResearchInput[[#This Row],[Inst.Comp]],ResearchInput[[#This Row],[Inst.Eng]],ResearchInput[[#This Row],[Inst.Geo]],ResearchInput[[#This Row],[Inst.Life]],ResearchInput[[#This Row],[Inst.Math]],ResearchInput[[#This Row],[Inst.Phys]],ResearchInput[[#This Row],[Inst.Psyc]],ResearchInput[[#This Row],[Inst.Soc]],ResearchInput[[#This Row],[Inst.Othr]],ResearchInput[[#This Row],[Inst.Non]])</f>
        <v>68975</v>
      </c>
      <c r="GW63" s="92">
        <f>SUM(ResearchInput[[#This Row],[P4P.Comp]],ResearchInput[[#This Row],[P4P.Eng]],ResearchInput[[#This Row],[P4P.Geo]],ResearchInput[[#This Row],[P4P.Life]],ResearchInput[[#This Row],[P4P.Math]],ResearchInput[[#This Row],[P4P.Phys]],ResearchInput[[#This Row],[P4P.Psyc]],ResearchInput[[#This Row],[P4P.Soc]],ResearchInput[[#This Row],[P4P.Othr]],ResearchInput[[#This Row],[P4P.Non]])</f>
        <v>0</v>
      </c>
      <c r="GX63" s="92">
        <f>SUM(ResearchInput[[#This Row],[PNP.Comp]],ResearchInput[[#This Row],[PNP.Eng]],ResearchInput[[#This Row],[PNP.Geo]],ResearchInput[[#This Row],[PNP.Life]],ResearchInput[[#This Row],[PNP.Math]],ResearchInput[[#This Row],[PNP.Phys]],ResearchInput[[#This Row],[PNP.Psyc]],ResearchInput[[#This Row],[PNP.Soc]],ResearchInput[[#This Row],[PNP.Othr]],ResearchInput[[#This Row],[PNP.Non]])</f>
        <v>641197</v>
      </c>
      <c r="GY63" s="92">
        <f>SUM(ResearchInput[[#This Row],[P.All.Comp]],ResearchInput[[#This Row],[P.All.Eng]],ResearchInput[[#This Row],[P.All.Geo]],ResearchInput[[#This Row],[P.All.Life]],ResearchInput[[#This Row],[P.All.Math]],ResearchInput[[#This Row],[P.All.Phys]],ResearchInput[[#This Row],[P.All.Psyc]],ResearchInput[[#This Row],[P.All.Soc]],ResearchInput[[#This Row],[P.All.Othr]],ResearchInput[[#This Row],[P.All.Non]])</f>
        <v>119293</v>
      </c>
    </row>
    <row r="64" spans="1:207" s="47" customFormat="1" ht="27" customHeight="1" x14ac:dyDescent="0.25">
      <c r="A64" s="34" t="s">
        <v>213</v>
      </c>
      <c r="B64" s="34" t="s">
        <v>680</v>
      </c>
      <c r="C64" s="35" t="s">
        <v>553</v>
      </c>
      <c r="D64" s="35" t="s">
        <v>681</v>
      </c>
      <c r="E64" s="94">
        <v>914</v>
      </c>
      <c r="F64" s="35" t="s">
        <v>714</v>
      </c>
      <c r="G64" s="35" t="s">
        <v>553</v>
      </c>
      <c r="H64" s="96">
        <v>103606</v>
      </c>
      <c r="I64" s="92">
        <v>0</v>
      </c>
      <c r="J64" s="92">
        <v>0</v>
      </c>
      <c r="K64" s="92">
        <v>0</v>
      </c>
      <c r="L64" s="92">
        <v>0</v>
      </c>
      <c r="M64" s="92">
        <v>1516721</v>
      </c>
      <c r="N64" s="92">
        <v>0</v>
      </c>
      <c r="O64" s="92">
        <v>19274</v>
      </c>
      <c r="P64" s="92">
        <v>0</v>
      </c>
      <c r="Q64" s="92">
        <v>0</v>
      </c>
      <c r="R64" s="92">
        <v>0</v>
      </c>
      <c r="S64" s="92">
        <v>0</v>
      </c>
      <c r="T64" s="92">
        <v>0</v>
      </c>
      <c r="U64" s="92">
        <v>0</v>
      </c>
      <c r="V64" s="92">
        <v>0</v>
      </c>
      <c r="W64" s="92">
        <v>0</v>
      </c>
      <c r="X64" s="92">
        <v>0</v>
      </c>
      <c r="Y64" s="92">
        <v>0</v>
      </c>
      <c r="Z64" s="92">
        <v>0</v>
      </c>
      <c r="AA64" s="92">
        <v>0</v>
      </c>
      <c r="AB64" s="92">
        <v>0</v>
      </c>
      <c r="AC64" s="92">
        <v>0</v>
      </c>
      <c r="AD64" s="92">
        <v>0</v>
      </c>
      <c r="AE64" s="92">
        <v>0</v>
      </c>
      <c r="AF64" s="92">
        <v>0</v>
      </c>
      <c r="AG64" s="92">
        <v>0</v>
      </c>
      <c r="AH64" s="92">
        <v>0</v>
      </c>
      <c r="AI64" s="92">
        <v>0</v>
      </c>
      <c r="AJ64" s="92">
        <v>0</v>
      </c>
      <c r="AK64" s="92">
        <v>0</v>
      </c>
      <c r="AL64" s="92">
        <v>0</v>
      </c>
      <c r="AM64" s="92">
        <v>0</v>
      </c>
      <c r="AN64" s="92">
        <v>0</v>
      </c>
      <c r="AO64" s="92">
        <v>0</v>
      </c>
      <c r="AP64" s="92">
        <v>0</v>
      </c>
      <c r="AQ64" s="92">
        <v>0</v>
      </c>
      <c r="AR64" s="92">
        <v>0</v>
      </c>
      <c r="AS64" s="92">
        <v>26660</v>
      </c>
      <c r="AT64" s="92">
        <v>0</v>
      </c>
      <c r="AU64" s="92">
        <v>0</v>
      </c>
      <c r="AV64" s="92">
        <v>0</v>
      </c>
      <c r="AW64" s="92">
        <v>0</v>
      </c>
      <c r="AX64" s="92">
        <v>0</v>
      </c>
      <c r="AY64" s="92">
        <v>0</v>
      </c>
      <c r="AZ64" s="92">
        <v>0</v>
      </c>
      <c r="BA64" s="92">
        <v>0</v>
      </c>
      <c r="BB64" s="92">
        <v>0</v>
      </c>
      <c r="BC64" s="92">
        <v>0</v>
      </c>
      <c r="BD64" s="92">
        <v>0</v>
      </c>
      <c r="BE64" s="92">
        <v>0</v>
      </c>
      <c r="BF64" s="92">
        <v>0</v>
      </c>
      <c r="BG64" s="92">
        <v>0</v>
      </c>
      <c r="BH64" s="92">
        <v>0</v>
      </c>
      <c r="BI64" s="92">
        <v>0</v>
      </c>
      <c r="BJ64" s="92">
        <v>0</v>
      </c>
      <c r="BK64" s="92">
        <v>0</v>
      </c>
      <c r="BL64" s="92">
        <v>0</v>
      </c>
      <c r="BM64" s="92">
        <v>0</v>
      </c>
      <c r="BN64" s="92">
        <v>0</v>
      </c>
      <c r="BO64" s="92">
        <v>0</v>
      </c>
      <c r="BP64" s="92">
        <v>0</v>
      </c>
      <c r="BQ64" s="92">
        <v>0</v>
      </c>
      <c r="BR64" s="92">
        <v>0</v>
      </c>
      <c r="BS64" s="92">
        <v>0</v>
      </c>
      <c r="BT64" s="92">
        <v>0</v>
      </c>
      <c r="BU64" s="92">
        <v>0</v>
      </c>
      <c r="BV64" s="92">
        <v>0</v>
      </c>
      <c r="BW64" s="92">
        <v>0</v>
      </c>
      <c r="BX64" s="92">
        <v>0</v>
      </c>
      <c r="BY64" s="92">
        <v>0</v>
      </c>
      <c r="BZ64" s="92">
        <v>0</v>
      </c>
      <c r="CA64" s="92">
        <v>0</v>
      </c>
      <c r="CB64" s="92">
        <v>0</v>
      </c>
      <c r="CC64" s="92">
        <v>0</v>
      </c>
      <c r="CD64" s="92">
        <v>0</v>
      </c>
      <c r="CE64" s="92">
        <v>0</v>
      </c>
      <c r="CF64" s="92">
        <v>0</v>
      </c>
      <c r="CG64" s="92">
        <v>0</v>
      </c>
      <c r="CH64" s="92">
        <v>0</v>
      </c>
      <c r="CI64" s="92">
        <v>0</v>
      </c>
      <c r="CJ64" s="92">
        <v>0</v>
      </c>
      <c r="CK64" s="92">
        <v>0</v>
      </c>
      <c r="CL64" s="92">
        <v>0</v>
      </c>
      <c r="CM64" s="92">
        <v>0</v>
      </c>
      <c r="CN64" s="92">
        <v>0</v>
      </c>
      <c r="CO64" s="92">
        <v>0</v>
      </c>
      <c r="CP64" s="92">
        <v>0</v>
      </c>
      <c r="CQ64" s="92">
        <v>0</v>
      </c>
      <c r="CR64" s="92">
        <v>0</v>
      </c>
      <c r="CS64" s="92">
        <v>0</v>
      </c>
      <c r="CT64" s="92">
        <v>0</v>
      </c>
      <c r="CU64" s="92">
        <v>0</v>
      </c>
      <c r="CV64" s="92">
        <v>0</v>
      </c>
      <c r="CW64" s="92">
        <v>1543381</v>
      </c>
      <c r="CX64" s="92">
        <v>0</v>
      </c>
      <c r="CY64" s="92">
        <v>19274</v>
      </c>
      <c r="CZ64" s="92">
        <v>0</v>
      </c>
      <c r="DA64" s="92">
        <v>0</v>
      </c>
      <c r="DB64" s="92">
        <v>0</v>
      </c>
      <c r="DC64" s="92">
        <v>0</v>
      </c>
      <c r="DD64" s="92">
        <v>0</v>
      </c>
      <c r="DE64" s="92">
        <v>0</v>
      </c>
      <c r="DF64" s="92">
        <v>0</v>
      </c>
      <c r="DG64" s="92">
        <v>0</v>
      </c>
      <c r="DH64" s="92">
        <v>0</v>
      </c>
      <c r="DI64" s="92">
        <v>0</v>
      </c>
      <c r="DJ64" s="92">
        <v>0</v>
      </c>
      <c r="DK64" s="92">
        <v>0</v>
      </c>
      <c r="DL64" s="92">
        <v>0</v>
      </c>
      <c r="DM64" s="92">
        <v>0</v>
      </c>
      <c r="DN64" s="92">
        <v>0</v>
      </c>
      <c r="DO64" s="92">
        <v>0</v>
      </c>
      <c r="DP64" s="92">
        <v>0</v>
      </c>
      <c r="DQ64" s="92">
        <v>0</v>
      </c>
      <c r="DR64" s="92">
        <v>0</v>
      </c>
      <c r="DS64" s="92">
        <v>0</v>
      </c>
      <c r="DT64" s="92">
        <v>0</v>
      </c>
      <c r="DU64" s="92">
        <v>0</v>
      </c>
      <c r="DV64" s="92">
        <v>0</v>
      </c>
      <c r="DW64" s="92">
        <v>0</v>
      </c>
      <c r="DX64" s="92">
        <v>0</v>
      </c>
      <c r="DY64" s="92">
        <v>0</v>
      </c>
      <c r="DZ64" s="92">
        <v>0</v>
      </c>
      <c r="EA64" s="92">
        <v>0</v>
      </c>
      <c r="EB64" s="92">
        <v>0</v>
      </c>
      <c r="EC64" s="92">
        <v>0</v>
      </c>
      <c r="ED64" s="92">
        <v>0</v>
      </c>
      <c r="EE64" s="92">
        <v>0</v>
      </c>
      <c r="EF64" s="92">
        <v>0</v>
      </c>
      <c r="EG64" s="92">
        <v>0</v>
      </c>
      <c r="EH64" s="92">
        <v>0</v>
      </c>
      <c r="EI64" s="92">
        <v>0</v>
      </c>
      <c r="EJ64" s="92">
        <v>0</v>
      </c>
      <c r="EK64" s="92">
        <v>0</v>
      </c>
      <c r="EL64" s="92">
        <v>0</v>
      </c>
      <c r="EM64" s="92">
        <v>0</v>
      </c>
      <c r="EN64" s="92">
        <v>0</v>
      </c>
      <c r="EO64" s="92">
        <v>0</v>
      </c>
      <c r="EP64" s="92">
        <v>0</v>
      </c>
      <c r="EQ64" s="92">
        <v>0</v>
      </c>
      <c r="ER64" s="92">
        <v>0</v>
      </c>
      <c r="ES64" s="92">
        <v>0</v>
      </c>
      <c r="ET64" s="92">
        <v>0</v>
      </c>
      <c r="EU64" s="92">
        <v>0</v>
      </c>
      <c r="EV64" s="92">
        <v>0</v>
      </c>
      <c r="EW64" s="92">
        <v>0</v>
      </c>
      <c r="EX64" s="92">
        <v>0</v>
      </c>
      <c r="EY64" s="92">
        <v>0</v>
      </c>
      <c r="EZ64" s="92">
        <v>0</v>
      </c>
      <c r="FA64" s="92">
        <v>1509195</v>
      </c>
      <c r="FB64" s="92">
        <v>0</v>
      </c>
      <c r="FC64" s="92">
        <v>438</v>
      </c>
      <c r="FD64" s="92">
        <v>0</v>
      </c>
      <c r="FE64" s="92">
        <v>0</v>
      </c>
      <c r="FF64" s="92">
        <v>0</v>
      </c>
      <c r="FG64" s="92">
        <v>0</v>
      </c>
      <c r="FH64" s="92">
        <v>0</v>
      </c>
      <c r="FI64" s="92">
        <v>0</v>
      </c>
      <c r="FJ64" s="92">
        <v>0</v>
      </c>
      <c r="FK64" s="92">
        <v>0</v>
      </c>
      <c r="FL64" s="92">
        <v>0</v>
      </c>
      <c r="FM64" s="92">
        <v>0</v>
      </c>
      <c r="FN64" s="92">
        <v>0</v>
      </c>
      <c r="FO64" s="92">
        <v>0</v>
      </c>
      <c r="FP64" s="92">
        <v>0</v>
      </c>
      <c r="FQ64" s="92">
        <v>0</v>
      </c>
      <c r="FR64" s="92">
        <v>0</v>
      </c>
      <c r="FS64" s="92">
        <v>0</v>
      </c>
      <c r="FT64" s="92">
        <v>0</v>
      </c>
      <c r="FU64" s="92">
        <v>0</v>
      </c>
      <c r="FV64" s="92">
        <v>0</v>
      </c>
      <c r="FW64" s="92">
        <v>0</v>
      </c>
      <c r="FX64" s="92">
        <v>0</v>
      </c>
      <c r="FY64" s="92">
        <v>0</v>
      </c>
      <c r="FZ64" s="92">
        <v>0</v>
      </c>
      <c r="GA64" s="92">
        <v>0</v>
      </c>
      <c r="GB64" s="92">
        <v>0</v>
      </c>
      <c r="GC64" s="92">
        <v>0</v>
      </c>
      <c r="GD64" s="92">
        <v>1535995</v>
      </c>
      <c r="GE64" s="92">
        <v>1562655</v>
      </c>
      <c r="GF64" s="92">
        <v>27715025</v>
      </c>
      <c r="GG64" s="47" t="s">
        <v>378</v>
      </c>
      <c r="GH64" s="47" t="s">
        <v>339</v>
      </c>
      <c r="GI64" s="93">
        <v>9362943405</v>
      </c>
      <c r="GJ64" s="47" t="s">
        <v>382</v>
      </c>
      <c r="GK64" s="47" t="s">
        <v>378</v>
      </c>
      <c r="GL64" s="47" t="s">
        <v>380</v>
      </c>
      <c r="GM64" s="93">
        <v>9362943860</v>
      </c>
      <c r="GN64" s="47" t="s">
        <v>381</v>
      </c>
      <c r="GO64" s="92" cm="1">
        <f t="array" ref="GO64">IFERROR(_xlfn.IFS(ResearchInput[[#This Row],[Type]]="HRI",SUMIFS('FTSE | FTFE'!$P$8:$P$77,'FTSE | FTFE'!$H$8:$H$77,A64),ResearchInput[[#This Row],[Type]]="UNIV",SUMIFS('FTSE | FTFE'!$P$104:$P$139,'FTSE | FTFE'!$H$104:$H$139,A64),OR(ResearchInput[[#This Row],[Type]]="TSTC",ResearchInput[[#This Row],[Type]]="LSC"),SUMIFS('FTSE | FTFE'!$O$88:$O$96,'FTSE | FTFE'!$H$88:$H$96,A64),ResearchInput[[#This Row],[Type]]="AHM",SUMIFS(Hidden!$H$43:$H$46,Hidden!$G$42:$G$45,A64)),"N/A")</f>
        <v>574</v>
      </c>
      <c r="GP64" s="92" cm="1">
        <f t="array" ref="GP64">IFERROR(_xlfn.IFS(ResearchInput[[#This Row],[Type]]="HRI",SUMIFS('FTSE | FTFE'!$Q$8:$Q$77,'FTSE | FTFE'!$H$8:$H$77,A64),ResearchInput[[#This Row],[Type]]="UNIV",SUMIFS('FTSE | FTFE'!$Q$104:$Q$139,'FTSE | FTFE'!$H$104:$H$139,A64),OR(ResearchInput[[#This Row],[Type]]="TSTC",ResearchInput[[#This Row],[Type]]="LSC"),SUMIFS('FTSE | FTFE'!$P$88:$P$96,'FTSE | FTFE'!$H$88:$H$96,A64)),"N/A")</f>
        <v>5.05</v>
      </c>
      <c r="GQ64" s="92">
        <v>0</v>
      </c>
      <c r="GR64" s="92">
        <f>SUM(ResearchInput[[#This Row],[Fed.Comp]],ResearchInput[[#This Row],[Fed.Eng]],ResearchInput[[#This Row],[Fed.Geo]],ResearchInput[[#This Row],[Fed.Life]],ResearchInput[[#This Row],[Fed.Math]],ResearchInput[[#This Row],[Fed.Phys]],ResearchInput[[#This Row],[Fed.Psyc]],ResearchInput[[#This Row],[Fed.Soc]],ResearchInput[[#This Row],[Fed.Othr]],ResearchInput[[#This Row],[Fed.Non]])</f>
        <v>0</v>
      </c>
      <c r="GS64" s="92">
        <f>SUM(ResearchInput[[#This Row],[St.Comp]],ResearchInput[[#This Row],[St.Eng]],ResearchInput[[#This Row],[St.Geo]],ResearchInput[[#This Row],[St.Life]],ResearchInput[[#This Row],[St.Math]],ResearchInput[[#This Row],[St.Phys]],ResearchInput[[#This Row],[St.Psyc]],ResearchInput[[#This Row],[St.Soc]],ResearchInput[[#This Row],[St.Othr]],ResearchInput[[#This Row],[St.Non]])</f>
        <v>0</v>
      </c>
      <c r="GT64" s="92">
        <f>SUM(ResearchInput[[#This Row],[St.C&amp;G.Comp]],ResearchInput[[#This Row],[St.C&amp;G.Eng]],ResearchInput[[#This Row],[St.C&amp;G.Geo]],ResearchInput[[#This Row],[St.C&amp;G.Life]],ResearchInput[[#This Row],[St.C&amp;G.Math]],ResearchInput[[#This Row],[St.C&amp;G.Phys]],ResearchInput[[#This Row],[St.C&amp;G.Psyc]],ResearchInput[[#This Row],[St.C&amp;G.Soc]],ResearchInput[[#This Row],[St.C&amp;G.Othr]],ResearchInput[[#This Row],[St.C&amp;G.Non]])</f>
        <v>0</v>
      </c>
      <c r="GU64" s="92">
        <f>SUM(ResearchInput[[#This Row],[St.All.Comp]],ResearchInput[[#This Row],[St.All.Eng]],ResearchInput[[#This Row],[St.All.Geo]],ResearchInput[[#This Row],[St.All.Life]],ResearchInput[[#This Row],[St.All.Math]],ResearchInput[[#This Row],[St.All.Phys]],ResearchInput[[#This Row],[St.All.Psyc]],ResearchInput[[#This Row],[St.All.Soc]],ResearchInput[[#This Row],[St.All.Othr]],ResearchInput[[#This Row],[St.All.Non]])</f>
        <v>0</v>
      </c>
      <c r="GV64" s="92">
        <f>SUM(ResearchInput[[#This Row],[Inst.Comp]],ResearchInput[[#This Row],[Inst.Eng]],ResearchInput[[#This Row],[Inst.Geo]],ResearchInput[[#This Row],[Inst.Life]],ResearchInput[[#This Row],[Inst.Math]],ResearchInput[[#This Row],[Inst.Phys]],ResearchInput[[#This Row],[Inst.Psyc]],ResearchInput[[#This Row],[Inst.Soc]],ResearchInput[[#This Row],[Inst.Othr]],ResearchInput[[#This Row],[Inst.Non]])</f>
        <v>1543381</v>
      </c>
      <c r="GW64" s="92">
        <f>SUM(ResearchInput[[#This Row],[P4P.Comp]],ResearchInput[[#This Row],[P4P.Eng]],ResearchInput[[#This Row],[P4P.Geo]],ResearchInput[[#This Row],[P4P.Life]],ResearchInput[[#This Row],[P4P.Math]],ResearchInput[[#This Row],[P4P.Phys]],ResearchInput[[#This Row],[P4P.Psyc]],ResearchInput[[#This Row],[P4P.Soc]],ResearchInput[[#This Row],[P4P.Othr]],ResearchInput[[#This Row],[P4P.Non]])</f>
        <v>0</v>
      </c>
      <c r="GX64" s="92">
        <f>SUM(ResearchInput[[#This Row],[PNP.Comp]],ResearchInput[[#This Row],[PNP.Eng]],ResearchInput[[#This Row],[PNP.Geo]],ResearchInput[[#This Row],[PNP.Life]],ResearchInput[[#This Row],[PNP.Math]],ResearchInput[[#This Row],[PNP.Phys]],ResearchInput[[#This Row],[PNP.Psyc]],ResearchInput[[#This Row],[PNP.Soc]],ResearchInput[[#This Row],[PNP.Othr]],ResearchInput[[#This Row],[PNP.Non]])</f>
        <v>19274</v>
      </c>
      <c r="GY64" s="92">
        <f>SUM(ResearchInput[[#This Row],[P.All.Comp]],ResearchInput[[#This Row],[P.All.Eng]],ResearchInput[[#This Row],[P.All.Geo]],ResearchInput[[#This Row],[P.All.Life]],ResearchInput[[#This Row],[P.All.Math]],ResearchInput[[#This Row],[P.All.Phys]],ResearchInput[[#This Row],[P.All.Psyc]],ResearchInput[[#This Row],[P.All.Soc]],ResearchInput[[#This Row],[P.All.Othr]],ResearchInput[[#This Row],[P.All.Non]])</f>
        <v>0</v>
      </c>
    </row>
    <row r="65" spans="1:207" s="47" customFormat="1" ht="27" customHeight="1" x14ac:dyDescent="0.25">
      <c r="A65" s="34" t="s">
        <v>770</v>
      </c>
      <c r="B65" s="34" t="s">
        <v>219</v>
      </c>
      <c r="C65" s="35" t="s">
        <v>686</v>
      </c>
      <c r="D65" s="35" t="s">
        <v>684</v>
      </c>
      <c r="E65" s="94">
        <v>1000</v>
      </c>
      <c r="F65" s="35" t="s">
        <v>714</v>
      </c>
      <c r="G65" s="35" t="s">
        <v>553</v>
      </c>
      <c r="H65" s="96">
        <v>9642</v>
      </c>
      <c r="I65" s="92">
        <v>0</v>
      </c>
      <c r="J65" s="92">
        <v>0</v>
      </c>
      <c r="K65" s="92">
        <v>0</v>
      </c>
      <c r="L65" s="92">
        <v>0</v>
      </c>
      <c r="M65" s="92">
        <v>1990419</v>
      </c>
      <c r="N65" s="92">
        <v>0</v>
      </c>
      <c r="O65" s="92">
        <v>0</v>
      </c>
      <c r="P65" s="92">
        <v>0</v>
      </c>
      <c r="Q65" s="92">
        <v>0</v>
      </c>
      <c r="R65" s="92">
        <v>0</v>
      </c>
      <c r="S65" s="92">
        <v>0</v>
      </c>
      <c r="T65" s="92">
        <v>0</v>
      </c>
      <c r="U65" s="92">
        <v>-1990419</v>
      </c>
      <c r="V65" s="92">
        <v>0</v>
      </c>
      <c r="W65" s="92">
        <v>0</v>
      </c>
      <c r="X65" s="92">
        <v>0</v>
      </c>
      <c r="Y65" s="92">
        <v>0</v>
      </c>
      <c r="Z65" s="92">
        <v>0</v>
      </c>
      <c r="AA65" s="92">
        <v>0</v>
      </c>
      <c r="AB65" s="92">
        <v>0</v>
      </c>
      <c r="AC65" s="92">
        <v>0</v>
      </c>
      <c r="AD65" s="92">
        <v>0</v>
      </c>
      <c r="AE65" s="92">
        <v>0</v>
      </c>
      <c r="AF65" s="92">
        <v>0</v>
      </c>
      <c r="AG65" s="92">
        <v>0</v>
      </c>
      <c r="AH65" s="92">
        <v>0</v>
      </c>
      <c r="AI65" s="92">
        <v>0</v>
      </c>
      <c r="AJ65" s="92">
        <v>0</v>
      </c>
      <c r="AK65" s="92">
        <v>0</v>
      </c>
      <c r="AL65" s="92">
        <v>0</v>
      </c>
      <c r="AM65" s="92">
        <v>0</v>
      </c>
      <c r="AN65" s="92">
        <v>0</v>
      </c>
      <c r="AO65" s="92">
        <v>0</v>
      </c>
      <c r="AP65" s="92">
        <v>0</v>
      </c>
      <c r="AQ65" s="92">
        <v>0</v>
      </c>
      <c r="AR65" s="92">
        <v>0</v>
      </c>
      <c r="AS65" s="92">
        <v>0</v>
      </c>
      <c r="AT65" s="92">
        <v>0</v>
      </c>
      <c r="AU65" s="92">
        <v>0</v>
      </c>
      <c r="AV65" s="92">
        <v>0</v>
      </c>
      <c r="AW65" s="92">
        <v>0</v>
      </c>
      <c r="AX65" s="92">
        <v>0</v>
      </c>
      <c r="AY65" s="92">
        <v>0</v>
      </c>
      <c r="AZ65" s="92">
        <v>0</v>
      </c>
      <c r="BA65" s="92">
        <v>0</v>
      </c>
      <c r="BB65" s="92">
        <v>0</v>
      </c>
      <c r="BC65" s="92">
        <v>0</v>
      </c>
      <c r="BD65" s="92">
        <v>0</v>
      </c>
      <c r="BE65" s="92">
        <v>0</v>
      </c>
      <c r="BF65" s="92">
        <v>0</v>
      </c>
      <c r="BG65" s="92">
        <v>0</v>
      </c>
      <c r="BH65" s="92">
        <v>0</v>
      </c>
      <c r="BI65" s="92">
        <v>0</v>
      </c>
      <c r="BJ65" s="92">
        <v>0</v>
      </c>
      <c r="BK65" s="92">
        <v>0</v>
      </c>
      <c r="BL65" s="92">
        <v>0</v>
      </c>
      <c r="BM65" s="92">
        <v>0</v>
      </c>
      <c r="BN65" s="92">
        <v>0</v>
      </c>
      <c r="BO65" s="92">
        <v>0</v>
      </c>
      <c r="BP65" s="92">
        <v>0</v>
      </c>
      <c r="BQ65" s="92">
        <v>0</v>
      </c>
      <c r="BR65" s="92">
        <v>0</v>
      </c>
      <c r="BS65" s="92">
        <v>0</v>
      </c>
      <c r="BT65" s="92">
        <v>0</v>
      </c>
      <c r="BU65" s="92">
        <v>0</v>
      </c>
      <c r="BV65" s="92">
        <v>0</v>
      </c>
      <c r="BW65" s="92">
        <v>0</v>
      </c>
      <c r="BX65" s="92">
        <v>0</v>
      </c>
      <c r="BY65" s="92">
        <v>0</v>
      </c>
      <c r="BZ65" s="92">
        <v>0</v>
      </c>
      <c r="CA65" s="92">
        <v>0</v>
      </c>
      <c r="CB65" s="92">
        <v>0</v>
      </c>
      <c r="CC65" s="92">
        <v>0</v>
      </c>
      <c r="CD65" s="92">
        <v>0</v>
      </c>
      <c r="CE65" s="92">
        <v>0</v>
      </c>
      <c r="CF65" s="92">
        <v>0</v>
      </c>
      <c r="CG65" s="92">
        <v>0</v>
      </c>
      <c r="CH65" s="92">
        <v>0</v>
      </c>
      <c r="CI65" s="92">
        <v>0</v>
      </c>
      <c r="CJ65" s="92">
        <v>0</v>
      </c>
      <c r="CK65" s="92">
        <v>0</v>
      </c>
      <c r="CL65" s="92">
        <v>0</v>
      </c>
      <c r="CM65" s="92">
        <v>0</v>
      </c>
      <c r="CN65" s="92">
        <v>0</v>
      </c>
      <c r="CO65" s="92">
        <v>0</v>
      </c>
      <c r="CP65" s="92">
        <v>0</v>
      </c>
      <c r="CQ65" s="92">
        <v>0</v>
      </c>
      <c r="CR65" s="92">
        <v>0</v>
      </c>
      <c r="CS65" s="92">
        <v>0</v>
      </c>
      <c r="CT65" s="92">
        <v>0</v>
      </c>
      <c r="CU65" s="92">
        <v>0</v>
      </c>
      <c r="CV65" s="92">
        <v>0</v>
      </c>
      <c r="CW65" s="92">
        <v>0</v>
      </c>
      <c r="CX65" s="92">
        <v>0</v>
      </c>
      <c r="CY65" s="92">
        <v>0</v>
      </c>
      <c r="CZ65" s="92">
        <v>0</v>
      </c>
      <c r="DA65" s="92">
        <v>0</v>
      </c>
      <c r="DB65" s="92">
        <v>0</v>
      </c>
      <c r="DC65" s="92">
        <v>0</v>
      </c>
      <c r="DD65" s="92">
        <v>0</v>
      </c>
      <c r="DE65" s="92">
        <v>0</v>
      </c>
      <c r="DF65" s="92">
        <v>0</v>
      </c>
      <c r="DG65" s="92">
        <v>0</v>
      </c>
      <c r="DH65" s="92">
        <v>0</v>
      </c>
      <c r="DI65" s="92">
        <v>0</v>
      </c>
      <c r="DJ65" s="92">
        <v>0</v>
      </c>
      <c r="DK65" s="92">
        <v>0</v>
      </c>
      <c r="DL65" s="92">
        <v>0</v>
      </c>
      <c r="DM65" s="92">
        <v>0</v>
      </c>
      <c r="DN65" s="92">
        <v>0</v>
      </c>
      <c r="DO65" s="92">
        <v>0</v>
      </c>
      <c r="DP65" s="92">
        <v>0</v>
      </c>
      <c r="DQ65" s="92">
        <v>0</v>
      </c>
      <c r="DR65" s="92">
        <v>0</v>
      </c>
      <c r="DS65" s="92">
        <v>0</v>
      </c>
      <c r="DT65" s="92">
        <v>0</v>
      </c>
      <c r="DU65" s="92">
        <v>0</v>
      </c>
      <c r="DV65" s="92">
        <v>0</v>
      </c>
      <c r="DW65" s="92">
        <v>0</v>
      </c>
      <c r="DX65" s="92">
        <v>0</v>
      </c>
      <c r="DY65" s="92">
        <v>0</v>
      </c>
      <c r="DZ65" s="92">
        <v>0</v>
      </c>
      <c r="EA65" s="92">
        <v>0</v>
      </c>
      <c r="EB65" s="92">
        <v>0</v>
      </c>
      <c r="EC65" s="92">
        <v>0</v>
      </c>
      <c r="ED65" s="92">
        <v>0</v>
      </c>
      <c r="EE65" s="92">
        <v>0</v>
      </c>
      <c r="EF65" s="92">
        <v>0</v>
      </c>
      <c r="EG65" s="92">
        <v>0</v>
      </c>
      <c r="EH65" s="92">
        <v>0</v>
      </c>
      <c r="EI65" s="92">
        <v>0</v>
      </c>
      <c r="EJ65" s="92">
        <v>0</v>
      </c>
      <c r="EK65" s="92">
        <v>0</v>
      </c>
      <c r="EL65" s="92">
        <v>0</v>
      </c>
      <c r="EM65" s="92">
        <v>0</v>
      </c>
      <c r="EN65" s="92">
        <v>0</v>
      </c>
      <c r="EO65" s="92">
        <v>0</v>
      </c>
      <c r="EP65" s="92">
        <v>0</v>
      </c>
      <c r="EQ65" s="92">
        <v>0</v>
      </c>
      <c r="ER65" s="92">
        <v>0</v>
      </c>
      <c r="ES65" s="92">
        <v>0</v>
      </c>
      <c r="ET65" s="92">
        <v>0</v>
      </c>
      <c r="EU65" s="92">
        <v>0</v>
      </c>
      <c r="EV65" s="92">
        <v>0</v>
      </c>
      <c r="EW65" s="92">
        <v>0</v>
      </c>
      <c r="EX65" s="92">
        <v>0</v>
      </c>
      <c r="EY65" s="92">
        <v>0</v>
      </c>
      <c r="EZ65" s="92">
        <v>0</v>
      </c>
      <c r="FA65" s="92">
        <v>0</v>
      </c>
      <c r="FB65" s="92">
        <v>0</v>
      </c>
      <c r="FC65" s="92">
        <v>0</v>
      </c>
      <c r="FD65" s="92">
        <v>0</v>
      </c>
      <c r="FE65" s="92">
        <v>0</v>
      </c>
      <c r="FF65" s="92">
        <v>0</v>
      </c>
      <c r="FG65" s="92">
        <v>0</v>
      </c>
      <c r="FH65" s="92">
        <v>0</v>
      </c>
      <c r="FI65" s="92">
        <v>0</v>
      </c>
      <c r="FJ65" s="92">
        <v>0</v>
      </c>
      <c r="FK65" s="92">
        <v>0</v>
      </c>
      <c r="FL65" s="92">
        <v>0</v>
      </c>
      <c r="FM65" s="92">
        <v>0</v>
      </c>
      <c r="FN65" s="92">
        <v>0</v>
      </c>
      <c r="FO65" s="92">
        <v>0</v>
      </c>
      <c r="FP65" s="92">
        <v>0</v>
      </c>
      <c r="FQ65" s="92">
        <v>0</v>
      </c>
      <c r="FR65" s="92">
        <v>0</v>
      </c>
      <c r="FS65" s="92">
        <v>0</v>
      </c>
      <c r="FT65" s="92">
        <v>0</v>
      </c>
      <c r="FU65" s="92">
        <v>0</v>
      </c>
      <c r="FV65" s="92">
        <v>0</v>
      </c>
      <c r="FW65" s="92">
        <v>0</v>
      </c>
      <c r="FX65" s="92">
        <v>0</v>
      </c>
      <c r="FY65" s="92">
        <v>0</v>
      </c>
      <c r="FZ65" s="92">
        <v>0</v>
      </c>
      <c r="GA65" s="92">
        <v>0</v>
      </c>
      <c r="GB65" s="92">
        <v>0</v>
      </c>
      <c r="GC65" s="92">
        <v>0</v>
      </c>
      <c r="GD65" s="92">
        <v>1990419</v>
      </c>
      <c r="GE65" s="92">
        <v>1990424</v>
      </c>
      <c r="GF65" s="92">
        <v>18299987</v>
      </c>
      <c r="GG65" s="47" t="s">
        <v>503</v>
      </c>
      <c r="GH65" s="47" t="s">
        <v>504</v>
      </c>
      <c r="GI65" s="93">
        <v>2548673931</v>
      </c>
      <c r="GJ65" s="47" t="s">
        <v>505</v>
      </c>
      <c r="GK65" s="47" t="s">
        <v>506</v>
      </c>
      <c r="GL65" s="47" t="s">
        <v>507</v>
      </c>
      <c r="GM65" s="93">
        <v>9563644058</v>
      </c>
      <c r="GN65" s="47" t="s">
        <v>508</v>
      </c>
      <c r="GO65" s="92" t="str" cm="1">
        <f t="array" ref="GO65">IFERROR(_xlfn.IFS(ResearchInput[[#This Row],[Type]]="HRI",SUMIFS('FTSE | FTFE'!$P$8:$P$77,'FTSE | FTFE'!$H$8:$H$77,A65),ResearchInput[[#This Row],[Type]]="UNIV",SUMIFS('FTSE | FTFE'!$P$104:$P$139,'FTSE | FTFE'!$H$104:$H$139,A65),OR(ResearchInput[[#This Row],[Type]]="TSTC",ResearchInput[[#This Row],[Type]]="LSC"),SUMIFS('FTSE | FTFE'!$O$88:$O$96,'FTSE | FTFE'!$H$88:$H$96,A65),ResearchInput[[#This Row],[Type]]="AHM",SUMIFS(Hidden!$H$43:$H$46,Hidden!$G$42:$G$45,A65)),"N/A")</f>
        <v>N/A</v>
      </c>
      <c r="GP65" s="92" t="str" cm="1">
        <f t="array" ref="GP65">IFERROR(_xlfn.IFS(ResearchInput[[#This Row],[Type]]="HRI",SUMIFS('FTSE | FTFE'!$Q$8:$Q$77,'FTSE | FTFE'!$H$8:$H$77,A65),ResearchInput[[#This Row],[Type]]="UNIV",SUMIFS('FTSE | FTFE'!$Q$104:$Q$139,'FTSE | FTFE'!$H$104:$H$139,A65),OR(ResearchInput[[#This Row],[Type]]="TSTC",ResearchInput[[#This Row],[Type]]="LSC"),SUMIFS('FTSE | FTFE'!$P$88:$P$96,'FTSE | FTFE'!$H$88:$H$96,A65)),"N/A")</f>
        <v>N/A</v>
      </c>
      <c r="GQ65" s="92">
        <v>0</v>
      </c>
      <c r="GR65" s="92">
        <f>SUM(ResearchInput[[#This Row],[Fed.Comp]],ResearchInput[[#This Row],[Fed.Eng]],ResearchInput[[#This Row],[Fed.Geo]],ResearchInput[[#This Row],[Fed.Life]],ResearchInput[[#This Row],[Fed.Math]],ResearchInput[[#This Row],[Fed.Phys]],ResearchInput[[#This Row],[Fed.Psyc]],ResearchInput[[#This Row],[Fed.Soc]],ResearchInput[[#This Row],[Fed.Othr]],ResearchInput[[#This Row],[Fed.Non]])</f>
        <v>0</v>
      </c>
      <c r="GS65" s="92">
        <f>SUM(ResearchInput[[#This Row],[St.Comp]],ResearchInput[[#This Row],[St.Eng]],ResearchInput[[#This Row],[St.Geo]],ResearchInput[[#This Row],[St.Life]],ResearchInput[[#This Row],[St.Math]],ResearchInput[[#This Row],[St.Phys]],ResearchInput[[#This Row],[St.Psyc]],ResearchInput[[#This Row],[St.Soc]],ResearchInput[[#This Row],[St.Othr]],ResearchInput[[#This Row],[St.Non]])</f>
        <v>0</v>
      </c>
      <c r="GT65" s="92">
        <f>SUM(ResearchInput[[#This Row],[St.C&amp;G.Comp]],ResearchInput[[#This Row],[St.C&amp;G.Eng]],ResearchInput[[#This Row],[St.C&amp;G.Geo]],ResearchInput[[#This Row],[St.C&amp;G.Life]],ResearchInput[[#This Row],[St.C&amp;G.Math]],ResearchInput[[#This Row],[St.C&amp;G.Phys]],ResearchInput[[#This Row],[St.C&amp;G.Psyc]],ResearchInput[[#This Row],[St.C&amp;G.Soc]],ResearchInput[[#This Row],[St.C&amp;G.Othr]],ResearchInput[[#This Row],[St.C&amp;G.Non]])</f>
        <v>0</v>
      </c>
      <c r="GU65" s="92">
        <f>SUM(ResearchInput[[#This Row],[St.All.Comp]],ResearchInput[[#This Row],[St.All.Eng]],ResearchInput[[#This Row],[St.All.Geo]],ResearchInput[[#This Row],[St.All.Life]],ResearchInput[[#This Row],[St.All.Math]],ResearchInput[[#This Row],[St.All.Phys]],ResearchInput[[#This Row],[St.All.Psyc]],ResearchInput[[#This Row],[St.All.Soc]],ResearchInput[[#This Row],[St.All.Othr]],ResearchInput[[#This Row],[St.All.Non]])</f>
        <v>0</v>
      </c>
      <c r="GV65" s="92">
        <f>SUM(ResearchInput[[#This Row],[Inst.Comp]],ResearchInput[[#This Row],[Inst.Eng]],ResearchInput[[#This Row],[Inst.Geo]],ResearchInput[[#This Row],[Inst.Life]],ResearchInput[[#This Row],[Inst.Math]],ResearchInput[[#This Row],[Inst.Phys]],ResearchInput[[#This Row],[Inst.Psyc]],ResearchInput[[#This Row],[Inst.Soc]],ResearchInput[[#This Row],[Inst.Othr]],ResearchInput[[#This Row],[Inst.Non]])</f>
        <v>0</v>
      </c>
      <c r="GW65" s="92">
        <f>SUM(ResearchInput[[#This Row],[P4P.Comp]],ResearchInput[[#This Row],[P4P.Eng]],ResearchInput[[#This Row],[P4P.Geo]],ResearchInput[[#This Row],[P4P.Life]],ResearchInput[[#This Row],[P4P.Math]],ResearchInput[[#This Row],[P4P.Phys]],ResearchInput[[#This Row],[P4P.Psyc]],ResearchInput[[#This Row],[P4P.Soc]],ResearchInput[[#This Row],[P4P.Othr]],ResearchInput[[#This Row],[P4P.Non]])</f>
        <v>0</v>
      </c>
      <c r="GX65" s="92">
        <f>SUM(ResearchInput[[#This Row],[PNP.Comp]],ResearchInput[[#This Row],[PNP.Eng]],ResearchInput[[#This Row],[PNP.Geo]],ResearchInput[[#This Row],[PNP.Life]],ResearchInput[[#This Row],[PNP.Math]],ResearchInput[[#This Row],[PNP.Phys]],ResearchInput[[#This Row],[PNP.Psyc]],ResearchInput[[#This Row],[PNP.Soc]],ResearchInput[[#This Row],[PNP.Othr]],ResearchInput[[#This Row],[PNP.Non]])</f>
        <v>0</v>
      </c>
      <c r="GY65" s="92">
        <f>SUM(ResearchInput[[#This Row],[P.All.Comp]],ResearchInput[[#This Row],[P.All.Eng]],ResearchInput[[#This Row],[P.All.Geo]],ResearchInput[[#This Row],[P.All.Life]],ResearchInput[[#This Row],[P.All.Math]],ResearchInput[[#This Row],[P.All.Phys]],ResearchInput[[#This Row],[P.All.Psyc]],ResearchInput[[#This Row],[P.All.Soc]],ResearchInput[[#This Row],[P.All.Othr]],ResearchInput[[#This Row],[P.All.Non]])</f>
        <v>0</v>
      </c>
    </row>
    <row r="66" spans="1:207" s="47" customFormat="1" ht="27" customHeight="1" x14ac:dyDescent="0.25">
      <c r="A66" s="34" t="s">
        <v>211</v>
      </c>
      <c r="B66" s="34" t="s">
        <v>685</v>
      </c>
      <c r="C66" s="35" t="s">
        <v>686</v>
      </c>
      <c r="D66" s="35" t="s">
        <v>686</v>
      </c>
      <c r="E66" s="94">
        <v>1001</v>
      </c>
      <c r="F66" s="35" t="s">
        <v>714</v>
      </c>
      <c r="G66" s="35" t="s">
        <v>553</v>
      </c>
      <c r="H66" s="96">
        <v>9225</v>
      </c>
      <c r="I66" s="92">
        <v>0</v>
      </c>
      <c r="J66" s="92">
        <v>0</v>
      </c>
      <c r="K66" s="92">
        <v>0</v>
      </c>
      <c r="L66" s="92">
        <v>0</v>
      </c>
      <c r="M66" s="92">
        <v>844</v>
      </c>
      <c r="N66" s="92">
        <v>0</v>
      </c>
      <c r="O66" s="92">
        <v>0</v>
      </c>
      <c r="P66" s="92">
        <v>1984</v>
      </c>
      <c r="Q66" s="92">
        <v>0</v>
      </c>
      <c r="R66" s="92">
        <v>0</v>
      </c>
      <c r="S66" s="92">
        <v>0</v>
      </c>
      <c r="T66" s="92">
        <v>0</v>
      </c>
      <c r="U66" s="92">
        <v>-844</v>
      </c>
      <c r="V66" s="92">
        <v>0</v>
      </c>
      <c r="W66" s="92">
        <v>0</v>
      </c>
      <c r="X66" s="92">
        <v>-1984</v>
      </c>
      <c r="Y66" s="92">
        <v>0</v>
      </c>
      <c r="Z66" s="92">
        <v>0</v>
      </c>
      <c r="AA66" s="92">
        <v>0</v>
      </c>
      <c r="AB66" s="92">
        <v>0</v>
      </c>
      <c r="AC66" s="92">
        <v>0</v>
      </c>
      <c r="AD66" s="92">
        <v>0</v>
      </c>
      <c r="AE66" s="92">
        <v>0</v>
      </c>
      <c r="AF66" s="92">
        <v>0</v>
      </c>
      <c r="AG66" s="92">
        <v>0</v>
      </c>
      <c r="AH66" s="92">
        <v>0</v>
      </c>
      <c r="AI66" s="92">
        <v>0</v>
      </c>
      <c r="AJ66" s="92">
        <v>0</v>
      </c>
      <c r="AK66" s="92">
        <v>0</v>
      </c>
      <c r="AL66" s="92">
        <v>0</v>
      </c>
      <c r="AM66" s="92">
        <v>0</v>
      </c>
      <c r="AN66" s="92">
        <v>0</v>
      </c>
      <c r="AO66" s="92">
        <v>0</v>
      </c>
      <c r="AP66" s="92">
        <v>0</v>
      </c>
      <c r="AQ66" s="92">
        <v>0</v>
      </c>
      <c r="AR66" s="92">
        <v>0</v>
      </c>
      <c r="AS66" s="92">
        <v>0</v>
      </c>
      <c r="AT66" s="92">
        <v>0</v>
      </c>
      <c r="AU66" s="92">
        <v>0</v>
      </c>
      <c r="AV66" s="92">
        <v>0</v>
      </c>
      <c r="AW66" s="92">
        <v>0</v>
      </c>
      <c r="AX66" s="92">
        <v>0</v>
      </c>
      <c r="AY66" s="92">
        <v>0</v>
      </c>
      <c r="AZ66" s="92">
        <v>0</v>
      </c>
      <c r="BA66" s="92">
        <v>0</v>
      </c>
      <c r="BB66" s="92">
        <v>0</v>
      </c>
      <c r="BC66" s="92">
        <v>0</v>
      </c>
      <c r="BD66" s="92">
        <v>0</v>
      </c>
      <c r="BE66" s="92">
        <v>0</v>
      </c>
      <c r="BF66" s="92">
        <v>0</v>
      </c>
      <c r="BG66" s="92">
        <v>0</v>
      </c>
      <c r="BH66" s="92">
        <v>0</v>
      </c>
      <c r="BI66" s="92">
        <v>0</v>
      </c>
      <c r="BJ66" s="92">
        <v>0</v>
      </c>
      <c r="BK66" s="92">
        <v>0</v>
      </c>
      <c r="BL66" s="92">
        <v>0</v>
      </c>
      <c r="BM66" s="92">
        <v>0</v>
      </c>
      <c r="BN66" s="92">
        <v>0</v>
      </c>
      <c r="BO66" s="92">
        <v>0</v>
      </c>
      <c r="BP66" s="92">
        <v>0</v>
      </c>
      <c r="BQ66" s="92">
        <v>0</v>
      </c>
      <c r="BR66" s="92">
        <v>0</v>
      </c>
      <c r="BS66" s="92">
        <v>0</v>
      </c>
      <c r="BT66" s="92">
        <v>0</v>
      </c>
      <c r="BU66" s="92">
        <v>0</v>
      </c>
      <c r="BV66" s="92">
        <v>0</v>
      </c>
      <c r="BW66" s="92">
        <v>0</v>
      </c>
      <c r="BX66" s="92">
        <v>0</v>
      </c>
      <c r="BY66" s="92">
        <v>0</v>
      </c>
      <c r="BZ66" s="92">
        <v>0</v>
      </c>
      <c r="CA66" s="92">
        <v>0</v>
      </c>
      <c r="CB66" s="92">
        <v>0</v>
      </c>
      <c r="CC66" s="92">
        <v>0</v>
      </c>
      <c r="CD66" s="92">
        <v>0</v>
      </c>
      <c r="CE66" s="92">
        <v>0</v>
      </c>
      <c r="CF66" s="92">
        <v>0</v>
      </c>
      <c r="CG66" s="92">
        <v>0</v>
      </c>
      <c r="CH66" s="92">
        <v>0</v>
      </c>
      <c r="CI66" s="92">
        <v>0</v>
      </c>
      <c r="CJ66" s="92">
        <v>0</v>
      </c>
      <c r="CK66" s="92">
        <v>0</v>
      </c>
      <c r="CL66" s="92">
        <v>0</v>
      </c>
      <c r="CM66" s="92">
        <v>0</v>
      </c>
      <c r="CN66" s="92">
        <v>0</v>
      </c>
      <c r="CO66" s="92">
        <v>0</v>
      </c>
      <c r="CP66" s="92">
        <v>0</v>
      </c>
      <c r="CQ66" s="92">
        <v>0</v>
      </c>
      <c r="CR66" s="92">
        <v>0</v>
      </c>
      <c r="CS66" s="92">
        <v>0</v>
      </c>
      <c r="CT66" s="92">
        <v>0</v>
      </c>
      <c r="CU66" s="92">
        <v>0</v>
      </c>
      <c r="CV66" s="92">
        <v>0</v>
      </c>
      <c r="CW66" s="92">
        <v>0</v>
      </c>
      <c r="CX66" s="92">
        <v>0</v>
      </c>
      <c r="CY66" s="92">
        <v>0</v>
      </c>
      <c r="CZ66" s="92">
        <v>0</v>
      </c>
      <c r="DA66" s="92">
        <v>0</v>
      </c>
      <c r="DB66" s="92">
        <v>0</v>
      </c>
      <c r="DC66" s="92">
        <v>0</v>
      </c>
      <c r="DD66" s="92">
        <v>0</v>
      </c>
      <c r="DE66" s="92">
        <v>0</v>
      </c>
      <c r="DF66" s="92">
        <v>0</v>
      </c>
      <c r="DG66" s="92">
        <v>0</v>
      </c>
      <c r="DH66" s="92">
        <v>0</v>
      </c>
      <c r="DI66" s="92">
        <v>0</v>
      </c>
      <c r="DJ66" s="92">
        <v>0</v>
      </c>
      <c r="DK66" s="92">
        <v>0</v>
      </c>
      <c r="DL66" s="92">
        <v>0</v>
      </c>
      <c r="DM66" s="92">
        <v>0</v>
      </c>
      <c r="DN66" s="92">
        <v>0</v>
      </c>
      <c r="DO66" s="92">
        <v>0</v>
      </c>
      <c r="DP66" s="92">
        <v>0</v>
      </c>
      <c r="DQ66" s="92">
        <v>0</v>
      </c>
      <c r="DR66" s="92">
        <v>0</v>
      </c>
      <c r="DS66" s="92">
        <v>0</v>
      </c>
      <c r="DT66" s="92">
        <v>0</v>
      </c>
      <c r="DU66" s="92">
        <v>0</v>
      </c>
      <c r="DV66" s="92">
        <v>0</v>
      </c>
      <c r="DW66" s="92">
        <v>0</v>
      </c>
      <c r="DX66" s="92">
        <v>0</v>
      </c>
      <c r="DY66" s="92">
        <v>0</v>
      </c>
      <c r="DZ66" s="92">
        <v>0</v>
      </c>
      <c r="EA66" s="92">
        <v>0</v>
      </c>
      <c r="EB66" s="92">
        <v>0</v>
      </c>
      <c r="EC66" s="92">
        <v>0</v>
      </c>
      <c r="ED66" s="92">
        <v>0</v>
      </c>
      <c r="EE66" s="92">
        <v>0</v>
      </c>
      <c r="EF66" s="92">
        <v>0</v>
      </c>
      <c r="EG66" s="92">
        <v>0</v>
      </c>
      <c r="EH66" s="92">
        <v>0</v>
      </c>
      <c r="EI66" s="92">
        <v>0</v>
      </c>
      <c r="EJ66" s="92">
        <v>0</v>
      </c>
      <c r="EK66" s="92">
        <v>0</v>
      </c>
      <c r="EL66" s="92">
        <v>0</v>
      </c>
      <c r="EM66" s="92">
        <v>0</v>
      </c>
      <c r="EN66" s="92">
        <v>0</v>
      </c>
      <c r="EO66" s="92">
        <v>0</v>
      </c>
      <c r="EP66" s="92">
        <v>0</v>
      </c>
      <c r="EQ66" s="92">
        <v>0</v>
      </c>
      <c r="ER66" s="92">
        <v>0</v>
      </c>
      <c r="ES66" s="92">
        <v>0</v>
      </c>
      <c r="ET66" s="92">
        <v>0</v>
      </c>
      <c r="EU66" s="92">
        <v>0</v>
      </c>
      <c r="EV66" s="92">
        <v>0</v>
      </c>
      <c r="EW66" s="92">
        <v>0</v>
      </c>
      <c r="EX66" s="92">
        <v>0</v>
      </c>
      <c r="EY66" s="92">
        <v>0</v>
      </c>
      <c r="EZ66" s="92">
        <v>0</v>
      </c>
      <c r="FA66" s="92">
        <v>0</v>
      </c>
      <c r="FB66" s="92">
        <v>0</v>
      </c>
      <c r="FC66" s="92">
        <v>0</v>
      </c>
      <c r="FD66" s="92">
        <v>0</v>
      </c>
      <c r="FE66" s="92">
        <v>0</v>
      </c>
      <c r="FF66" s="92">
        <v>0</v>
      </c>
      <c r="FG66" s="92">
        <v>0</v>
      </c>
      <c r="FH66" s="92">
        <v>0</v>
      </c>
      <c r="FI66" s="92">
        <v>0</v>
      </c>
      <c r="FJ66" s="92">
        <v>0</v>
      </c>
      <c r="FK66" s="92">
        <v>0</v>
      </c>
      <c r="FL66" s="92">
        <v>0</v>
      </c>
      <c r="FM66" s="92">
        <v>0</v>
      </c>
      <c r="FN66" s="92">
        <v>0</v>
      </c>
      <c r="FO66" s="92">
        <v>0</v>
      </c>
      <c r="FP66" s="92">
        <v>0</v>
      </c>
      <c r="FQ66" s="92">
        <v>0</v>
      </c>
      <c r="FR66" s="92">
        <v>0</v>
      </c>
      <c r="FS66" s="92">
        <v>0</v>
      </c>
      <c r="FT66" s="92">
        <v>0</v>
      </c>
      <c r="FU66" s="92">
        <v>0</v>
      </c>
      <c r="FV66" s="92">
        <v>0</v>
      </c>
      <c r="FW66" s="92">
        <v>0</v>
      </c>
      <c r="FX66" s="92">
        <v>0</v>
      </c>
      <c r="FY66" s="92">
        <v>0</v>
      </c>
      <c r="FZ66" s="92">
        <v>0</v>
      </c>
      <c r="GA66" s="92">
        <v>0</v>
      </c>
      <c r="GB66" s="92">
        <v>0</v>
      </c>
      <c r="GC66" s="92">
        <v>0</v>
      </c>
      <c r="GD66" s="92">
        <v>2828</v>
      </c>
      <c r="GE66" s="92">
        <v>2806</v>
      </c>
      <c r="GF66" s="92">
        <v>57377498</v>
      </c>
      <c r="GG66" s="47" t="s">
        <v>503</v>
      </c>
      <c r="GH66" s="47" t="s">
        <v>504</v>
      </c>
      <c r="GI66" s="93">
        <v>2548673931</v>
      </c>
      <c r="GJ66" s="47" t="s">
        <v>505</v>
      </c>
      <c r="GK66" s="47" t="s">
        <v>506</v>
      </c>
      <c r="GL66" s="47" t="s">
        <v>507</v>
      </c>
      <c r="GM66" s="93">
        <v>9563644058</v>
      </c>
      <c r="GN66" s="47" t="s">
        <v>508</v>
      </c>
      <c r="GO66" s="92" cm="1">
        <f t="array" ref="GO66">IFERROR(_xlfn.IFS(ResearchInput[[#This Row],[Type]]="HRI",SUMIFS('FTSE | FTFE'!$P$8:$P$77,'FTSE | FTFE'!$H$8:$H$77,A66),ResearchInput[[#This Row],[Type]]="UNIV",SUMIFS('FTSE | FTFE'!$P$104:$P$139,'FTSE | FTFE'!$H$104:$H$139,A66),OR(ResearchInput[[#This Row],[Type]]="TSTC",ResearchInput[[#This Row],[Type]]="LSC"),SUMIFS('FTSE | FTFE'!$O$88:$O$96,'FTSE | FTFE'!$H$88:$H$96,A66),ResearchInput[[#This Row],[Type]]="AHM",SUMIFS(Hidden!$H$43:$H$46,Hidden!$G$42:$G$45,A66)),"N/A")</f>
        <v>1321</v>
      </c>
      <c r="GP66" s="92" cm="1">
        <f t="array" ref="GP66">IFERROR(_xlfn.IFS(ResearchInput[[#This Row],[Type]]="HRI",SUMIFS('FTSE | FTFE'!$Q$8:$Q$77,'FTSE | FTFE'!$H$8:$H$77,A66),ResearchInput[[#This Row],[Type]]="UNIV",SUMIFS('FTSE | FTFE'!$Q$104:$Q$139,'FTSE | FTFE'!$H$104:$H$139,A66),OR(ResearchInput[[#This Row],[Type]]="TSTC",ResearchInput[[#This Row],[Type]]="LSC"),SUMIFS('FTSE | FTFE'!$P$88:$P$96,'FTSE | FTFE'!$H$88:$H$96,A66)),"N/A")</f>
        <v>102.50999999999999</v>
      </c>
      <c r="GQ66" s="92">
        <v>0</v>
      </c>
      <c r="GR66" s="92">
        <f>SUM(ResearchInput[[#This Row],[Fed.Comp]],ResearchInput[[#This Row],[Fed.Eng]],ResearchInput[[#This Row],[Fed.Geo]],ResearchInput[[#This Row],[Fed.Life]],ResearchInput[[#This Row],[Fed.Math]],ResearchInput[[#This Row],[Fed.Phys]],ResearchInput[[#This Row],[Fed.Psyc]],ResearchInput[[#This Row],[Fed.Soc]],ResearchInput[[#This Row],[Fed.Othr]],ResearchInput[[#This Row],[Fed.Non]])</f>
        <v>0</v>
      </c>
      <c r="GS66" s="92">
        <f>SUM(ResearchInput[[#This Row],[St.Comp]],ResearchInput[[#This Row],[St.Eng]],ResearchInput[[#This Row],[St.Geo]],ResearchInput[[#This Row],[St.Life]],ResearchInput[[#This Row],[St.Math]],ResearchInput[[#This Row],[St.Phys]],ResearchInput[[#This Row],[St.Psyc]],ResearchInput[[#This Row],[St.Soc]],ResearchInput[[#This Row],[St.Othr]],ResearchInput[[#This Row],[St.Non]])</f>
        <v>0</v>
      </c>
      <c r="GT66" s="92">
        <f>SUM(ResearchInput[[#This Row],[St.C&amp;G.Comp]],ResearchInput[[#This Row],[St.C&amp;G.Eng]],ResearchInput[[#This Row],[St.C&amp;G.Geo]],ResearchInput[[#This Row],[St.C&amp;G.Life]],ResearchInput[[#This Row],[St.C&amp;G.Math]],ResearchInput[[#This Row],[St.C&amp;G.Phys]],ResearchInput[[#This Row],[St.C&amp;G.Psyc]],ResearchInput[[#This Row],[St.C&amp;G.Soc]],ResearchInput[[#This Row],[St.C&amp;G.Othr]],ResearchInput[[#This Row],[St.C&amp;G.Non]])</f>
        <v>0</v>
      </c>
      <c r="GU66" s="92">
        <f>SUM(ResearchInput[[#This Row],[St.All.Comp]],ResearchInput[[#This Row],[St.All.Eng]],ResearchInput[[#This Row],[St.All.Geo]],ResearchInput[[#This Row],[St.All.Life]],ResearchInput[[#This Row],[St.All.Math]],ResearchInput[[#This Row],[St.All.Phys]],ResearchInput[[#This Row],[St.All.Psyc]],ResearchInput[[#This Row],[St.All.Soc]],ResearchInput[[#This Row],[St.All.Othr]],ResearchInput[[#This Row],[St.All.Non]])</f>
        <v>0</v>
      </c>
      <c r="GV66" s="92">
        <f>SUM(ResearchInput[[#This Row],[Inst.Comp]],ResearchInput[[#This Row],[Inst.Eng]],ResearchInput[[#This Row],[Inst.Geo]],ResearchInput[[#This Row],[Inst.Life]],ResearchInput[[#This Row],[Inst.Math]],ResearchInput[[#This Row],[Inst.Phys]],ResearchInput[[#This Row],[Inst.Psyc]],ResearchInput[[#This Row],[Inst.Soc]],ResearchInput[[#This Row],[Inst.Othr]],ResearchInput[[#This Row],[Inst.Non]])</f>
        <v>0</v>
      </c>
      <c r="GW66" s="92">
        <f>SUM(ResearchInput[[#This Row],[P4P.Comp]],ResearchInput[[#This Row],[P4P.Eng]],ResearchInput[[#This Row],[P4P.Geo]],ResearchInput[[#This Row],[P4P.Life]],ResearchInput[[#This Row],[P4P.Math]],ResearchInput[[#This Row],[P4P.Phys]],ResearchInput[[#This Row],[P4P.Psyc]],ResearchInput[[#This Row],[P4P.Soc]],ResearchInput[[#This Row],[P4P.Othr]],ResearchInput[[#This Row],[P4P.Non]])</f>
        <v>0</v>
      </c>
      <c r="GX66" s="92">
        <f>SUM(ResearchInput[[#This Row],[PNP.Comp]],ResearchInput[[#This Row],[PNP.Eng]],ResearchInput[[#This Row],[PNP.Geo]],ResearchInput[[#This Row],[PNP.Life]],ResearchInput[[#This Row],[PNP.Math]],ResearchInput[[#This Row],[PNP.Phys]],ResearchInput[[#This Row],[PNP.Psyc]],ResearchInput[[#This Row],[PNP.Soc]],ResearchInput[[#This Row],[PNP.Othr]],ResearchInput[[#This Row],[PNP.Non]])</f>
        <v>0</v>
      </c>
      <c r="GY66" s="92">
        <f>SUM(ResearchInput[[#This Row],[P.All.Comp]],ResearchInput[[#This Row],[P.All.Eng]],ResearchInput[[#This Row],[P.All.Geo]],ResearchInput[[#This Row],[P.All.Life]],ResearchInput[[#This Row],[P.All.Math]],ResearchInput[[#This Row],[P.All.Phys]],ResearchInput[[#This Row],[P.All.Psyc]],ResearchInput[[#This Row],[P.All.Soc]],ResearchInput[[#This Row],[P.All.Othr]],ResearchInput[[#This Row],[P.All.Non]])</f>
        <v>0</v>
      </c>
    </row>
    <row r="67" spans="1:207" s="47" customFormat="1" ht="27" customHeight="1" x14ac:dyDescent="0.25">
      <c r="A67" s="34" t="s">
        <v>214</v>
      </c>
      <c r="B67" s="34" t="s">
        <v>685</v>
      </c>
      <c r="C67" s="35" t="s">
        <v>686</v>
      </c>
      <c r="D67" s="35" t="s">
        <v>686</v>
      </c>
      <c r="E67" s="94">
        <v>1002</v>
      </c>
      <c r="F67" s="35" t="s">
        <v>714</v>
      </c>
      <c r="G67" s="35" t="s">
        <v>553</v>
      </c>
      <c r="H67" s="96">
        <v>9932</v>
      </c>
      <c r="I67" s="92">
        <v>0</v>
      </c>
      <c r="J67" s="92">
        <v>0</v>
      </c>
      <c r="K67" s="92">
        <v>0</v>
      </c>
      <c r="L67" s="92">
        <v>0</v>
      </c>
      <c r="M67" s="92">
        <v>-35</v>
      </c>
      <c r="N67" s="92">
        <v>0</v>
      </c>
      <c r="O67" s="92">
        <v>0</v>
      </c>
      <c r="P67" s="92">
        <v>0</v>
      </c>
      <c r="Q67" s="92">
        <v>0</v>
      </c>
      <c r="R67" s="92">
        <v>0</v>
      </c>
      <c r="S67" s="92">
        <v>0</v>
      </c>
      <c r="T67" s="92">
        <v>0</v>
      </c>
      <c r="U67" s="92">
        <v>35</v>
      </c>
      <c r="V67" s="92">
        <v>0</v>
      </c>
      <c r="W67" s="92">
        <v>0</v>
      </c>
      <c r="X67" s="92">
        <v>0</v>
      </c>
      <c r="Y67" s="92">
        <v>0</v>
      </c>
      <c r="Z67" s="92">
        <v>0</v>
      </c>
      <c r="AA67" s="92">
        <v>0</v>
      </c>
      <c r="AB67" s="92">
        <v>0</v>
      </c>
      <c r="AC67" s="92">
        <v>0</v>
      </c>
      <c r="AD67" s="92">
        <v>0</v>
      </c>
      <c r="AE67" s="92">
        <v>0</v>
      </c>
      <c r="AF67" s="92">
        <v>0</v>
      </c>
      <c r="AG67" s="92">
        <v>0</v>
      </c>
      <c r="AH67" s="92">
        <v>0</v>
      </c>
      <c r="AI67" s="92">
        <v>0</v>
      </c>
      <c r="AJ67" s="92">
        <v>0</v>
      </c>
      <c r="AK67" s="92">
        <v>0</v>
      </c>
      <c r="AL67" s="92">
        <v>0</v>
      </c>
      <c r="AM67" s="92">
        <v>0</v>
      </c>
      <c r="AN67" s="92">
        <v>0</v>
      </c>
      <c r="AO67" s="92">
        <v>0</v>
      </c>
      <c r="AP67" s="92">
        <v>0</v>
      </c>
      <c r="AQ67" s="92">
        <v>0</v>
      </c>
      <c r="AR67" s="92">
        <v>0</v>
      </c>
      <c r="AS67" s="92">
        <v>0</v>
      </c>
      <c r="AT67" s="92">
        <v>0</v>
      </c>
      <c r="AU67" s="92">
        <v>0</v>
      </c>
      <c r="AV67" s="92">
        <v>0</v>
      </c>
      <c r="AW67" s="92">
        <v>0</v>
      </c>
      <c r="AX67" s="92">
        <v>0</v>
      </c>
      <c r="AY67" s="92">
        <v>0</v>
      </c>
      <c r="AZ67" s="92">
        <v>0</v>
      </c>
      <c r="BA67" s="92">
        <v>0</v>
      </c>
      <c r="BB67" s="92">
        <v>0</v>
      </c>
      <c r="BC67" s="92">
        <v>0</v>
      </c>
      <c r="BD67" s="92">
        <v>0</v>
      </c>
      <c r="BE67" s="92">
        <v>0</v>
      </c>
      <c r="BF67" s="92">
        <v>0</v>
      </c>
      <c r="BG67" s="92">
        <v>0</v>
      </c>
      <c r="BH67" s="92">
        <v>0</v>
      </c>
      <c r="BI67" s="92">
        <v>0</v>
      </c>
      <c r="BJ67" s="92">
        <v>0</v>
      </c>
      <c r="BK67" s="92">
        <v>0</v>
      </c>
      <c r="BL67" s="92">
        <v>0</v>
      </c>
      <c r="BM67" s="92">
        <v>0</v>
      </c>
      <c r="BN67" s="92">
        <v>0</v>
      </c>
      <c r="BO67" s="92">
        <v>0</v>
      </c>
      <c r="BP67" s="92">
        <v>0</v>
      </c>
      <c r="BQ67" s="92">
        <v>0</v>
      </c>
      <c r="BR67" s="92">
        <v>0</v>
      </c>
      <c r="BS67" s="92">
        <v>0</v>
      </c>
      <c r="BT67" s="92">
        <v>0</v>
      </c>
      <c r="BU67" s="92">
        <v>0</v>
      </c>
      <c r="BV67" s="92">
        <v>0</v>
      </c>
      <c r="BW67" s="92">
        <v>0</v>
      </c>
      <c r="BX67" s="92">
        <v>0</v>
      </c>
      <c r="BY67" s="92">
        <v>0</v>
      </c>
      <c r="BZ67" s="92">
        <v>0</v>
      </c>
      <c r="CA67" s="92">
        <v>0</v>
      </c>
      <c r="CB67" s="92">
        <v>0</v>
      </c>
      <c r="CC67" s="92">
        <v>0</v>
      </c>
      <c r="CD67" s="92">
        <v>0</v>
      </c>
      <c r="CE67" s="92">
        <v>0</v>
      </c>
      <c r="CF67" s="92">
        <v>0</v>
      </c>
      <c r="CG67" s="92">
        <v>0</v>
      </c>
      <c r="CH67" s="92">
        <v>0</v>
      </c>
      <c r="CI67" s="92">
        <v>0</v>
      </c>
      <c r="CJ67" s="92">
        <v>0</v>
      </c>
      <c r="CK67" s="92">
        <v>0</v>
      </c>
      <c r="CL67" s="92">
        <v>0</v>
      </c>
      <c r="CM67" s="92">
        <v>0</v>
      </c>
      <c r="CN67" s="92">
        <v>0</v>
      </c>
      <c r="CO67" s="92">
        <v>0</v>
      </c>
      <c r="CP67" s="92">
        <v>0</v>
      </c>
      <c r="CQ67" s="92">
        <v>0</v>
      </c>
      <c r="CR67" s="92">
        <v>0</v>
      </c>
      <c r="CS67" s="92">
        <v>0</v>
      </c>
      <c r="CT67" s="92">
        <v>0</v>
      </c>
      <c r="CU67" s="92">
        <v>0</v>
      </c>
      <c r="CV67" s="92">
        <v>0</v>
      </c>
      <c r="CW67" s="92">
        <v>0</v>
      </c>
      <c r="CX67" s="92">
        <v>0</v>
      </c>
      <c r="CY67" s="92">
        <v>0</v>
      </c>
      <c r="CZ67" s="92">
        <v>0</v>
      </c>
      <c r="DA67" s="92">
        <v>0</v>
      </c>
      <c r="DB67" s="92">
        <v>0</v>
      </c>
      <c r="DC67" s="92">
        <v>0</v>
      </c>
      <c r="DD67" s="92">
        <v>0</v>
      </c>
      <c r="DE67" s="92">
        <v>0</v>
      </c>
      <c r="DF67" s="92">
        <v>0</v>
      </c>
      <c r="DG67" s="92">
        <v>0</v>
      </c>
      <c r="DH67" s="92">
        <v>0</v>
      </c>
      <c r="DI67" s="92">
        <v>0</v>
      </c>
      <c r="DJ67" s="92">
        <v>0</v>
      </c>
      <c r="DK67" s="92">
        <v>0</v>
      </c>
      <c r="DL67" s="92">
        <v>0</v>
      </c>
      <c r="DM67" s="92">
        <v>0</v>
      </c>
      <c r="DN67" s="92">
        <v>0</v>
      </c>
      <c r="DO67" s="92">
        <v>0</v>
      </c>
      <c r="DP67" s="92">
        <v>0</v>
      </c>
      <c r="DQ67" s="92">
        <v>0</v>
      </c>
      <c r="DR67" s="92">
        <v>0</v>
      </c>
      <c r="DS67" s="92">
        <v>0</v>
      </c>
      <c r="DT67" s="92">
        <v>0</v>
      </c>
      <c r="DU67" s="92">
        <v>0</v>
      </c>
      <c r="DV67" s="92">
        <v>0</v>
      </c>
      <c r="DW67" s="92">
        <v>0</v>
      </c>
      <c r="DX67" s="92">
        <v>0</v>
      </c>
      <c r="DY67" s="92">
        <v>0</v>
      </c>
      <c r="DZ67" s="92">
        <v>0</v>
      </c>
      <c r="EA67" s="92">
        <v>0</v>
      </c>
      <c r="EB67" s="92">
        <v>0</v>
      </c>
      <c r="EC67" s="92">
        <v>0</v>
      </c>
      <c r="ED67" s="92">
        <v>0</v>
      </c>
      <c r="EE67" s="92">
        <v>0</v>
      </c>
      <c r="EF67" s="92">
        <v>0</v>
      </c>
      <c r="EG67" s="92">
        <v>0</v>
      </c>
      <c r="EH67" s="92">
        <v>0</v>
      </c>
      <c r="EI67" s="92">
        <v>0</v>
      </c>
      <c r="EJ67" s="92">
        <v>0</v>
      </c>
      <c r="EK67" s="92">
        <v>0</v>
      </c>
      <c r="EL67" s="92">
        <v>0</v>
      </c>
      <c r="EM67" s="92">
        <v>0</v>
      </c>
      <c r="EN67" s="92">
        <v>0</v>
      </c>
      <c r="EO67" s="92">
        <v>0</v>
      </c>
      <c r="EP67" s="92">
        <v>0</v>
      </c>
      <c r="EQ67" s="92">
        <v>0</v>
      </c>
      <c r="ER67" s="92">
        <v>0</v>
      </c>
      <c r="ES67" s="92">
        <v>0</v>
      </c>
      <c r="ET67" s="92">
        <v>0</v>
      </c>
      <c r="EU67" s="92">
        <v>0</v>
      </c>
      <c r="EV67" s="92">
        <v>0</v>
      </c>
      <c r="EW67" s="92">
        <v>0</v>
      </c>
      <c r="EX67" s="92">
        <v>0</v>
      </c>
      <c r="EY67" s="92">
        <v>0</v>
      </c>
      <c r="EZ67" s="92">
        <v>0</v>
      </c>
      <c r="FA67" s="92">
        <v>0</v>
      </c>
      <c r="FB67" s="92">
        <v>0</v>
      </c>
      <c r="FC67" s="92">
        <v>0</v>
      </c>
      <c r="FD67" s="92">
        <v>0</v>
      </c>
      <c r="FE67" s="92">
        <v>0</v>
      </c>
      <c r="FF67" s="92">
        <v>0</v>
      </c>
      <c r="FG67" s="92">
        <v>0</v>
      </c>
      <c r="FH67" s="92">
        <v>0</v>
      </c>
      <c r="FI67" s="92">
        <v>0</v>
      </c>
      <c r="FJ67" s="92">
        <v>0</v>
      </c>
      <c r="FK67" s="92">
        <v>0</v>
      </c>
      <c r="FL67" s="92">
        <v>0</v>
      </c>
      <c r="FM67" s="92">
        <v>0</v>
      </c>
      <c r="FN67" s="92">
        <v>0</v>
      </c>
      <c r="FO67" s="92">
        <v>0</v>
      </c>
      <c r="FP67" s="92">
        <v>0</v>
      </c>
      <c r="FQ67" s="92">
        <v>0</v>
      </c>
      <c r="FR67" s="92">
        <v>0</v>
      </c>
      <c r="FS67" s="92">
        <v>0</v>
      </c>
      <c r="FT67" s="92">
        <v>0</v>
      </c>
      <c r="FU67" s="92">
        <v>0</v>
      </c>
      <c r="FV67" s="92">
        <v>0</v>
      </c>
      <c r="FW67" s="92">
        <v>0</v>
      </c>
      <c r="FX67" s="92">
        <v>0</v>
      </c>
      <c r="FY67" s="92">
        <v>0</v>
      </c>
      <c r="FZ67" s="92">
        <v>0</v>
      </c>
      <c r="GA67" s="92">
        <v>0</v>
      </c>
      <c r="GB67" s="92">
        <v>0</v>
      </c>
      <c r="GC67" s="92">
        <v>0</v>
      </c>
      <c r="GD67" s="92">
        <v>-35</v>
      </c>
      <c r="GE67" s="92">
        <v>163</v>
      </c>
      <c r="GF67" s="92">
        <v>31396388</v>
      </c>
      <c r="GG67" s="47" t="s">
        <v>503</v>
      </c>
      <c r="GH67" s="47" t="s">
        <v>504</v>
      </c>
      <c r="GI67" s="93">
        <v>2548673931</v>
      </c>
      <c r="GJ67" s="47" t="s">
        <v>505</v>
      </c>
      <c r="GK67" s="47" t="s">
        <v>506</v>
      </c>
      <c r="GL67" s="47" t="s">
        <v>507</v>
      </c>
      <c r="GM67" s="93">
        <v>9563644058</v>
      </c>
      <c r="GN67" s="47" t="s">
        <v>508</v>
      </c>
      <c r="GO67" s="92" cm="1">
        <f t="array" ref="GO67">IFERROR(_xlfn.IFS(ResearchInput[[#This Row],[Type]]="HRI",SUMIFS('FTSE | FTFE'!$P$8:$P$77,'FTSE | FTFE'!$H$8:$H$77,A67),ResearchInput[[#This Row],[Type]]="UNIV",SUMIFS('FTSE | FTFE'!$P$104:$P$139,'FTSE | FTFE'!$H$104:$H$139,A67),OR(ResearchInput[[#This Row],[Type]]="TSTC",ResearchInput[[#This Row],[Type]]="LSC"),SUMIFS('FTSE | FTFE'!$O$88:$O$96,'FTSE | FTFE'!$H$88:$H$96,A67),ResearchInput[[#This Row],[Type]]="AHM",SUMIFS(Hidden!$H$43:$H$46,Hidden!$G$42:$G$45,A67)),"N/A")</f>
        <v>656</v>
      </c>
      <c r="GP67" s="92" cm="1">
        <f t="array" ref="GP67">IFERROR(_xlfn.IFS(ResearchInput[[#This Row],[Type]]="HRI",SUMIFS('FTSE | FTFE'!$Q$8:$Q$77,'FTSE | FTFE'!$H$8:$H$77,A67),ResearchInput[[#This Row],[Type]]="UNIV",SUMIFS('FTSE | FTFE'!$Q$104:$Q$139,'FTSE | FTFE'!$H$104:$H$139,A67),OR(ResearchInput[[#This Row],[Type]]="TSTC",ResearchInput[[#This Row],[Type]]="LSC"),SUMIFS('FTSE | FTFE'!$P$88:$P$96,'FTSE | FTFE'!$H$88:$H$96,A67)),"N/A")</f>
        <v>51.265000000000001</v>
      </c>
      <c r="GQ67" s="92">
        <v>0</v>
      </c>
      <c r="GR67" s="92">
        <f>SUM(ResearchInput[[#This Row],[Fed.Comp]],ResearchInput[[#This Row],[Fed.Eng]],ResearchInput[[#This Row],[Fed.Geo]],ResearchInput[[#This Row],[Fed.Life]],ResearchInput[[#This Row],[Fed.Math]],ResearchInput[[#This Row],[Fed.Phys]],ResearchInput[[#This Row],[Fed.Psyc]],ResearchInput[[#This Row],[Fed.Soc]],ResearchInput[[#This Row],[Fed.Othr]],ResearchInput[[#This Row],[Fed.Non]])</f>
        <v>0</v>
      </c>
      <c r="GS67" s="92">
        <f>SUM(ResearchInput[[#This Row],[St.Comp]],ResearchInput[[#This Row],[St.Eng]],ResearchInput[[#This Row],[St.Geo]],ResearchInput[[#This Row],[St.Life]],ResearchInput[[#This Row],[St.Math]],ResearchInput[[#This Row],[St.Phys]],ResearchInput[[#This Row],[St.Psyc]],ResearchInput[[#This Row],[St.Soc]],ResearchInput[[#This Row],[St.Othr]],ResearchInput[[#This Row],[St.Non]])</f>
        <v>0</v>
      </c>
      <c r="GT67" s="92">
        <f>SUM(ResearchInput[[#This Row],[St.C&amp;G.Comp]],ResearchInput[[#This Row],[St.C&amp;G.Eng]],ResearchInput[[#This Row],[St.C&amp;G.Geo]],ResearchInput[[#This Row],[St.C&amp;G.Life]],ResearchInput[[#This Row],[St.C&amp;G.Math]],ResearchInput[[#This Row],[St.C&amp;G.Phys]],ResearchInput[[#This Row],[St.C&amp;G.Psyc]],ResearchInput[[#This Row],[St.C&amp;G.Soc]],ResearchInput[[#This Row],[St.C&amp;G.Othr]],ResearchInput[[#This Row],[St.C&amp;G.Non]])</f>
        <v>0</v>
      </c>
      <c r="GU67" s="92">
        <f>SUM(ResearchInput[[#This Row],[St.All.Comp]],ResearchInput[[#This Row],[St.All.Eng]],ResearchInput[[#This Row],[St.All.Geo]],ResearchInput[[#This Row],[St.All.Life]],ResearchInput[[#This Row],[St.All.Math]],ResearchInput[[#This Row],[St.All.Phys]],ResearchInput[[#This Row],[St.All.Psyc]],ResearchInput[[#This Row],[St.All.Soc]],ResearchInput[[#This Row],[St.All.Othr]],ResearchInput[[#This Row],[St.All.Non]])</f>
        <v>0</v>
      </c>
      <c r="GV67" s="92">
        <f>SUM(ResearchInput[[#This Row],[Inst.Comp]],ResearchInput[[#This Row],[Inst.Eng]],ResearchInput[[#This Row],[Inst.Geo]],ResearchInput[[#This Row],[Inst.Life]],ResearchInput[[#This Row],[Inst.Math]],ResearchInput[[#This Row],[Inst.Phys]],ResearchInput[[#This Row],[Inst.Psyc]],ResearchInput[[#This Row],[Inst.Soc]],ResearchInput[[#This Row],[Inst.Othr]],ResearchInput[[#This Row],[Inst.Non]])</f>
        <v>0</v>
      </c>
      <c r="GW67" s="92">
        <f>SUM(ResearchInput[[#This Row],[P4P.Comp]],ResearchInput[[#This Row],[P4P.Eng]],ResearchInput[[#This Row],[P4P.Geo]],ResearchInput[[#This Row],[P4P.Life]],ResearchInput[[#This Row],[P4P.Math]],ResearchInput[[#This Row],[P4P.Phys]],ResearchInput[[#This Row],[P4P.Psyc]],ResearchInput[[#This Row],[P4P.Soc]],ResearchInput[[#This Row],[P4P.Othr]],ResearchInput[[#This Row],[P4P.Non]])</f>
        <v>0</v>
      </c>
      <c r="GX67" s="92">
        <f>SUM(ResearchInput[[#This Row],[PNP.Comp]],ResearchInput[[#This Row],[PNP.Eng]],ResearchInput[[#This Row],[PNP.Geo]],ResearchInput[[#This Row],[PNP.Life]],ResearchInput[[#This Row],[PNP.Math]],ResearchInput[[#This Row],[PNP.Phys]],ResearchInput[[#This Row],[PNP.Psyc]],ResearchInput[[#This Row],[PNP.Soc]],ResearchInput[[#This Row],[PNP.Othr]],ResearchInput[[#This Row],[PNP.Non]])</f>
        <v>0</v>
      </c>
      <c r="GY67" s="92">
        <f>SUM(ResearchInput[[#This Row],[P.All.Comp]],ResearchInput[[#This Row],[P.All.Eng]],ResearchInput[[#This Row],[P.All.Geo]],ResearchInput[[#This Row],[P.All.Life]],ResearchInput[[#This Row],[P.All.Math]],ResearchInput[[#This Row],[P.All.Phys]],ResearchInput[[#This Row],[P.All.Psyc]],ResearchInput[[#This Row],[P.All.Soc]],ResearchInput[[#This Row],[P.All.Othr]],ResearchInput[[#This Row],[P.All.Non]])</f>
        <v>0</v>
      </c>
    </row>
    <row r="68" spans="1:207" s="47" customFormat="1" ht="27" customHeight="1" x14ac:dyDescent="0.25">
      <c r="A68" s="34" t="s">
        <v>215</v>
      </c>
      <c r="B68" s="34" t="s">
        <v>685</v>
      </c>
      <c r="C68" s="35" t="s">
        <v>686</v>
      </c>
      <c r="D68" s="35" t="s">
        <v>686</v>
      </c>
      <c r="E68" s="94">
        <v>1003</v>
      </c>
      <c r="F68" s="35" t="s">
        <v>714</v>
      </c>
      <c r="G68" s="35" t="s">
        <v>553</v>
      </c>
      <c r="H68" s="96">
        <v>33965</v>
      </c>
      <c r="I68" s="92">
        <v>0</v>
      </c>
      <c r="J68" s="92">
        <v>0</v>
      </c>
      <c r="K68" s="92">
        <v>0</v>
      </c>
      <c r="L68" s="92">
        <v>0</v>
      </c>
      <c r="M68" s="92">
        <v>12</v>
      </c>
      <c r="N68" s="92">
        <v>0</v>
      </c>
      <c r="O68" s="92">
        <v>0</v>
      </c>
      <c r="P68" s="92">
        <v>0</v>
      </c>
      <c r="Q68" s="92">
        <v>0</v>
      </c>
      <c r="R68" s="92">
        <v>0</v>
      </c>
      <c r="S68" s="92">
        <v>0</v>
      </c>
      <c r="T68" s="92">
        <v>0</v>
      </c>
      <c r="U68" s="92">
        <v>-12</v>
      </c>
      <c r="V68" s="92">
        <v>0</v>
      </c>
      <c r="W68" s="92">
        <v>0</v>
      </c>
      <c r="X68" s="92">
        <v>0</v>
      </c>
      <c r="Y68" s="92">
        <v>0</v>
      </c>
      <c r="Z68" s="92">
        <v>0</v>
      </c>
      <c r="AA68" s="92">
        <v>0</v>
      </c>
      <c r="AB68" s="92">
        <v>0</v>
      </c>
      <c r="AC68" s="92">
        <v>0</v>
      </c>
      <c r="AD68" s="92">
        <v>0</v>
      </c>
      <c r="AE68" s="92">
        <v>0</v>
      </c>
      <c r="AF68" s="92">
        <v>0</v>
      </c>
      <c r="AG68" s="92">
        <v>0</v>
      </c>
      <c r="AH68" s="92">
        <v>0</v>
      </c>
      <c r="AI68" s="92">
        <v>0</v>
      </c>
      <c r="AJ68" s="92">
        <v>0</v>
      </c>
      <c r="AK68" s="92">
        <v>0</v>
      </c>
      <c r="AL68" s="92">
        <v>0</v>
      </c>
      <c r="AM68" s="92">
        <v>0</v>
      </c>
      <c r="AN68" s="92">
        <v>0</v>
      </c>
      <c r="AO68" s="92">
        <v>0</v>
      </c>
      <c r="AP68" s="92">
        <v>0</v>
      </c>
      <c r="AQ68" s="92">
        <v>0</v>
      </c>
      <c r="AR68" s="92">
        <v>0</v>
      </c>
      <c r="AS68" s="92">
        <v>0</v>
      </c>
      <c r="AT68" s="92">
        <v>0</v>
      </c>
      <c r="AU68" s="92">
        <v>0</v>
      </c>
      <c r="AV68" s="92">
        <v>0</v>
      </c>
      <c r="AW68" s="92">
        <v>0</v>
      </c>
      <c r="AX68" s="92">
        <v>0</v>
      </c>
      <c r="AY68" s="92">
        <v>0</v>
      </c>
      <c r="AZ68" s="92">
        <v>0</v>
      </c>
      <c r="BA68" s="92">
        <v>0</v>
      </c>
      <c r="BB68" s="92">
        <v>0</v>
      </c>
      <c r="BC68" s="92">
        <v>0</v>
      </c>
      <c r="BD68" s="92">
        <v>0</v>
      </c>
      <c r="BE68" s="92">
        <v>0</v>
      </c>
      <c r="BF68" s="92">
        <v>0</v>
      </c>
      <c r="BG68" s="92">
        <v>0</v>
      </c>
      <c r="BH68" s="92">
        <v>0</v>
      </c>
      <c r="BI68" s="92">
        <v>0</v>
      </c>
      <c r="BJ68" s="92">
        <v>0</v>
      </c>
      <c r="BK68" s="92">
        <v>0</v>
      </c>
      <c r="BL68" s="92">
        <v>0</v>
      </c>
      <c r="BM68" s="92">
        <v>0</v>
      </c>
      <c r="BN68" s="92">
        <v>0</v>
      </c>
      <c r="BO68" s="92">
        <v>0</v>
      </c>
      <c r="BP68" s="92">
        <v>0</v>
      </c>
      <c r="BQ68" s="92">
        <v>0</v>
      </c>
      <c r="BR68" s="92">
        <v>0</v>
      </c>
      <c r="BS68" s="92">
        <v>0</v>
      </c>
      <c r="BT68" s="92">
        <v>0</v>
      </c>
      <c r="BU68" s="92">
        <v>0</v>
      </c>
      <c r="BV68" s="92">
        <v>0</v>
      </c>
      <c r="BW68" s="92">
        <v>0</v>
      </c>
      <c r="BX68" s="92">
        <v>0</v>
      </c>
      <c r="BY68" s="92">
        <v>0</v>
      </c>
      <c r="BZ68" s="92">
        <v>0</v>
      </c>
      <c r="CA68" s="92">
        <v>0</v>
      </c>
      <c r="CB68" s="92">
        <v>0</v>
      </c>
      <c r="CC68" s="92">
        <v>0</v>
      </c>
      <c r="CD68" s="92">
        <v>0</v>
      </c>
      <c r="CE68" s="92">
        <v>0</v>
      </c>
      <c r="CF68" s="92">
        <v>0</v>
      </c>
      <c r="CG68" s="92">
        <v>0</v>
      </c>
      <c r="CH68" s="92">
        <v>0</v>
      </c>
      <c r="CI68" s="92">
        <v>0</v>
      </c>
      <c r="CJ68" s="92">
        <v>0</v>
      </c>
      <c r="CK68" s="92">
        <v>0</v>
      </c>
      <c r="CL68" s="92">
        <v>0</v>
      </c>
      <c r="CM68" s="92">
        <v>0</v>
      </c>
      <c r="CN68" s="92">
        <v>0</v>
      </c>
      <c r="CO68" s="92">
        <v>0</v>
      </c>
      <c r="CP68" s="92">
        <v>0</v>
      </c>
      <c r="CQ68" s="92">
        <v>0</v>
      </c>
      <c r="CR68" s="92">
        <v>0</v>
      </c>
      <c r="CS68" s="92">
        <v>0</v>
      </c>
      <c r="CT68" s="92">
        <v>0</v>
      </c>
      <c r="CU68" s="92">
        <v>0</v>
      </c>
      <c r="CV68" s="92">
        <v>0</v>
      </c>
      <c r="CW68" s="92">
        <v>0</v>
      </c>
      <c r="CX68" s="92">
        <v>0</v>
      </c>
      <c r="CY68" s="92">
        <v>0</v>
      </c>
      <c r="CZ68" s="92">
        <v>0</v>
      </c>
      <c r="DA68" s="92">
        <v>0</v>
      </c>
      <c r="DB68" s="92">
        <v>0</v>
      </c>
      <c r="DC68" s="92">
        <v>0</v>
      </c>
      <c r="DD68" s="92">
        <v>0</v>
      </c>
      <c r="DE68" s="92">
        <v>0</v>
      </c>
      <c r="DF68" s="92">
        <v>0</v>
      </c>
      <c r="DG68" s="92">
        <v>0</v>
      </c>
      <c r="DH68" s="92">
        <v>0</v>
      </c>
      <c r="DI68" s="92">
        <v>0</v>
      </c>
      <c r="DJ68" s="92">
        <v>0</v>
      </c>
      <c r="DK68" s="92">
        <v>0</v>
      </c>
      <c r="DL68" s="92">
        <v>0</v>
      </c>
      <c r="DM68" s="92">
        <v>0</v>
      </c>
      <c r="DN68" s="92">
        <v>0</v>
      </c>
      <c r="DO68" s="92">
        <v>0</v>
      </c>
      <c r="DP68" s="92">
        <v>0</v>
      </c>
      <c r="DQ68" s="92">
        <v>0</v>
      </c>
      <c r="DR68" s="92">
        <v>0</v>
      </c>
      <c r="DS68" s="92">
        <v>0</v>
      </c>
      <c r="DT68" s="92">
        <v>0</v>
      </c>
      <c r="DU68" s="92">
        <v>0</v>
      </c>
      <c r="DV68" s="92">
        <v>0</v>
      </c>
      <c r="DW68" s="92">
        <v>0</v>
      </c>
      <c r="DX68" s="92">
        <v>0</v>
      </c>
      <c r="DY68" s="92">
        <v>0</v>
      </c>
      <c r="DZ68" s="92">
        <v>0</v>
      </c>
      <c r="EA68" s="92">
        <v>0</v>
      </c>
      <c r="EB68" s="92">
        <v>0</v>
      </c>
      <c r="EC68" s="92">
        <v>0</v>
      </c>
      <c r="ED68" s="92">
        <v>0</v>
      </c>
      <c r="EE68" s="92">
        <v>0</v>
      </c>
      <c r="EF68" s="92">
        <v>0</v>
      </c>
      <c r="EG68" s="92">
        <v>0</v>
      </c>
      <c r="EH68" s="92">
        <v>0</v>
      </c>
      <c r="EI68" s="92">
        <v>0</v>
      </c>
      <c r="EJ68" s="92">
        <v>0</v>
      </c>
      <c r="EK68" s="92">
        <v>0</v>
      </c>
      <c r="EL68" s="92">
        <v>0</v>
      </c>
      <c r="EM68" s="92">
        <v>0</v>
      </c>
      <c r="EN68" s="92">
        <v>0</v>
      </c>
      <c r="EO68" s="92">
        <v>0</v>
      </c>
      <c r="EP68" s="92">
        <v>0</v>
      </c>
      <c r="EQ68" s="92">
        <v>0</v>
      </c>
      <c r="ER68" s="92">
        <v>0</v>
      </c>
      <c r="ES68" s="92">
        <v>0</v>
      </c>
      <c r="ET68" s="92">
        <v>0</v>
      </c>
      <c r="EU68" s="92">
        <v>0</v>
      </c>
      <c r="EV68" s="92">
        <v>0</v>
      </c>
      <c r="EW68" s="92">
        <v>0</v>
      </c>
      <c r="EX68" s="92">
        <v>0</v>
      </c>
      <c r="EY68" s="92">
        <v>0</v>
      </c>
      <c r="EZ68" s="92">
        <v>0</v>
      </c>
      <c r="FA68" s="92">
        <v>0</v>
      </c>
      <c r="FB68" s="92">
        <v>0</v>
      </c>
      <c r="FC68" s="92">
        <v>0</v>
      </c>
      <c r="FD68" s="92">
        <v>0</v>
      </c>
      <c r="FE68" s="92">
        <v>0</v>
      </c>
      <c r="FF68" s="92">
        <v>0</v>
      </c>
      <c r="FG68" s="92">
        <v>0</v>
      </c>
      <c r="FH68" s="92">
        <v>0</v>
      </c>
      <c r="FI68" s="92">
        <v>0</v>
      </c>
      <c r="FJ68" s="92">
        <v>0</v>
      </c>
      <c r="FK68" s="92">
        <v>0</v>
      </c>
      <c r="FL68" s="92">
        <v>0</v>
      </c>
      <c r="FM68" s="92">
        <v>0</v>
      </c>
      <c r="FN68" s="92">
        <v>0</v>
      </c>
      <c r="FO68" s="92">
        <v>0</v>
      </c>
      <c r="FP68" s="92">
        <v>0</v>
      </c>
      <c r="FQ68" s="92">
        <v>0</v>
      </c>
      <c r="FR68" s="92">
        <v>0</v>
      </c>
      <c r="FS68" s="92">
        <v>0</v>
      </c>
      <c r="FT68" s="92">
        <v>0</v>
      </c>
      <c r="FU68" s="92">
        <v>0</v>
      </c>
      <c r="FV68" s="92">
        <v>0</v>
      </c>
      <c r="FW68" s="92">
        <v>0</v>
      </c>
      <c r="FX68" s="92">
        <v>0</v>
      </c>
      <c r="FY68" s="92">
        <v>0</v>
      </c>
      <c r="FZ68" s="92">
        <v>0</v>
      </c>
      <c r="GA68" s="92">
        <v>0</v>
      </c>
      <c r="GB68" s="92">
        <v>0</v>
      </c>
      <c r="GC68" s="92">
        <v>0</v>
      </c>
      <c r="GD68" s="92">
        <v>12</v>
      </c>
      <c r="GE68" s="92">
        <v>0</v>
      </c>
      <c r="GF68" s="92">
        <v>14115082</v>
      </c>
      <c r="GG68" s="47" t="s">
        <v>503</v>
      </c>
      <c r="GH68" s="47" t="s">
        <v>504</v>
      </c>
      <c r="GI68" s="93">
        <v>2548673931</v>
      </c>
      <c r="GJ68" s="47" t="s">
        <v>505</v>
      </c>
      <c r="GK68" s="47" t="s">
        <v>506</v>
      </c>
      <c r="GL68" s="47" t="s">
        <v>507</v>
      </c>
      <c r="GM68" s="93">
        <v>9563644058</v>
      </c>
      <c r="GN68" s="47" t="s">
        <v>508</v>
      </c>
      <c r="GO68" s="92" cm="1">
        <f t="array" ref="GO68">IFERROR(_xlfn.IFS(ResearchInput[[#This Row],[Type]]="HRI",SUMIFS('FTSE | FTFE'!$P$8:$P$77,'FTSE | FTFE'!$H$8:$H$77,A68),ResearchInput[[#This Row],[Type]]="UNIV",SUMIFS('FTSE | FTFE'!$P$104:$P$139,'FTSE | FTFE'!$H$104:$H$139,A68),OR(ResearchInput[[#This Row],[Type]]="TSTC",ResearchInput[[#This Row],[Type]]="LSC"),SUMIFS('FTSE | FTFE'!$O$88:$O$96,'FTSE | FTFE'!$H$88:$H$96,A68),ResearchInput[[#This Row],[Type]]="AHM",SUMIFS(Hidden!$H$43:$H$46,Hidden!$G$42:$G$45,A68)),"N/A")</f>
        <v>455</v>
      </c>
      <c r="GP68" s="92" cm="1">
        <f t="array" ref="GP68">IFERROR(_xlfn.IFS(ResearchInput[[#This Row],[Type]]="HRI",SUMIFS('FTSE | FTFE'!$Q$8:$Q$77,'FTSE | FTFE'!$H$8:$H$77,A68),ResearchInput[[#This Row],[Type]]="UNIV",SUMIFS('FTSE | FTFE'!$Q$104:$Q$139,'FTSE | FTFE'!$H$104:$H$139,A68),OR(ResearchInput[[#This Row],[Type]]="TSTC",ResearchInput[[#This Row],[Type]]="LSC"),SUMIFS('FTSE | FTFE'!$P$88:$P$96,'FTSE | FTFE'!$H$88:$H$96,A68)),"N/A")</f>
        <v>31.914999999999999</v>
      </c>
      <c r="GQ68" s="92">
        <v>0</v>
      </c>
      <c r="GR68" s="92">
        <f>SUM(ResearchInput[[#This Row],[Fed.Comp]],ResearchInput[[#This Row],[Fed.Eng]],ResearchInput[[#This Row],[Fed.Geo]],ResearchInput[[#This Row],[Fed.Life]],ResearchInput[[#This Row],[Fed.Math]],ResearchInput[[#This Row],[Fed.Phys]],ResearchInput[[#This Row],[Fed.Psyc]],ResearchInput[[#This Row],[Fed.Soc]],ResearchInput[[#This Row],[Fed.Othr]],ResearchInput[[#This Row],[Fed.Non]])</f>
        <v>0</v>
      </c>
      <c r="GS68" s="92">
        <f>SUM(ResearchInput[[#This Row],[St.Comp]],ResearchInput[[#This Row],[St.Eng]],ResearchInput[[#This Row],[St.Geo]],ResearchInput[[#This Row],[St.Life]],ResearchInput[[#This Row],[St.Math]],ResearchInput[[#This Row],[St.Phys]],ResearchInput[[#This Row],[St.Psyc]],ResearchInput[[#This Row],[St.Soc]],ResearchInput[[#This Row],[St.Othr]],ResearchInput[[#This Row],[St.Non]])</f>
        <v>0</v>
      </c>
      <c r="GT68" s="92">
        <f>SUM(ResearchInput[[#This Row],[St.C&amp;G.Comp]],ResearchInput[[#This Row],[St.C&amp;G.Eng]],ResearchInput[[#This Row],[St.C&amp;G.Geo]],ResearchInput[[#This Row],[St.C&amp;G.Life]],ResearchInput[[#This Row],[St.C&amp;G.Math]],ResearchInput[[#This Row],[St.C&amp;G.Phys]],ResearchInput[[#This Row],[St.C&amp;G.Psyc]],ResearchInput[[#This Row],[St.C&amp;G.Soc]],ResearchInput[[#This Row],[St.C&amp;G.Othr]],ResearchInput[[#This Row],[St.C&amp;G.Non]])</f>
        <v>0</v>
      </c>
      <c r="GU68" s="92">
        <f>SUM(ResearchInput[[#This Row],[St.All.Comp]],ResearchInput[[#This Row],[St.All.Eng]],ResearchInput[[#This Row],[St.All.Geo]],ResearchInput[[#This Row],[St.All.Life]],ResearchInput[[#This Row],[St.All.Math]],ResearchInput[[#This Row],[St.All.Phys]],ResearchInput[[#This Row],[St.All.Psyc]],ResearchInput[[#This Row],[St.All.Soc]],ResearchInput[[#This Row],[St.All.Othr]],ResearchInput[[#This Row],[St.All.Non]])</f>
        <v>0</v>
      </c>
      <c r="GV68" s="92">
        <f>SUM(ResearchInput[[#This Row],[Inst.Comp]],ResearchInput[[#This Row],[Inst.Eng]],ResearchInput[[#This Row],[Inst.Geo]],ResearchInput[[#This Row],[Inst.Life]],ResearchInput[[#This Row],[Inst.Math]],ResearchInput[[#This Row],[Inst.Phys]],ResearchInput[[#This Row],[Inst.Psyc]],ResearchInput[[#This Row],[Inst.Soc]],ResearchInput[[#This Row],[Inst.Othr]],ResearchInput[[#This Row],[Inst.Non]])</f>
        <v>0</v>
      </c>
      <c r="GW68" s="92">
        <f>SUM(ResearchInput[[#This Row],[P4P.Comp]],ResearchInput[[#This Row],[P4P.Eng]],ResearchInput[[#This Row],[P4P.Geo]],ResearchInput[[#This Row],[P4P.Life]],ResearchInput[[#This Row],[P4P.Math]],ResearchInput[[#This Row],[P4P.Phys]],ResearchInput[[#This Row],[P4P.Psyc]],ResearchInput[[#This Row],[P4P.Soc]],ResearchInput[[#This Row],[P4P.Othr]],ResearchInput[[#This Row],[P4P.Non]])</f>
        <v>0</v>
      </c>
      <c r="GX68" s="92">
        <f>SUM(ResearchInput[[#This Row],[PNP.Comp]],ResearchInput[[#This Row],[PNP.Eng]],ResearchInput[[#This Row],[PNP.Geo]],ResearchInput[[#This Row],[PNP.Life]],ResearchInput[[#This Row],[PNP.Math]],ResearchInput[[#This Row],[PNP.Phys]],ResearchInput[[#This Row],[PNP.Psyc]],ResearchInput[[#This Row],[PNP.Soc]],ResearchInput[[#This Row],[PNP.Othr]],ResearchInput[[#This Row],[PNP.Non]])</f>
        <v>0</v>
      </c>
      <c r="GY68" s="92">
        <f>SUM(ResearchInput[[#This Row],[P.All.Comp]],ResearchInput[[#This Row],[P.All.Eng]],ResearchInput[[#This Row],[P.All.Geo]],ResearchInput[[#This Row],[P.All.Life]],ResearchInput[[#This Row],[P.All.Math]],ResearchInput[[#This Row],[P.All.Phys]],ResearchInput[[#This Row],[P.All.Psyc]],ResearchInput[[#This Row],[P.All.Soc]],ResearchInput[[#This Row],[P.All.Othr]],ResearchInput[[#This Row],[P.All.Non]])</f>
        <v>0</v>
      </c>
    </row>
    <row r="69" spans="1:207" s="47" customFormat="1" ht="27" customHeight="1" x14ac:dyDescent="0.25">
      <c r="A69" s="34" t="s">
        <v>216</v>
      </c>
      <c r="B69" s="34" t="s">
        <v>685</v>
      </c>
      <c r="C69" s="35" t="s">
        <v>686</v>
      </c>
      <c r="D69" s="35" t="s">
        <v>686</v>
      </c>
      <c r="E69" s="94">
        <v>1004</v>
      </c>
      <c r="F69" s="35" t="s">
        <v>714</v>
      </c>
      <c r="G69" s="35" t="s">
        <v>553</v>
      </c>
      <c r="H69" s="96">
        <v>3634</v>
      </c>
      <c r="I69" s="92">
        <v>0</v>
      </c>
      <c r="J69" s="92">
        <v>0</v>
      </c>
      <c r="K69" s="92">
        <v>0</v>
      </c>
      <c r="L69" s="92">
        <v>0</v>
      </c>
      <c r="M69" s="92">
        <v>7946</v>
      </c>
      <c r="N69" s="92">
        <v>0</v>
      </c>
      <c r="O69" s="92">
        <v>0</v>
      </c>
      <c r="P69" s="92">
        <v>84330</v>
      </c>
      <c r="Q69" s="92">
        <v>0</v>
      </c>
      <c r="R69" s="92">
        <v>0</v>
      </c>
      <c r="S69" s="92">
        <v>0</v>
      </c>
      <c r="T69" s="92">
        <v>0</v>
      </c>
      <c r="U69" s="92">
        <v>-7946</v>
      </c>
      <c r="V69" s="92">
        <v>0</v>
      </c>
      <c r="W69" s="92">
        <v>0</v>
      </c>
      <c r="X69" s="92">
        <v>-84330</v>
      </c>
      <c r="Y69" s="92">
        <v>0</v>
      </c>
      <c r="Z69" s="92">
        <v>0</v>
      </c>
      <c r="AA69" s="92">
        <v>0</v>
      </c>
      <c r="AB69" s="92">
        <v>0</v>
      </c>
      <c r="AC69" s="92">
        <v>0</v>
      </c>
      <c r="AD69" s="92">
        <v>0</v>
      </c>
      <c r="AE69" s="92">
        <v>0</v>
      </c>
      <c r="AF69" s="92">
        <v>0</v>
      </c>
      <c r="AG69" s="92">
        <v>0</v>
      </c>
      <c r="AH69" s="92">
        <v>0</v>
      </c>
      <c r="AI69" s="92">
        <v>0</v>
      </c>
      <c r="AJ69" s="92">
        <v>0</v>
      </c>
      <c r="AK69" s="92">
        <v>0</v>
      </c>
      <c r="AL69" s="92">
        <v>0</v>
      </c>
      <c r="AM69" s="92">
        <v>0</v>
      </c>
      <c r="AN69" s="92">
        <v>0</v>
      </c>
      <c r="AO69" s="92">
        <v>0</v>
      </c>
      <c r="AP69" s="92">
        <v>0</v>
      </c>
      <c r="AQ69" s="92">
        <v>0</v>
      </c>
      <c r="AR69" s="92">
        <v>0</v>
      </c>
      <c r="AS69" s="92">
        <v>0</v>
      </c>
      <c r="AT69" s="92">
        <v>0</v>
      </c>
      <c r="AU69" s="92">
        <v>0</v>
      </c>
      <c r="AV69" s="92">
        <v>0</v>
      </c>
      <c r="AW69" s="92">
        <v>0</v>
      </c>
      <c r="AX69" s="92">
        <v>0</v>
      </c>
      <c r="AY69" s="92">
        <v>0</v>
      </c>
      <c r="AZ69" s="92">
        <v>0</v>
      </c>
      <c r="BA69" s="92">
        <v>0</v>
      </c>
      <c r="BB69" s="92">
        <v>0</v>
      </c>
      <c r="BC69" s="92">
        <v>0</v>
      </c>
      <c r="BD69" s="92">
        <v>0</v>
      </c>
      <c r="BE69" s="92">
        <v>0</v>
      </c>
      <c r="BF69" s="92">
        <v>0</v>
      </c>
      <c r="BG69" s="92">
        <v>0</v>
      </c>
      <c r="BH69" s="92">
        <v>0</v>
      </c>
      <c r="BI69" s="92">
        <v>0</v>
      </c>
      <c r="BJ69" s="92">
        <v>0</v>
      </c>
      <c r="BK69" s="92">
        <v>0</v>
      </c>
      <c r="BL69" s="92">
        <v>0</v>
      </c>
      <c r="BM69" s="92">
        <v>0</v>
      </c>
      <c r="BN69" s="92">
        <v>0</v>
      </c>
      <c r="BO69" s="92">
        <v>0</v>
      </c>
      <c r="BP69" s="92">
        <v>0</v>
      </c>
      <c r="BQ69" s="92">
        <v>0</v>
      </c>
      <c r="BR69" s="92">
        <v>0</v>
      </c>
      <c r="BS69" s="92">
        <v>0</v>
      </c>
      <c r="BT69" s="92">
        <v>0</v>
      </c>
      <c r="BU69" s="92">
        <v>0</v>
      </c>
      <c r="BV69" s="92">
        <v>0</v>
      </c>
      <c r="BW69" s="92">
        <v>0</v>
      </c>
      <c r="BX69" s="92">
        <v>0</v>
      </c>
      <c r="BY69" s="92">
        <v>0</v>
      </c>
      <c r="BZ69" s="92">
        <v>0</v>
      </c>
      <c r="CA69" s="92">
        <v>0</v>
      </c>
      <c r="CB69" s="92">
        <v>0</v>
      </c>
      <c r="CC69" s="92">
        <v>0</v>
      </c>
      <c r="CD69" s="92">
        <v>0</v>
      </c>
      <c r="CE69" s="92">
        <v>0</v>
      </c>
      <c r="CF69" s="92">
        <v>0</v>
      </c>
      <c r="CG69" s="92">
        <v>0</v>
      </c>
      <c r="CH69" s="92">
        <v>0</v>
      </c>
      <c r="CI69" s="92">
        <v>0</v>
      </c>
      <c r="CJ69" s="92">
        <v>0</v>
      </c>
      <c r="CK69" s="92">
        <v>0</v>
      </c>
      <c r="CL69" s="92">
        <v>0</v>
      </c>
      <c r="CM69" s="92">
        <v>0</v>
      </c>
      <c r="CN69" s="92">
        <v>0</v>
      </c>
      <c r="CO69" s="92">
        <v>0</v>
      </c>
      <c r="CP69" s="92">
        <v>0</v>
      </c>
      <c r="CQ69" s="92">
        <v>0</v>
      </c>
      <c r="CR69" s="92">
        <v>0</v>
      </c>
      <c r="CS69" s="92">
        <v>0</v>
      </c>
      <c r="CT69" s="92">
        <v>0</v>
      </c>
      <c r="CU69" s="92">
        <v>0</v>
      </c>
      <c r="CV69" s="92">
        <v>0</v>
      </c>
      <c r="CW69" s="92">
        <v>0</v>
      </c>
      <c r="CX69" s="92">
        <v>0</v>
      </c>
      <c r="CY69" s="92">
        <v>0</v>
      </c>
      <c r="CZ69" s="92">
        <v>0</v>
      </c>
      <c r="DA69" s="92">
        <v>0</v>
      </c>
      <c r="DB69" s="92">
        <v>0</v>
      </c>
      <c r="DC69" s="92">
        <v>0</v>
      </c>
      <c r="DD69" s="92">
        <v>0</v>
      </c>
      <c r="DE69" s="92">
        <v>0</v>
      </c>
      <c r="DF69" s="92">
        <v>0</v>
      </c>
      <c r="DG69" s="92">
        <v>0</v>
      </c>
      <c r="DH69" s="92">
        <v>0</v>
      </c>
      <c r="DI69" s="92">
        <v>0</v>
      </c>
      <c r="DJ69" s="92">
        <v>0</v>
      </c>
      <c r="DK69" s="92">
        <v>0</v>
      </c>
      <c r="DL69" s="92">
        <v>0</v>
      </c>
      <c r="DM69" s="92">
        <v>0</v>
      </c>
      <c r="DN69" s="92">
        <v>0</v>
      </c>
      <c r="DO69" s="92">
        <v>0</v>
      </c>
      <c r="DP69" s="92">
        <v>0</v>
      </c>
      <c r="DQ69" s="92">
        <v>0</v>
      </c>
      <c r="DR69" s="92">
        <v>0</v>
      </c>
      <c r="DS69" s="92">
        <v>0</v>
      </c>
      <c r="DT69" s="92">
        <v>0</v>
      </c>
      <c r="DU69" s="92">
        <v>0</v>
      </c>
      <c r="DV69" s="92">
        <v>0</v>
      </c>
      <c r="DW69" s="92">
        <v>0</v>
      </c>
      <c r="DX69" s="92">
        <v>0</v>
      </c>
      <c r="DY69" s="92">
        <v>0</v>
      </c>
      <c r="DZ69" s="92">
        <v>0</v>
      </c>
      <c r="EA69" s="92">
        <v>0</v>
      </c>
      <c r="EB69" s="92">
        <v>0</v>
      </c>
      <c r="EC69" s="92">
        <v>0</v>
      </c>
      <c r="ED69" s="92">
        <v>0</v>
      </c>
      <c r="EE69" s="92">
        <v>0</v>
      </c>
      <c r="EF69" s="92">
        <v>0</v>
      </c>
      <c r="EG69" s="92">
        <v>0</v>
      </c>
      <c r="EH69" s="92">
        <v>0</v>
      </c>
      <c r="EI69" s="92">
        <v>0</v>
      </c>
      <c r="EJ69" s="92">
        <v>0</v>
      </c>
      <c r="EK69" s="92">
        <v>0</v>
      </c>
      <c r="EL69" s="92">
        <v>0</v>
      </c>
      <c r="EM69" s="92">
        <v>0</v>
      </c>
      <c r="EN69" s="92">
        <v>0</v>
      </c>
      <c r="EO69" s="92">
        <v>0</v>
      </c>
      <c r="EP69" s="92">
        <v>0</v>
      </c>
      <c r="EQ69" s="92">
        <v>0</v>
      </c>
      <c r="ER69" s="92">
        <v>0</v>
      </c>
      <c r="ES69" s="92">
        <v>0</v>
      </c>
      <c r="ET69" s="92">
        <v>0</v>
      </c>
      <c r="EU69" s="92">
        <v>0</v>
      </c>
      <c r="EV69" s="92">
        <v>0</v>
      </c>
      <c r="EW69" s="92">
        <v>0</v>
      </c>
      <c r="EX69" s="92">
        <v>0</v>
      </c>
      <c r="EY69" s="92">
        <v>0</v>
      </c>
      <c r="EZ69" s="92">
        <v>0</v>
      </c>
      <c r="FA69" s="92">
        <v>0</v>
      </c>
      <c r="FB69" s="92">
        <v>0</v>
      </c>
      <c r="FC69" s="92">
        <v>0</v>
      </c>
      <c r="FD69" s="92">
        <v>0</v>
      </c>
      <c r="FE69" s="92">
        <v>0</v>
      </c>
      <c r="FF69" s="92">
        <v>0</v>
      </c>
      <c r="FG69" s="92">
        <v>0</v>
      </c>
      <c r="FH69" s="92">
        <v>0</v>
      </c>
      <c r="FI69" s="92">
        <v>0</v>
      </c>
      <c r="FJ69" s="92">
        <v>0</v>
      </c>
      <c r="FK69" s="92">
        <v>0</v>
      </c>
      <c r="FL69" s="92">
        <v>0</v>
      </c>
      <c r="FM69" s="92">
        <v>0</v>
      </c>
      <c r="FN69" s="92">
        <v>0</v>
      </c>
      <c r="FO69" s="92">
        <v>0</v>
      </c>
      <c r="FP69" s="92">
        <v>0</v>
      </c>
      <c r="FQ69" s="92">
        <v>0</v>
      </c>
      <c r="FR69" s="92">
        <v>0</v>
      </c>
      <c r="FS69" s="92">
        <v>0</v>
      </c>
      <c r="FT69" s="92">
        <v>0</v>
      </c>
      <c r="FU69" s="92">
        <v>0</v>
      </c>
      <c r="FV69" s="92">
        <v>0</v>
      </c>
      <c r="FW69" s="92">
        <v>0</v>
      </c>
      <c r="FX69" s="92">
        <v>0</v>
      </c>
      <c r="FY69" s="92">
        <v>0</v>
      </c>
      <c r="FZ69" s="92">
        <v>0</v>
      </c>
      <c r="GA69" s="92">
        <v>0</v>
      </c>
      <c r="GB69" s="92">
        <v>0</v>
      </c>
      <c r="GC69" s="92">
        <v>0</v>
      </c>
      <c r="GD69" s="92">
        <v>92276</v>
      </c>
      <c r="GE69" s="92">
        <v>92198</v>
      </c>
      <c r="GF69" s="92">
        <v>121246142</v>
      </c>
      <c r="GG69" s="47" t="s">
        <v>503</v>
      </c>
      <c r="GH69" s="47" t="s">
        <v>504</v>
      </c>
      <c r="GI69" s="93">
        <v>2548673931</v>
      </c>
      <c r="GJ69" s="47" t="s">
        <v>505</v>
      </c>
      <c r="GK69" s="47" t="s">
        <v>506</v>
      </c>
      <c r="GL69" s="47" t="s">
        <v>507</v>
      </c>
      <c r="GM69" s="93">
        <v>9563644058</v>
      </c>
      <c r="GN69" s="47" t="s">
        <v>508</v>
      </c>
      <c r="GO69" s="92" cm="1">
        <f t="array" ref="GO69">IFERROR(_xlfn.IFS(ResearchInput[[#This Row],[Type]]="HRI",SUMIFS('FTSE | FTFE'!$P$8:$P$77,'FTSE | FTFE'!$H$8:$H$77,A69),ResearchInput[[#This Row],[Type]]="UNIV",SUMIFS('FTSE | FTFE'!$P$104:$P$139,'FTSE | FTFE'!$H$104:$H$139,A69),OR(ResearchInput[[#This Row],[Type]]="TSTC",ResearchInput[[#This Row],[Type]]="LSC"),SUMIFS('FTSE | FTFE'!$O$88:$O$96,'FTSE | FTFE'!$H$88:$H$96,A69),ResearchInput[[#This Row],[Type]]="AHM",SUMIFS(Hidden!$H$43:$H$46,Hidden!$G$42:$G$45,A69)),"N/A")</f>
        <v>5960</v>
      </c>
      <c r="GP69" s="92" cm="1">
        <f t="array" ref="GP69">IFERROR(_xlfn.IFS(ResearchInput[[#This Row],[Type]]="HRI",SUMIFS('FTSE | FTFE'!$Q$8:$Q$77,'FTSE | FTFE'!$H$8:$H$77,A69),ResearchInput[[#This Row],[Type]]="UNIV",SUMIFS('FTSE | FTFE'!$Q$104:$Q$139,'FTSE | FTFE'!$H$104:$H$139,A69),OR(ResearchInput[[#This Row],[Type]]="TSTC",ResearchInput[[#This Row],[Type]]="LSC"),SUMIFS('FTSE | FTFE'!$P$88:$P$96,'FTSE | FTFE'!$H$88:$H$96,A69)),"N/A")</f>
        <v>315.39499999999998</v>
      </c>
      <c r="GQ69" s="92">
        <v>0</v>
      </c>
      <c r="GR69" s="92">
        <f>SUM(ResearchInput[[#This Row],[Fed.Comp]],ResearchInput[[#This Row],[Fed.Eng]],ResearchInput[[#This Row],[Fed.Geo]],ResearchInput[[#This Row],[Fed.Life]],ResearchInput[[#This Row],[Fed.Math]],ResearchInput[[#This Row],[Fed.Phys]],ResearchInput[[#This Row],[Fed.Psyc]],ResearchInput[[#This Row],[Fed.Soc]],ResearchInput[[#This Row],[Fed.Othr]],ResearchInput[[#This Row],[Fed.Non]])</f>
        <v>0</v>
      </c>
      <c r="GS69" s="92">
        <f>SUM(ResearchInput[[#This Row],[St.Comp]],ResearchInput[[#This Row],[St.Eng]],ResearchInput[[#This Row],[St.Geo]],ResearchInput[[#This Row],[St.Life]],ResearchInput[[#This Row],[St.Math]],ResearchInput[[#This Row],[St.Phys]],ResearchInput[[#This Row],[St.Psyc]],ResearchInput[[#This Row],[St.Soc]],ResearchInput[[#This Row],[St.Othr]],ResearchInput[[#This Row],[St.Non]])</f>
        <v>0</v>
      </c>
      <c r="GT69" s="92">
        <f>SUM(ResearchInput[[#This Row],[St.C&amp;G.Comp]],ResearchInput[[#This Row],[St.C&amp;G.Eng]],ResearchInput[[#This Row],[St.C&amp;G.Geo]],ResearchInput[[#This Row],[St.C&amp;G.Life]],ResearchInput[[#This Row],[St.C&amp;G.Math]],ResearchInput[[#This Row],[St.C&amp;G.Phys]],ResearchInput[[#This Row],[St.C&amp;G.Psyc]],ResearchInput[[#This Row],[St.C&amp;G.Soc]],ResearchInput[[#This Row],[St.C&amp;G.Othr]],ResearchInput[[#This Row],[St.C&amp;G.Non]])</f>
        <v>0</v>
      </c>
      <c r="GU69" s="92">
        <f>SUM(ResearchInput[[#This Row],[St.All.Comp]],ResearchInput[[#This Row],[St.All.Eng]],ResearchInput[[#This Row],[St.All.Geo]],ResearchInput[[#This Row],[St.All.Life]],ResearchInput[[#This Row],[St.All.Math]],ResearchInput[[#This Row],[St.All.Phys]],ResearchInput[[#This Row],[St.All.Psyc]],ResearchInput[[#This Row],[St.All.Soc]],ResearchInput[[#This Row],[St.All.Othr]],ResearchInput[[#This Row],[St.All.Non]])</f>
        <v>0</v>
      </c>
      <c r="GV69" s="92">
        <f>SUM(ResearchInput[[#This Row],[Inst.Comp]],ResearchInput[[#This Row],[Inst.Eng]],ResearchInput[[#This Row],[Inst.Geo]],ResearchInput[[#This Row],[Inst.Life]],ResearchInput[[#This Row],[Inst.Math]],ResearchInput[[#This Row],[Inst.Phys]],ResearchInput[[#This Row],[Inst.Psyc]],ResearchInput[[#This Row],[Inst.Soc]],ResearchInput[[#This Row],[Inst.Othr]],ResearchInput[[#This Row],[Inst.Non]])</f>
        <v>0</v>
      </c>
      <c r="GW69" s="92">
        <f>SUM(ResearchInput[[#This Row],[P4P.Comp]],ResearchInput[[#This Row],[P4P.Eng]],ResearchInput[[#This Row],[P4P.Geo]],ResearchInput[[#This Row],[P4P.Life]],ResearchInput[[#This Row],[P4P.Math]],ResearchInput[[#This Row],[P4P.Phys]],ResearchInput[[#This Row],[P4P.Psyc]],ResearchInput[[#This Row],[P4P.Soc]],ResearchInput[[#This Row],[P4P.Othr]],ResearchInput[[#This Row],[P4P.Non]])</f>
        <v>0</v>
      </c>
      <c r="GX69" s="92">
        <f>SUM(ResearchInput[[#This Row],[PNP.Comp]],ResearchInput[[#This Row],[PNP.Eng]],ResearchInput[[#This Row],[PNP.Geo]],ResearchInput[[#This Row],[PNP.Life]],ResearchInput[[#This Row],[PNP.Math]],ResearchInput[[#This Row],[PNP.Phys]],ResearchInput[[#This Row],[PNP.Psyc]],ResearchInput[[#This Row],[PNP.Soc]],ResearchInput[[#This Row],[PNP.Othr]],ResearchInput[[#This Row],[PNP.Non]])</f>
        <v>0</v>
      </c>
      <c r="GY69" s="92">
        <f>SUM(ResearchInput[[#This Row],[P.All.Comp]],ResearchInput[[#This Row],[P.All.Eng]],ResearchInput[[#This Row],[P.All.Geo]],ResearchInput[[#This Row],[P.All.Life]],ResearchInput[[#This Row],[P.All.Math]],ResearchInput[[#This Row],[P.All.Phys]],ResearchInput[[#This Row],[P.All.Psyc]],ResearchInput[[#This Row],[P.All.Soc]],ResearchInput[[#This Row],[P.All.Othr]],ResearchInput[[#This Row],[P.All.Non]])</f>
        <v>0</v>
      </c>
    </row>
    <row r="70" spans="1:207" s="47" customFormat="1" ht="27" customHeight="1" x14ac:dyDescent="0.25">
      <c r="A70" s="34" t="s">
        <v>218</v>
      </c>
      <c r="B70" s="34" t="s">
        <v>685</v>
      </c>
      <c r="C70" s="35" t="s">
        <v>686</v>
      </c>
      <c r="D70" s="35" t="s">
        <v>686</v>
      </c>
      <c r="E70" s="94">
        <v>1005</v>
      </c>
      <c r="F70" s="35" t="s">
        <v>714</v>
      </c>
      <c r="G70" s="35" t="s">
        <v>553</v>
      </c>
      <c r="H70" s="96">
        <v>203634</v>
      </c>
      <c r="I70" s="92">
        <v>0</v>
      </c>
      <c r="J70" s="92">
        <v>0</v>
      </c>
      <c r="K70" s="92">
        <v>0</v>
      </c>
      <c r="L70" s="92">
        <v>0</v>
      </c>
      <c r="M70" s="92">
        <v>467</v>
      </c>
      <c r="N70" s="92">
        <v>0</v>
      </c>
      <c r="O70" s="92">
        <v>0</v>
      </c>
      <c r="P70" s="92">
        <v>-3</v>
      </c>
      <c r="Q70" s="92">
        <v>0</v>
      </c>
      <c r="R70" s="92">
        <v>0</v>
      </c>
      <c r="S70" s="92">
        <v>0</v>
      </c>
      <c r="T70" s="92">
        <v>0</v>
      </c>
      <c r="U70" s="92">
        <v>-467</v>
      </c>
      <c r="V70" s="92">
        <v>0</v>
      </c>
      <c r="W70" s="92">
        <v>0</v>
      </c>
      <c r="X70" s="92">
        <v>3</v>
      </c>
      <c r="Y70" s="92">
        <v>0</v>
      </c>
      <c r="Z70" s="92">
        <v>0</v>
      </c>
      <c r="AA70" s="92">
        <v>0</v>
      </c>
      <c r="AB70" s="92">
        <v>0</v>
      </c>
      <c r="AC70" s="92">
        <v>0</v>
      </c>
      <c r="AD70" s="92">
        <v>0</v>
      </c>
      <c r="AE70" s="92">
        <v>0</v>
      </c>
      <c r="AF70" s="92">
        <v>0</v>
      </c>
      <c r="AG70" s="92">
        <v>0</v>
      </c>
      <c r="AH70" s="92">
        <v>0</v>
      </c>
      <c r="AI70" s="92">
        <v>0</v>
      </c>
      <c r="AJ70" s="92">
        <v>0</v>
      </c>
      <c r="AK70" s="92">
        <v>0</v>
      </c>
      <c r="AL70" s="92">
        <v>0</v>
      </c>
      <c r="AM70" s="92">
        <v>0</v>
      </c>
      <c r="AN70" s="92">
        <v>0</v>
      </c>
      <c r="AO70" s="92">
        <v>0</v>
      </c>
      <c r="AP70" s="92">
        <v>0</v>
      </c>
      <c r="AQ70" s="92">
        <v>0</v>
      </c>
      <c r="AR70" s="92">
        <v>0</v>
      </c>
      <c r="AS70" s="92">
        <v>0</v>
      </c>
      <c r="AT70" s="92">
        <v>0</v>
      </c>
      <c r="AU70" s="92">
        <v>0</v>
      </c>
      <c r="AV70" s="92">
        <v>0</v>
      </c>
      <c r="AW70" s="92">
        <v>0</v>
      </c>
      <c r="AX70" s="92">
        <v>0</v>
      </c>
      <c r="AY70" s="92">
        <v>0</v>
      </c>
      <c r="AZ70" s="92">
        <v>0</v>
      </c>
      <c r="BA70" s="92">
        <v>0</v>
      </c>
      <c r="BB70" s="92">
        <v>0</v>
      </c>
      <c r="BC70" s="92">
        <v>0</v>
      </c>
      <c r="BD70" s="92">
        <v>0</v>
      </c>
      <c r="BE70" s="92">
        <v>0</v>
      </c>
      <c r="BF70" s="92">
        <v>0</v>
      </c>
      <c r="BG70" s="92">
        <v>0</v>
      </c>
      <c r="BH70" s="92">
        <v>0</v>
      </c>
      <c r="BI70" s="92">
        <v>0</v>
      </c>
      <c r="BJ70" s="92">
        <v>0</v>
      </c>
      <c r="BK70" s="92">
        <v>0</v>
      </c>
      <c r="BL70" s="92">
        <v>0</v>
      </c>
      <c r="BM70" s="92">
        <v>0</v>
      </c>
      <c r="BN70" s="92">
        <v>0</v>
      </c>
      <c r="BO70" s="92">
        <v>0</v>
      </c>
      <c r="BP70" s="92">
        <v>0</v>
      </c>
      <c r="BQ70" s="92">
        <v>0</v>
      </c>
      <c r="BR70" s="92">
        <v>0</v>
      </c>
      <c r="BS70" s="92">
        <v>0</v>
      </c>
      <c r="BT70" s="92">
        <v>0</v>
      </c>
      <c r="BU70" s="92">
        <v>0</v>
      </c>
      <c r="BV70" s="92">
        <v>0</v>
      </c>
      <c r="BW70" s="92">
        <v>0</v>
      </c>
      <c r="BX70" s="92">
        <v>0</v>
      </c>
      <c r="BY70" s="92">
        <v>0</v>
      </c>
      <c r="BZ70" s="92">
        <v>0</v>
      </c>
      <c r="CA70" s="92">
        <v>0</v>
      </c>
      <c r="CB70" s="92">
        <v>0</v>
      </c>
      <c r="CC70" s="92">
        <v>0</v>
      </c>
      <c r="CD70" s="92">
        <v>0</v>
      </c>
      <c r="CE70" s="92">
        <v>0</v>
      </c>
      <c r="CF70" s="92">
        <v>0</v>
      </c>
      <c r="CG70" s="92">
        <v>0</v>
      </c>
      <c r="CH70" s="92">
        <v>0</v>
      </c>
      <c r="CI70" s="92">
        <v>0</v>
      </c>
      <c r="CJ70" s="92">
        <v>0</v>
      </c>
      <c r="CK70" s="92">
        <v>0</v>
      </c>
      <c r="CL70" s="92">
        <v>0</v>
      </c>
      <c r="CM70" s="92">
        <v>0</v>
      </c>
      <c r="CN70" s="92">
        <v>0</v>
      </c>
      <c r="CO70" s="92">
        <v>0</v>
      </c>
      <c r="CP70" s="92">
        <v>0</v>
      </c>
      <c r="CQ70" s="92">
        <v>0</v>
      </c>
      <c r="CR70" s="92">
        <v>0</v>
      </c>
      <c r="CS70" s="92">
        <v>0</v>
      </c>
      <c r="CT70" s="92">
        <v>0</v>
      </c>
      <c r="CU70" s="92">
        <v>0</v>
      </c>
      <c r="CV70" s="92">
        <v>0</v>
      </c>
      <c r="CW70" s="92">
        <v>0</v>
      </c>
      <c r="CX70" s="92">
        <v>0</v>
      </c>
      <c r="CY70" s="92">
        <v>0</v>
      </c>
      <c r="CZ70" s="92">
        <v>0</v>
      </c>
      <c r="DA70" s="92">
        <v>0</v>
      </c>
      <c r="DB70" s="92">
        <v>0</v>
      </c>
      <c r="DC70" s="92">
        <v>0</v>
      </c>
      <c r="DD70" s="92">
        <v>0</v>
      </c>
      <c r="DE70" s="92">
        <v>0</v>
      </c>
      <c r="DF70" s="92">
        <v>0</v>
      </c>
      <c r="DG70" s="92">
        <v>0</v>
      </c>
      <c r="DH70" s="92">
        <v>0</v>
      </c>
      <c r="DI70" s="92">
        <v>0</v>
      </c>
      <c r="DJ70" s="92">
        <v>0</v>
      </c>
      <c r="DK70" s="92">
        <v>0</v>
      </c>
      <c r="DL70" s="92">
        <v>0</v>
      </c>
      <c r="DM70" s="92">
        <v>0</v>
      </c>
      <c r="DN70" s="92">
        <v>0</v>
      </c>
      <c r="DO70" s="92">
        <v>0</v>
      </c>
      <c r="DP70" s="92">
        <v>0</v>
      </c>
      <c r="DQ70" s="92">
        <v>0</v>
      </c>
      <c r="DR70" s="92">
        <v>0</v>
      </c>
      <c r="DS70" s="92">
        <v>0</v>
      </c>
      <c r="DT70" s="92">
        <v>0</v>
      </c>
      <c r="DU70" s="92">
        <v>0</v>
      </c>
      <c r="DV70" s="92">
        <v>0</v>
      </c>
      <c r="DW70" s="92">
        <v>0</v>
      </c>
      <c r="DX70" s="92">
        <v>0</v>
      </c>
      <c r="DY70" s="92">
        <v>0</v>
      </c>
      <c r="DZ70" s="92">
        <v>0</v>
      </c>
      <c r="EA70" s="92">
        <v>0</v>
      </c>
      <c r="EB70" s="92">
        <v>0</v>
      </c>
      <c r="EC70" s="92">
        <v>0</v>
      </c>
      <c r="ED70" s="92">
        <v>0</v>
      </c>
      <c r="EE70" s="92">
        <v>0</v>
      </c>
      <c r="EF70" s="92">
        <v>0</v>
      </c>
      <c r="EG70" s="92">
        <v>0</v>
      </c>
      <c r="EH70" s="92">
        <v>0</v>
      </c>
      <c r="EI70" s="92">
        <v>0</v>
      </c>
      <c r="EJ70" s="92">
        <v>0</v>
      </c>
      <c r="EK70" s="92">
        <v>0</v>
      </c>
      <c r="EL70" s="92">
        <v>0</v>
      </c>
      <c r="EM70" s="92">
        <v>0</v>
      </c>
      <c r="EN70" s="92">
        <v>0</v>
      </c>
      <c r="EO70" s="92">
        <v>0</v>
      </c>
      <c r="EP70" s="92">
        <v>0</v>
      </c>
      <c r="EQ70" s="92">
        <v>0</v>
      </c>
      <c r="ER70" s="92">
        <v>0</v>
      </c>
      <c r="ES70" s="92">
        <v>0</v>
      </c>
      <c r="ET70" s="92">
        <v>0</v>
      </c>
      <c r="EU70" s="92">
        <v>0</v>
      </c>
      <c r="EV70" s="92">
        <v>0</v>
      </c>
      <c r="EW70" s="92">
        <v>0</v>
      </c>
      <c r="EX70" s="92">
        <v>0</v>
      </c>
      <c r="EY70" s="92">
        <v>0</v>
      </c>
      <c r="EZ70" s="92">
        <v>0</v>
      </c>
      <c r="FA70" s="92">
        <v>0</v>
      </c>
      <c r="FB70" s="92">
        <v>0</v>
      </c>
      <c r="FC70" s="92">
        <v>0</v>
      </c>
      <c r="FD70" s="92">
        <v>0</v>
      </c>
      <c r="FE70" s="92">
        <v>0</v>
      </c>
      <c r="FF70" s="92">
        <v>0</v>
      </c>
      <c r="FG70" s="92">
        <v>0</v>
      </c>
      <c r="FH70" s="92">
        <v>0</v>
      </c>
      <c r="FI70" s="92">
        <v>0</v>
      </c>
      <c r="FJ70" s="92">
        <v>0</v>
      </c>
      <c r="FK70" s="92">
        <v>0</v>
      </c>
      <c r="FL70" s="92">
        <v>0</v>
      </c>
      <c r="FM70" s="92">
        <v>0</v>
      </c>
      <c r="FN70" s="92">
        <v>0</v>
      </c>
      <c r="FO70" s="92">
        <v>0</v>
      </c>
      <c r="FP70" s="92">
        <v>0</v>
      </c>
      <c r="FQ70" s="92">
        <v>0</v>
      </c>
      <c r="FR70" s="92">
        <v>0</v>
      </c>
      <c r="FS70" s="92">
        <v>0</v>
      </c>
      <c r="FT70" s="92">
        <v>0</v>
      </c>
      <c r="FU70" s="92">
        <v>0</v>
      </c>
      <c r="FV70" s="92">
        <v>0</v>
      </c>
      <c r="FW70" s="92">
        <v>0</v>
      </c>
      <c r="FX70" s="92">
        <v>0</v>
      </c>
      <c r="FY70" s="92">
        <v>0</v>
      </c>
      <c r="FZ70" s="92">
        <v>0</v>
      </c>
      <c r="GA70" s="92">
        <v>0</v>
      </c>
      <c r="GB70" s="92">
        <v>0</v>
      </c>
      <c r="GC70" s="92">
        <v>0</v>
      </c>
      <c r="GD70" s="92">
        <v>464</v>
      </c>
      <c r="GE70" s="92">
        <v>464</v>
      </c>
      <c r="GF70" s="92">
        <v>16495237</v>
      </c>
      <c r="GG70" s="47" t="s">
        <v>503</v>
      </c>
      <c r="GH70" s="47" t="s">
        <v>504</v>
      </c>
      <c r="GI70" s="93">
        <v>2548673931</v>
      </c>
      <c r="GJ70" s="47" t="s">
        <v>505</v>
      </c>
      <c r="GK70" s="47" t="s">
        <v>506</v>
      </c>
      <c r="GL70" s="47" t="s">
        <v>507</v>
      </c>
      <c r="GM70" s="93">
        <v>9563644058</v>
      </c>
      <c r="GN70" s="47" t="s">
        <v>508</v>
      </c>
      <c r="GO70" s="92" cm="1">
        <f t="array" ref="GO70">IFERROR(_xlfn.IFS(ResearchInput[[#This Row],[Type]]="HRI",SUMIFS('FTSE | FTFE'!$P$8:$P$77,'FTSE | FTFE'!$H$8:$H$77,A70),ResearchInput[[#This Row],[Type]]="UNIV",SUMIFS('FTSE | FTFE'!$P$104:$P$139,'FTSE | FTFE'!$H$104:$H$139,A70),OR(ResearchInput[[#This Row],[Type]]="TSTC",ResearchInput[[#This Row],[Type]]="LSC"),SUMIFS('FTSE | FTFE'!$O$88:$O$96,'FTSE | FTFE'!$H$88:$H$96,A70),ResearchInput[[#This Row],[Type]]="AHM",SUMIFS(Hidden!$H$43:$H$46,Hidden!$G$42:$G$45,A70)),"N/A")</f>
        <v>758</v>
      </c>
      <c r="GP70" s="92" cm="1">
        <f t="array" ref="GP70">IFERROR(_xlfn.IFS(ResearchInput[[#This Row],[Type]]="HRI",SUMIFS('FTSE | FTFE'!$Q$8:$Q$77,'FTSE | FTFE'!$H$8:$H$77,A70),ResearchInput[[#This Row],[Type]]="UNIV",SUMIFS('FTSE | FTFE'!$Q$104:$Q$139,'FTSE | FTFE'!$H$104:$H$139,A70),OR(ResearchInput[[#This Row],[Type]]="TSTC",ResearchInput[[#This Row],[Type]]="LSC"),SUMIFS('FTSE | FTFE'!$P$88:$P$96,'FTSE | FTFE'!$H$88:$H$96,A70)),"N/A")</f>
        <v>35.17</v>
      </c>
      <c r="GQ70" s="92">
        <v>0</v>
      </c>
      <c r="GR70" s="92">
        <f>SUM(ResearchInput[[#This Row],[Fed.Comp]],ResearchInput[[#This Row],[Fed.Eng]],ResearchInput[[#This Row],[Fed.Geo]],ResearchInput[[#This Row],[Fed.Life]],ResearchInput[[#This Row],[Fed.Math]],ResearchInput[[#This Row],[Fed.Phys]],ResearchInput[[#This Row],[Fed.Psyc]],ResearchInput[[#This Row],[Fed.Soc]],ResearchInput[[#This Row],[Fed.Othr]],ResearchInput[[#This Row],[Fed.Non]])</f>
        <v>0</v>
      </c>
      <c r="GS70" s="92">
        <f>SUM(ResearchInput[[#This Row],[St.Comp]],ResearchInput[[#This Row],[St.Eng]],ResearchInput[[#This Row],[St.Geo]],ResearchInput[[#This Row],[St.Life]],ResearchInput[[#This Row],[St.Math]],ResearchInput[[#This Row],[St.Phys]],ResearchInput[[#This Row],[St.Psyc]],ResearchInput[[#This Row],[St.Soc]],ResearchInput[[#This Row],[St.Othr]],ResearchInput[[#This Row],[St.Non]])</f>
        <v>0</v>
      </c>
      <c r="GT70" s="92">
        <f>SUM(ResearchInput[[#This Row],[St.C&amp;G.Comp]],ResearchInput[[#This Row],[St.C&amp;G.Eng]],ResearchInput[[#This Row],[St.C&amp;G.Geo]],ResearchInput[[#This Row],[St.C&amp;G.Life]],ResearchInput[[#This Row],[St.C&amp;G.Math]],ResearchInput[[#This Row],[St.C&amp;G.Phys]],ResearchInput[[#This Row],[St.C&amp;G.Psyc]],ResearchInput[[#This Row],[St.C&amp;G.Soc]],ResearchInput[[#This Row],[St.C&amp;G.Othr]],ResearchInput[[#This Row],[St.C&amp;G.Non]])</f>
        <v>0</v>
      </c>
      <c r="GU70" s="92">
        <f>SUM(ResearchInput[[#This Row],[St.All.Comp]],ResearchInput[[#This Row],[St.All.Eng]],ResearchInput[[#This Row],[St.All.Geo]],ResearchInput[[#This Row],[St.All.Life]],ResearchInput[[#This Row],[St.All.Math]],ResearchInput[[#This Row],[St.All.Phys]],ResearchInput[[#This Row],[St.All.Psyc]],ResearchInput[[#This Row],[St.All.Soc]],ResearchInput[[#This Row],[St.All.Othr]],ResearchInput[[#This Row],[St.All.Non]])</f>
        <v>0</v>
      </c>
      <c r="GV70" s="92">
        <f>SUM(ResearchInput[[#This Row],[Inst.Comp]],ResearchInput[[#This Row],[Inst.Eng]],ResearchInput[[#This Row],[Inst.Geo]],ResearchInput[[#This Row],[Inst.Life]],ResearchInput[[#This Row],[Inst.Math]],ResearchInput[[#This Row],[Inst.Phys]],ResearchInput[[#This Row],[Inst.Psyc]],ResearchInput[[#This Row],[Inst.Soc]],ResearchInput[[#This Row],[Inst.Othr]],ResearchInput[[#This Row],[Inst.Non]])</f>
        <v>0</v>
      </c>
      <c r="GW70" s="92">
        <f>SUM(ResearchInput[[#This Row],[P4P.Comp]],ResearchInput[[#This Row],[P4P.Eng]],ResearchInput[[#This Row],[P4P.Geo]],ResearchInput[[#This Row],[P4P.Life]],ResearchInput[[#This Row],[P4P.Math]],ResearchInput[[#This Row],[P4P.Phys]],ResearchInput[[#This Row],[P4P.Psyc]],ResearchInput[[#This Row],[P4P.Soc]],ResearchInput[[#This Row],[P4P.Othr]],ResearchInput[[#This Row],[P4P.Non]])</f>
        <v>0</v>
      </c>
      <c r="GX70" s="92">
        <f>SUM(ResearchInput[[#This Row],[PNP.Comp]],ResearchInput[[#This Row],[PNP.Eng]],ResearchInput[[#This Row],[PNP.Geo]],ResearchInput[[#This Row],[PNP.Life]],ResearchInput[[#This Row],[PNP.Math]],ResearchInput[[#This Row],[PNP.Phys]],ResearchInput[[#This Row],[PNP.Psyc]],ResearchInput[[#This Row],[PNP.Soc]],ResearchInput[[#This Row],[PNP.Othr]],ResearchInput[[#This Row],[PNP.Non]])</f>
        <v>0</v>
      </c>
      <c r="GY70" s="92">
        <f>SUM(ResearchInput[[#This Row],[P.All.Comp]],ResearchInput[[#This Row],[P.All.Eng]],ResearchInput[[#This Row],[P.All.Geo]],ResearchInput[[#This Row],[P.All.Life]],ResearchInput[[#This Row],[P.All.Math]],ResearchInput[[#This Row],[P.All.Phys]],ResearchInput[[#This Row],[P.All.Psyc]],ResearchInput[[#This Row],[P.All.Soc]],ResearchInput[[#This Row],[P.All.Othr]],ResearchInput[[#This Row],[P.All.Non]])</f>
        <v>0</v>
      </c>
    </row>
    <row r="71" spans="1:207" s="47" customFormat="1" ht="27" customHeight="1" x14ac:dyDescent="0.25">
      <c r="A71" s="34" t="s">
        <v>217</v>
      </c>
      <c r="B71" s="34" t="s">
        <v>685</v>
      </c>
      <c r="C71" s="35" t="s">
        <v>686</v>
      </c>
      <c r="D71" s="35" t="s">
        <v>686</v>
      </c>
      <c r="E71" s="94">
        <v>1006</v>
      </c>
      <c r="F71" s="35" t="s">
        <v>714</v>
      </c>
      <c r="G71" s="35" t="s">
        <v>553</v>
      </c>
      <c r="H71" s="96">
        <v>133965</v>
      </c>
      <c r="I71" s="92">
        <v>0</v>
      </c>
      <c r="J71" s="92">
        <v>0</v>
      </c>
      <c r="K71" s="92">
        <v>0</v>
      </c>
      <c r="L71" s="92">
        <v>0</v>
      </c>
      <c r="M71" s="92">
        <v>236</v>
      </c>
      <c r="N71" s="92">
        <v>0</v>
      </c>
      <c r="O71" s="92">
        <v>0</v>
      </c>
      <c r="P71" s="92">
        <v>-10</v>
      </c>
      <c r="Q71" s="92">
        <v>0</v>
      </c>
      <c r="R71" s="92">
        <v>0</v>
      </c>
      <c r="S71" s="92">
        <v>0</v>
      </c>
      <c r="T71" s="92">
        <v>0</v>
      </c>
      <c r="U71" s="92">
        <v>-236</v>
      </c>
      <c r="V71" s="92">
        <v>0</v>
      </c>
      <c r="W71" s="92">
        <v>0</v>
      </c>
      <c r="X71" s="92">
        <v>10</v>
      </c>
      <c r="Y71" s="92">
        <v>0</v>
      </c>
      <c r="Z71" s="92">
        <v>0</v>
      </c>
      <c r="AA71" s="92">
        <v>0</v>
      </c>
      <c r="AB71" s="92">
        <v>0</v>
      </c>
      <c r="AC71" s="92">
        <v>0</v>
      </c>
      <c r="AD71" s="92">
        <v>0</v>
      </c>
      <c r="AE71" s="92">
        <v>0</v>
      </c>
      <c r="AF71" s="92">
        <v>0</v>
      </c>
      <c r="AG71" s="92">
        <v>0</v>
      </c>
      <c r="AH71" s="92">
        <v>0</v>
      </c>
      <c r="AI71" s="92">
        <v>0</v>
      </c>
      <c r="AJ71" s="92">
        <v>0</v>
      </c>
      <c r="AK71" s="92">
        <v>0</v>
      </c>
      <c r="AL71" s="92">
        <v>0</v>
      </c>
      <c r="AM71" s="92">
        <v>0</v>
      </c>
      <c r="AN71" s="92">
        <v>0</v>
      </c>
      <c r="AO71" s="92">
        <v>0</v>
      </c>
      <c r="AP71" s="92">
        <v>0</v>
      </c>
      <c r="AQ71" s="92">
        <v>0</v>
      </c>
      <c r="AR71" s="92">
        <v>0</v>
      </c>
      <c r="AS71" s="92">
        <v>0</v>
      </c>
      <c r="AT71" s="92">
        <v>0</v>
      </c>
      <c r="AU71" s="92">
        <v>0</v>
      </c>
      <c r="AV71" s="92">
        <v>0</v>
      </c>
      <c r="AW71" s="92">
        <v>0</v>
      </c>
      <c r="AX71" s="92">
        <v>0</v>
      </c>
      <c r="AY71" s="92">
        <v>0</v>
      </c>
      <c r="AZ71" s="92">
        <v>0</v>
      </c>
      <c r="BA71" s="92">
        <v>0</v>
      </c>
      <c r="BB71" s="92">
        <v>0</v>
      </c>
      <c r="BC71" s="92">
        <v>0</v>
      </c>
      <c r="BD71" s="92">
        <v>0</v>
      </c>
      <c r="BE71" s="92">
        <v>0</v>
      </c>
      <c r="BF71" s="92">
        <v>0</v>
      </c>
      <c r="BG71" s="92">
        <v>0</v>
      </c>
      <c r="BH71" s="92">
        <v>0</v>
      </c>
      <c r="BI71" s="92">
        <v>0</v>
      </c>
      <c r="BJ71" s="92">
        <v>0</v>
      </c>
      <c r="BK71" s="92">
        <v>0</v>
      </c>
      <c r="BL71" s="92">
        <v>0</v>
      </c>
      <c r="BM71" s="92">
        <v>0</v>
      </c>
      <c r="BN71" s="92">
        <v>0</v>
      </c>
      <c r="BO71" s="92">
        <v>0</v>
      </c>
      <c r="BP71" s="92">
        <v>0</v>
      </c>
      <c r="BQ71" s="92">
        <v>0</v>
      </c>
      <c r="BR71" s="92">
        <v>0</v>
      </c>
      <c r="BS71" s="92">
        <v>0</v>
      </c>
      <c r="BT71" s="92">
        <v>0</v>
      </c>
      <c r="BU71" s="92">
        <v>0</v>
      </c>
      <c r="BV71" s="92">
        <v>0</v>
      </c>
      <c r="BW71" s="92">
        <v>0</v>
      </c>
      <c r="BX71" s="92">
        <v>0</v>
      </c>
      <c r="BY71" s="92">
        <v>0</v>
      </c>
      <c r="BZ71" s="92">
        <v>0</v>
      </c>
      <c r="CA71" s="92">
        <v>0</v>
      </c>
      <c r="CB71" s="92">
        <v>0</v>
      </c>
      <c r="CC71" s="92">
        <v>0</v>
      </c>
      <c r="CD71" s="92">
        <v>0</v>
      </c>
      <c r="CE71" s="92">
        <v>0</v>
      </c>
      <c r="CF71" s="92">
        <v>0</v>
      </c>
      <c r="CG71" s="92">
        <v>0</v>
      </c>
      <c r="CH71" s="92">
        <v>0</v>
      </c>
      <c r="CI71" s="92">
        <v>0</v>
      </c>
      <c r="CJ71" s="92">
        <v>0</v>
      </c>
      <c r="CK71" s="92">
        <v>0</v>
      </c>
      <c r="CL71" s="92">
        <v>0</v>
      </c>
      <c r="CM71" s="92">
        <v>0</v>
      </c>
      <c r="CN71" s="92">
        <v>0</v>
      </c>
      <c r="CO71" s="92">
        <v>0</v>
      </c>
      <c r="CP71" s="92">
        <v>0</v>
      </c>
      <c r="CQ71" s="92">
        <v>0</v>
      </c>
      <c r="CR71" s="92">
        <v>0</v>
      </c>
      <c r="CS71" s="92">
        <v>0</v>
      </c>
      <c r="CT71" s="92">
        <v>0</v>
      </c>
      <c r="CU71" s="92">
        <v>0</v>
      </c>
      <c r="CV71" s="92">
        <v>0</v>
      </c>
      <c r="CW71" s="92">
        <v>0</v>
      </c>
      <c r="CX71" s="92">
        <v>0</v>
      </c>
      <c r="CY71" s="92">
        <v>0</v>
      </c>
      <c r="CZ71" s="92">
        <v>0</v>
      </c>
      <c r="DA71" s="92">
        <v>0</v>
      </c>
      <c r="DB71" s="92">
        <v>0</v>
      </c>
      <c r="DC71" s="92">
        <v>0</v>
      </c>
      <c r="DD71" s="92">
        <v>0</v>
      </c>
      <c r="DE71" s="92">
        <v>0</v>
      </c>
      <c r="DF71" s="92">
        <v>0</v>
      </c>
      <c r="DG71" s="92">
        <v>0</v>
      </c>
      <c r="DH71" s="92">
        <v>0</v>
      </c>
      <c r="DI71" s="92">
        <v>0</v>
      </c>
      <c r="DJ71" s="92">
        <v>0</v>
      </c>
      <c r="DK71" s="92">
        <v>0</v>
      </c>
      <c r="DL71" s="92">
        <v>0</v>
      </c>
      <c r="DM71" s="92">
        <v>0</v>
      </c>
      <c r="DN71" s="92">
        <v>0</v>
      </c>
      <c r="DO71" s="92">
        <v>0</v>
      </c>
      <c r="DP71" s="92">
        <v>0</v>
      </c>
      <c r="DQ71" s="92">
        <v>0</v>
      </c>
      <c r="DR71" s="92">
        <v>0</v>
      </c>
      <c r="DS71" s="92">
        <v>0</v>
      </c>
      <c r="DT71" s="92">
        <v>0</v>
      </c>
      <c r="DU71" s="92">
        <v>0</v>
      </c>
      <c r="DV71" s="92">
        <v>0</v>
      </c>
      <c r="DW71" s="92">
        <v>0</v>
      </c>
      <c r="DX71" s="92">
        <v>0</v>
      </c>
      <c r="DY71" s="92">
        <v>0</v>
      </c>
      <c r="DZ71" s="92">
        <v>0</v>
      </c>
      <c r="EA71" s="92">
        <v>0</v>
      </c>
      <c r="EB71" s="92">
        <v>0</v>
      </c>
      <c r="EC71" s="92">
        <v>0</v>
      </c>
      <c r="ED71" s="92">
        <v>0</v>
      </c>
      <c r="EE71" s="92">
        <v>0</v>
      </c>
      <c r="EF71" s="92">
        <v>0</v>
      </c>
      <c r="EG71" s="92">
        <v>0</v>
      </c>
      <c r="EH71" s="92">
        <v>0</v>
      </c>
      <c r="EI71" s="92">
        <v>0</v>
      </c>
      <c r="EJ71" s="92">
        <v>0</v>
      </c>
      <c r="EK71" s="92">
        <v>0</v>
      </c>
      <c r="EL71" s="92">
        <v>0</v>
      </c>
      <c r="EM71" s="92">
        <v>0</v>
      </c>
      <c r="EN71" s="92">
        <v>0</v>
      </c>
      <c r="EO71" s="92">
        <v>0</v>
      </c>
      <c r="EP71" s="92">
        <v>0</v>
      </c>
      <c r="EQ71" s="92">
        <v>0</v>
      </c>
      <c r="ER71" s="92">
        <v>0</v>
      </c>
      <c r="ES71" s="92">
        <v>0</v>
      </c>
      <c r="ET71" s="92">
        <v>0</v>
      </c>
      <c r="EU71" s="92">
        <v>0</v>
      </c>
      <c r="EV71" s="92">
        <v>0</v>
      </c>
      <c r="EW71" s="92">
        <v>0</v>
      </c>
      <c r="EX71" s="92">
        <v>0</v>
      </c>
      <c r="EY71" s="92">
        <v>0</v>
      </c>
      <c r="EZ71" s="92">
        <v>0</v>
      </c>
      <c r="FA71" s="92">
        <v>0</v>
      </c>
      <c r="FB71" s="92">
        <v>0</v>
      </c>
      <c r="FC71" s="92">
        <v>0</v>
      </c>
      <c r="FD71" s="92">
        <v>0</v>
      </c>
      <c r="FE71" s="92">
        <v>0</v>
      </c>
      <c r="FF71" s="92">
        <v>0</v>
      </c>
      <c r="FG71" s="92">
        <v>0</v>
      </c>
      <c r="FH71" s="92">
        <v>0</v>
      </c>
      <c r="FI71" s="92">
        <v>0</v>
      </c>
      <c r="FJ71" s="92">
        <v>0</v>
      </c>
      <c r="FK71" s="92">
        <v>0</v>
      </c>
      <c r="FL71" s="92">
        <v>0</v>
      </c>
      <c r="FM71" s="92">
        <v>0</v>
      </c>
      <c r="FN71" s="92">
        <v>0</v>
      </c>
      <c r="FO71" s="92">
        <v>0</v>
      </c>
      <c r="FP71" s="92">
        <v>0</v>
      </c>
      <c r="FQ71" s="92">
        <v>0</v>
      </c>
      <c r="FR71" s="92">
        <v>0</v>
      </c>
      <c r="FS71" s="92">
        <v>0</v>
      </c>
      <c r="FT71" s="92">
        <v>0</v>
      </c>
      <c r="FU71" s="92">
        <v>0</v>
      </c>
      <c r="FV71" s="92">
        <v>0</v>
      </c>
      <c r="FW71" s="92">
        <v>0</v>
      </c>
      <c r="FX71" s="92">
        <v>0</v>
      </c>
      <c r="FY71" s="92">
        <v>0</v>
      </c>
      <c r="FZ71" s="92">
        <v>0</v>
      </c>
      <c r="GA71" s="92">
        <v>0</v>
      </c>
      <c r="GB71" s="92">
        <v>0</v>
      </c>
      <c r="GC71" s="92">
        <v>0</v>
      </c>
      <c r="GD71" s="92">
        <v>226</v>
      </c>
      <c r="GE71" s="92">
        <v>226</v>
      </c>
      <c r="GF71" s="92">
        <v>10136833</v>
      </c>
      <c r="GG71" s="47" t="s">
        <v>503</v>
      </c>
      <c r="GH71" s="47" t="s">
        <v>504</v>
      </c>
      <c r="GI71" s="93">
        <v>2548673931</v>
      </c>
      <c r="GJ71" s="47" t="s">
        <v>505</v>
      </c>
      <c r="GK71" s="47" t="s">
        <v>506</v>
      </c>
      <c r="GL71" s="47" t="s">
        <v>507</v>
      </c>
      <c r="GM71" s="93">
        <v>9563644058</v>
      </c>
      <c r="GN71" s="47" t="s">
        <v>508</v>
      </c>
      <c r="GO71" s="92" cm="1">
        <f t="array" ref="GO71">IFERROR(_xlfn.IFS(ResearchInput[[#This Row],[Type]]="HRI",SUMIFS('FTSE | FTFE'!$P$8:$P$77,'FTSE | FTFE'!$H$8:$H$77,A71),ResearchInput[[#This Row],[Type]]="UNIV",SUMIFS('FTSE | FTFE'!$P$104:$P$139,'FTSE | FTFE'!$H$104:$H$139,A71),OR(ResearchInput[[#This Row],[Type]]="TSTC",ResearchInput[[#This Row],[Type]]="LSC"),SUMIFS('FTSE | FTFE'!$O$88:$O$96,'FTSE | FTFE'!$H$88:$H$96,A71),ResearchInput[[#This Row],[Type]]="AHM",SUMIFS(Hidden!$H$43:$H$46,Hidden!$G$42:$G$45,A71)),"N/A")</f>
        <v>334</v>
      </c>
      <c r="GP71" s="92" cm="1">
        <f t="array" ref="GP71">IFERROR(_xlfn.IFS(ResearchInput[[#This Row],[Type]]="HRI",SUMIFS('FTSE | FTFE'!$Q$8:$Q$77,'FTSE | FTFE'!$H$8:$H$77,A71),ResearchInput[[#This Row],[Type]]="UNIV",SUMIFS('FTSE | FTFE'!$Q$104:$Q$139,'FTSE | FTFE'!$H$104:$H$139,A71),OR(ResearchInput[[#This Row],[Type]]="TSTC",ResearchInput[[#This Row],[Type]]="LSC"),SUMIFS('FTSE | FTFE'!$P$88:$P$96,'FTSE | FTFE'!$H$88:$H$96,A71)),"N/A")</f>
        <v>24.815000000000001</v>
      </c>
      <c r="GQ71" s="92">
        <v>0</v>
      </c>
      <c r="GR71" s="92">
        <f>SUM(ResearchInput[[#This Row],[Fed.Comp]],ResearchInput[[#This Row],[Fed.Eng]],ResearchInput[[#This Row],[Fed.Geo]],ResearchInput[[#This Row],[Fed.Life]],ResearchInput[[#This Row],[Fed.Math]],ResearchInput[[#This Row],[Fed.Phys]],ResearchInput[[#This Row],[Fed.Psyc]],ResearchInput[[#This Row],[Fed.Soc]],ResearchInput[[#This Row],[Fed.Othr]],ResearchInput[[#This Row],[Fed.Non]])</f>
        <v>0</v>
      </c>
      <c r="GS71" s="92">
        <f>SUM(ResearchInput[[#This Row],[St.Comp]],ResearchInput[[#This Row],[St.Eng]],ResearchInput[[#This Row],[St.Geo]],ResearchInput[[#This Row],[St.Life]],ResearchInput[[#This Row],[St.Math]],ResearchInput[[#This Row],[St.Phys]],ResearchInput[[#This Row],[St.Psyc]],ResearchInput[[#This Row],[St.Soc]],ResearchInput[[#This Row],[St.Othr]],ResearchInput[[#This Row],[St.Non]])</f>
        <v>0</v>
      </c>
      <c r="GT71" s="92">
        <f>SUM(ResearchInput[[#This Row],[St.C&amp;G.Comp]],ResearchInput[[#This Row],[St.C&amp;G.Eng]],ResearchInput[[#This Row],[St.C&amp;G.Geo]],ResearchInput[[#This Row],[St.C&amp;G.Life]],ResearchInput[[#This Row],[St.C&amp;G.Math]],ResearchInput[[#This Row],[St.C&amp;G.Phys]],ResearchInput[[#This Row],[St.C&amp;G.Psyc]],ResearchInput[[#This Row],[St.C&amp;G.Soc]],ResearchInput[[#This Row],[St.C&amp;G.Othr]],ResearchInput[[#This Row],[St.C&amp;G.Non]])</f>
        <v>0</v>
      </c>
      <c r="GU71" s="92">
        <f>SUM(ResearchInput[[#This Row],[St.All.Comp]],ResearchInput[[#This Row],[St.All.Eng]],ResearchInput[[#This Row],[St.All.Geo]],ResearchInput[[#This Row],[St.All.Life]],ResearchInput[[#This Row],[St.All.Math]],ResearchInput[[#This Row],[St.All.Phys]],ResearchInput[[#This Row],[St.All.Psyc]],ResearchInput[[#This Row],[St.All.Soc]],ResearchInput[[#This Row],[St.All.Othr]],ResearchInput[[#This Row],[St.All.Non]])</f>
        <v>0</v>
      </c>
      <c r="GV71" s="92">
        <f>SUM(ResearchInput[[#This Row],[Inst.Comp]],ResearchInput[[#This Row],[Inst.Eng]],ResearchInput[[#This Row],[Inst.Geo]],ResearchInput[[#This Row],[Inst.Life]],ResearchInput[[#This Row],[Inst.Math]],ResearchInput[[#This Row],[Inst.Phys]],ResearchInput[[#This Row],[Inst.Psyc]],ResearchInput[[#This Row],[Inst.Soc]],ResearchInput[[#This Row],[Inst.Othr]],ResearchInput[[#This Row],[Inst.Non]])</f>
        <v>0</v>
      </c>
      <c r="GW71" s="92">
        <f>SUM(ResearchInput[[#This Row],[P4P.Comp]],ResearchInput[[#This Row],[P4P.Eng]],ResearchInput[[#This Row],[P4P.Geo]],ResearchInput[[#This Row],[P4P.Life]],ResearchInput[[#This Row],[P4P.Math]],ResearchInput[[#This Row],[P4P.Phys]],ResearchInput[[#This Row],[P4P.Psyc]],ResearchInput[[#This Row],[P4P.Soc]],ResearchInput[[#This Row],[P4P.Othr]],ResearchInput[[#This Row],[P4P.Non]])</f>
        <v>0</v>
      </c>
      <c r="GX71" s="92">
        <f>SUM(ResearchInput[[#This Row],[PNP.Comp]],ResearchInput[[#This Row],[PNP.Eng]],ResearchInput[[#This Row],[PNP.Geo]],ResearchInput[[#This Row],[PNP.Life]],ResearchInput[[#This Row],[PNP.Math]],ResearchInput[[#This Row],[PNP.Phys]],ResearchInput[[#This Row],[PNP.Psyc]],ResearchInput[[#This Row],[PNP.Soc]],ResearchInput[[#This Row],[PNP.Othr]],ResearchInput[[#This Row],[PNP.Non]])</f>
        <v>0</v>
      </c>
      <c r="GY71" s="92">
        <f>SUM(ResearchInput[[#This Row],[P.All.Comp]],ResearchInput[[#This Row],[P.All.Eng]],ResearchInput[[#This Row],[P.All.Geo]],ResearchInput[[#This Row],[P.All.Life]],ResearchInput[[#This Row],[P.All.Math]],ResearchInput[[#This Row],[P.All.Phys]],ResearchInput[[#This Row],[P.All.Psyc]],ResearchInput[[#This Row],[P.All.Soc]],ResearchInput[[#This Row],[P.All.Othr]],ResearchInput[[#This Row],[P.All.Non]])</f>
        <v>0</v>
      </c>
    </row>
    <row r="72" spans="1:207" s="47" customFormat="1" ht="27" customHeight="1" x14ac:dyDescent="0.25">
      <c r="A72" s="34" t="s">
        <v>543</v>
      </c>
      <c r="B72" s="34" t="s">
        <v>735</v>
      </c>
      <c r="C72" s="35" t="s">
        <v>674</v>
      </c>
      <c r="D72" s="35" t="s">
        <v>683</v>
      </c>
      <c r="E72" s="94">
        <v>1100</v>
      </c>
      <c r="F72" s="35" t="s">
        <v>714</v>
      </c>
      <c r="G72" s="35" t="s">
        <v>553</v>
      </c>
      <c r="H72" s="96">
        <v>708</v>
      </c>
      <c r="I72" s="92">
        <v>14023537</v>
      </c>
      <c r="J72" s="92">
        <v>0</v>
      </c>
      <c r="K72" s="92">
        <v>0</v>
      </c>
      <c r="L72" s="92">
        <v>0</v>
      </c>
      <c r="M72" s="92">
        <v>7193484</v>
      </c>
      <c r="N72" s="92">
        <v>348625</v>
      </c>
      <c r="O72" s="92">
        <v>3905</v>
      </c>
      <c r="P72" s="92">
        <v>0</v>
      </c>
      <c r="Q72" s="92">
        <v>-357404</v>
      </c>
      <c r="R72" s="92">
        <v>0</v>
      </c>
      <c r="S72" s="92">
        <v>0</v>
      </c>
      <c r="T72" s="92">
        <v>0</v>
      </c>
      <c r="U72" s="92">
        <v>-7161929</v>
      </c>
      <c r="V72" s="92">
        <v>-2013</v>
      </c>
      <c r="W72" s="92">
        <v>0</v>
      </c>
      <c r="X72" s="92">
        <v>0</v>
      </c>
      <c r="Y72" s="92">
        <v>-325311</v>
      </c>
      <c r="Z72" s="92">
        <v>0</v>
      </c>
      <c r="AA72" s="92">
        <v>0</v>
      </c>
      <c r="AB72" s="92">
        <v>0</v>
      </c>
      <c r="AC72" s="92">
        <v>0</v>
      </c>
      <c r="AD72" s="92">
        <v>0</v>
      </c>
      <c r="AE72" s="92">
        <v>0</v>
      </c>
      <c r="AF72" s="92">
        <v>0</v>
      </c>
      <c r="AG72" s="92">
        <v>5538896</v>
      </c>
      <c r="AH72" s="92">
        <v>0</v>
      </c>
      <c r="AI72" s="92">
        <v>0</v>
      </c>
      <c r="AJ72" s="92">
        <v>0</v>
      </c>
      <c r="AK72" s="92">
        <v>0</v>
      </c>
      <c r="AL72" s="92">
        <v>160708</v>
      </c>
      <c r="AM72" s="92">
        <v>3780</v>
      </c>
      <c r="AN72" s="92">
        <v>0</v>
      </c>
      <c r="AO72" s="92">
        <v>1345613</v>
      </c>
      <c r="AP72" s="92">
        <v>0</v>
      </c>
      <c r="AQ72" s="92">
        <v>0</v>
      </c>
      <c r="AR72" s="92">
        <v>0</v>
      </c>
      <c r="AS72" s="92">
        <v>0</v>
      </c>
      <c r="AT72" s="92">
        <v>0</v>
      </c>
      <c r="AU72" s="92">
        <v>0</v>
      </c>
      <c r="AV72" s="92">
        <v>0</v>
      </c>
      <c r="AW72" s="92">
        <v>0</v>
      </c>
      <c r="AX72" s="92">
        <v>0</v>
      </c>
      <c r="AY72" s="92">
        <v>0</v>
      </c>
      <c r="AZ72" s="92">
        <v>0</v>
      </c>
      <c r="BA72" s="92">
        <v>0</v>
      </c>
      <c r="BB72" s="92">
        <v>0</v>
      </c>
      <c r="BC72" s="92">
        <v>0</v>
      </c>
      <c r="BD72" s="92">
        <v>0</v>
      </c>
      <c r="BE72" s="92">
        <v>0</v>
      </c>
      <c r="BF72" s="92">
        <v>0</v>
      </c>
      <c r="BG72" s="92">
        <v>0</v>
      </c>
      <c r="BH72" s="92">
        <v>0</v>
      </c>
      <c r="BI72" s="92">
        <v>0</v>
      </c>
      <c r="BJ72" s="92">
        <v>0</v>
      </c>
      <c r="BK72" s="92">
        <v>0</v>
      </c>
      <c r="BL72" s="92">
        <v>0</v>
      </c>
      <c r="BM72" s="92">
        <v>-9690400</v>
      </c>
      <c r="BN72" s="92">
        <v>0</v>
      </c>
      <c r="BO72" s="92">
        <v>0</v>
      </c>
      <c r="BP72" s="92">
        <v>0</v>
      </c>
      <c r="BQ72" s="92">
        <v>0</v>
      </c>
      <c r="BR72" s="92">
        <v>-152500</v>
      </c>
      <c r="BS72" s="92">
        <v>0</v>
      </c>
      <c r="BT72" s="92">
        <v>0</v>
      </c>
      <c r="BU72" s="92">
        <v>0</v>
      </c>
      <c r="BV72" s="92">
        <v>0</v>
      </c>
      <c r="BW72" s="92">
        <v>0</v>
      </c>
      <c r="BX72" s="92">
        <v>0</v>
      </c>
      <c r="BY72" s="92">
        <v>0</v>
      </c>
      <c r="BZ72" s="92">
        <v>5918</v>
      </c>
      <c r="CA72" s="92">
        <v>3780</v>
      </c>
      <c r="CB72" s="92">
        <v>0</v>
      </c>
      <c r="CC72" s="92">
        <v>9291096</v>
      </c>
      <c r="CD72" s="92">
        <v>0</v>
      </c>
      <c r="CE72" s="92">
        <v>0</v>
      </c>
      <c r="CF72" s="92">
        <v>0</v>
      </c>
      <c r="CG72" s="92">
        <v>31555</v>
      </c>
      <c r="CH72" s="92">
        <v>337424</v>
      </c>
      <c r="CI72" s="92">
        <v>0</v>
      </c>
      <c r="CJ72" s="92">
        <v>0</v>
      </c>
      <c r="CK72" s="92">
        <v>0</v>
      </c>
      <c r="CL72" s="92">
        <v>0</v>
      </c>
      <c r="CM72" s="92">
        <v>0</v>
      </c>
      <c r="CN72" s="92">
        <v>0</v>
      </c>
      <c r="CO72" s="92">
        <v>0</v>
      </c>
      <c r="CP72" s="92">
        <v>0</v>
      </c>
      <c r="CQ72" s="92">
        <v>0</v>
      </c>
      <c r="CR72" s="92">
        <v>0</v>
      </c>
      <c r="CS72" s="92">
        <v>0</v>
      </c>
      <c r="CT72" s="92">
        <v>0</v>
      </c>
      <c r="CU72" s="92">
        <v>0</v>
      </c>
      <c r="CV72" s="92">
        <v>0</v>
      </c>
      <c r="CW72" s="92">
        <v>0</v>
      </c>
      <c r="CX72" s="92">
        <v>0</v>
      </c>
      <c r="CY72" s="92">
        <v>0</v>
      </c>
      <c r="CZ72" s="92">
        <v>0</v>
      </c>
      <c r="DA72" s="92">
        <v>0</v>
      </c>
      <c r="DB72" s="92">
        <v>0</v>
      </c>
      <c r="DC72" s="92">
        <v>0</v>
      </c>
      <c r="DD72" s="92">
        <v>0</v>
      </c>
      <c r="DE72" s="92">
        <v>0</v>
      </c>
      <c r="DF72" s="92">
        <v>0</v>
      </c>
      <c r="DG72" s="92">
        <v>0</v>
      </c>
      <c r="DH72" s="92">
        <v>0</v>
      </c>
      <c r="DI72" s="92">
        <v>38987</v>
      </c>
      <c r="DJ72" s="92">
        <v>0</v>
      </c>
      <c r="DK72" s="92">
        <v>0</v>
      </c>
      <c r="DL72" s="92">
        <v>0</v>
      </c>
      <c r="DM72" s="92">
        <v>0</v>
      </c>
      <c r="DN72" s="92">
        <v>0</v>
      </c>
      <c r="DO72" s="92">
        <v>0</v>
      </c>
      <c r="DP72" s="92">
        <v>0</v>
      </c>
      <c r="DQ72" s="92">
        <v>0</v>
      </c>
      <c r="DR72" s="92">
        <v>0</v>
      </c>
      <c r="DS72" s="92">
        <v>0</v>
      </c>
      <c r="DT72" s="92">
        <v>0</v>
      </c>
      <c r="DU72" s="92">
        <v>0</v>
      </c>
      <c r="DV72" s="92">
        <v>0</v>
      </c>
      <c r="DW72" s="92">
        <v>0</v>
      </c>
      <c r="DX72" s="92">
        <v>0</v>
      </c>
      <c r="DY72" s="92">
        <v>0</v>
      </c>
      <c r="DZ72" s="92">
        <v>0</v>
      </c>
      <c r="EA72" s="92">
        <v>0</v>
      </c>
      <c r="EB72" s="92">
        <v>0</v>
      </c>
      <c r="EC72" s="92">
        <v>0</v>
      </c>
      <c r="ED72" s="92">
        <v>0</v>
      </c>
      <c r="EE72" s="92">
        <v>0</v>
      </c>
      <c r="EF72" s="92">
        <v>0</v>
      </c>
      <c r="EG72" s="92">
        <v>59959</v>
      </c>
      <c r="EH72" s="92">
        <v>0</v>
      </c>
      <c r="EI72" s="92">
        <v>0</v>
      </c>
      <c r="EJ72" s="92">
        <v>0</v>
      </c>
      <c r="EK72" s="92">
        <v>0</v>
      </c>
      <c r="EL72" s="92">
        <v>0</v>
      </c>
      <c r="EM72" s="92">
        <v>0</v>
      </c>
      <c r="EN72" s="92">
        <v>0</v>
      </c>
      <c r="EO72" s="92">
        <v>1144889</v>
      </c>
      <c r="EP72" s="92">
        <v>0</v>
      </c>
      <c r="EQ72" s="92">
        <v>0</v>
      </c>
      <c r="ER72" s="92">
        <v>0</v>
      </c>
      <c r="ES72" s="92">
        <v>0</v>
      </c>
      <c r="ET72" s="92">
        <v>11478</v>
      </c>
      <c r="EU72" s="92">
        <v>3905</v>
      </c>
      <c r="EV72" s="92">
        <v>0</v>
      </c>
      <c r="EW72" s="92">
        <v>0</v>
      </c>
      <c r="EX72" s="92">
        <v>0</v>
      </c>
      <c r="EY72" s="92">
        <v>0</v>
      </c>
      <c r="EZ72" s="92">
        <v>0</v>
      </c>
      <c r="FA72" s="92">
        <v>0</v>
      </c>
      <c r="FB72" s="92">
        <v>0</v>
      </c>
      <c r="FC72" s="92">
        <v>0</v>
      </c>
      <c r="FD72" s="92">
        <v>0</v>
      </c>
      <c r="FE72" s="92">
        <v>0</v>
      </c>
      <c r="FF72" s="92">
        <v>0</v>
      </c>
      <c r="FG72" s="92">
        <v>0</v>
      </c>
      <c r="FH72" s="92">
        <v>0</v>
      </c>
      <c r="FI72" s="92">
        <v>0</v>
      </c>
      <c r="FJ72" s="92">
        <v>0</v>
      </c>
      <c r="FK72" s="92">
        <v>0</v>
      </c>
      <c r="FL72" s="92">
        <v>0</v>
      </c>
      <c r="FM72" s="92">
        <v>0</v>
      </c>
      <c r="FN72" s="92">
        <v>0</v>
      </c>
      <c r="FO72" s="92">
        <v>0</v>
      </c>
      <c r="FP72" s="92">
        <v>0</v>
      </c>
      <c r="FQ72" s="92">
        <v>0</v>
      </c>
      <c r="FR72" s="92">
        <v>0</v>
      </c>
      <c r="FS72" s="92">
        <v>0</v>
      </c>
      <c r="FT72" s="92">
        <v>0</v>
      </c>
      <c r="FU72" s="92">
        <v>0</v>
      </c>
      <c r="FV72" s="92">
        <v>0</v>
      </c>
      <c r="FW72" s="92">
        <v>0</v>
      </c>
      <c r="FX72" s="92">
        <v>0</v>
      </c>
      <c r="FY72" s="92">
        <v>0</v>
      </c>
      <c r="FZ72" s="92">
        <v>0</v>
      </c>
      <c r="GA72" s="92">
        <v>0</v>
      </c>
      <c r="GB72" s="92">
        <v>0</v>
      </c>
      <c r="GC72" s="92">
        <v>0</v>
      </c>
      <c r="GD72" s="92">
        <v>21569551</v>
      </c>
      <c r="GE72" s="92">
        <v>22029671</v>
      </c>
      <c r="GF72" s="92">
        <v>46391441</v>
      </c>
      <c r="GG72" s="47" t="s">
        <v>311</v>
      </c>
      <c r="GH72" s="47" t="s">
        <v>312</v>
      </c>
      <c r="GI72" s="93">
        <v>9798459761</v>
      </c>
      <c r="GJ72" s="47" t="s">
        <v>313</v>
      </c>
      <c r="GK72" s="47" t="s">
        <v>544</v>
      </c>
      <c r="GL72" s="47" t="s">
        <v>545</v>
      </c>
      <c r="GM72" s="93">
        <v>9794586090</v>
      </c>
      <c r="GN72" s="47" t="s">
        <v>546</v>
      </c>
      <c r="GO72" s="92" t="str" cm="1">
        <f t="array" ref="GO72">IFERROR(_xlfn.IFS(ResearchInput[[#This Row],[Type]]="HRI",SUMIFS('FTSE | FTFE'!$P$8:$P$77,'FTSE | FTFE'!$H$8:$H$77,A72),ResearchInput[[#This Row],[Type]]="UNIV",SUMIFS('FTSE | FTFE'!$P$104:$P$139,'FTSE | FTFE'!$H$104:$H$139,A72),OR(ResearchInput[[#This Row],[Type]]="TSTC",ResearchInput[[#This Row],[Type]]="LSC"),SUMIFS('FTSE | FTFE'!$O$88:$O$96,'FTSE | FTFE'!$H$88:$H$96,A72),ResearchInput[[#This Row],[Type]]="AHM",SUMIFS(Hidden!$H$43:$H$46,Hidden!$G$42:$G$45,A72)),"N/A")</f>
        <v>N/A</v>
      </c>
      <c r="GP72" s="92" t="str" cm="1">
        <f t="array" ref="GP72">IFERROR(_xlfn.IFS(ResearchInput[[#This Row],[Type]]="HRI",SUMIFS('FTSE | FTFE'!$Q$8:$Q$77,'FTSE | FTFE'!$H$8:$H$77,A72),ResearchInput[[#This Row],[Type]]="UNIV",SUMIFS('FTSE | FTFE'!$Q$104:$Q$139,'FTSE | FTFE'!$H$104:$H$139,A72),OR(ResearchInput[[#This Row],[Type]]="TSTC",ResearchInput[[#This Row],[Type]]="LSC"),SUMIFS('FTSE | FTFE'!$P$88:$P$96,'FTSE | FTFE'!$H$88:$H$96,A72)),"N/A")</f>
        <v>N/A</v>
      </c>
      <c r="GQ72" s="92">
        <v>0</v>
      </c>
      <c r="GR72" s="92">
        <f>SUM(ResearchInput[[#This Row],[Fed.Comp]],ResearchInput[[#This Row],[Fed.Eng]],ResearchInput[[#This Row],[Fed.Geo]],ResearchInput[[#This Row],[Fed.Life]],ResearchInput[[#This Row],[Fed.Math]],ResearchInput[[#This Row],[Fed.Phys]],ResearchInput[[#This Row],[Fed.Psyc]],ResearchInput[[#This Row],[Fed.Soc]],ResearchInput[[#This Row],[Fed.Othr]],ResearchInput[[#This Row],[Fed.Non]])</f>
        <v>10534931</v>
      </c>
      <c r="GS72" s="92">
        <f>SUM(ResearchInput[[#This Row],[St.Comp]],ResearchInput[[#This Row],[St.Eng]],ResearchInput[[#This Row],[St.Geo]],ResearchInput[[#This Row],[St.Life]],ResearchInput[[#This Row],[St.Math]],ResearchInput[[#This Row],[St.Phys]],ResearchInput[[#This Row],[St.Psyc]],ResearchInput[[#This Row],[St.Soc]],ResearchInput[[#This Row],[St.Othr]],ResearchInput[[#This Row],[St.Non]])</f>
        <v>0</v>
      </c>
      <c r="GT72" s="92">
        <f>SUM(ResearchInput[[#This Row],[St.C&amp;G.Comp]],ResearchInput[[#This Row],[St.C&amp;G.Eng]],ResearchInput[[#This Row],[St.C&amp;G.Geo]],ResearchInput[[#This Row],[St.C&amp;G.Life]],ResearchInput[[#This Row],[St.C&amp;G.Math]],ResearchInput[[#This Row],[St.C&amp;G.Phys]],ResearchInput[[#This Row],[St.C&amp;G.Psyc]],ResearchInput[[#This Row],[St.C&amp;G.Soc]],ResearchInput[[#This Row],[St.C&amp;G.Othr]],ResearchInput[[#This Row],[St.C&amp;G.Non]])</f>
        <v>0</v>
      </c>
      <c r="GU72" s="92">
        <f>SUM(ResearchInput[[#This Row],[St.All.Comp]],ResearchInput[[#This Row],[St.All.Eng]],ResearchInput[[#This Row],[St.All.Geo]],ResearchInput[[#This Row],[St.All.Life]],ResearchInput[[#This Row],[St.All.Math]],ResearchInput[[#This Row],[St.All.Phys]],ResearchInput[[#This Row],[St.All.Psyc]],ResearchInput[[#This Row],[St.All.Soc]],ResearchInput[[#This Row],[St.All.Othr]],ResearchInput[[#This Row],[St.All.Non]])</f>
        <v>0</v>
      </c>
      <c r="GV72" s="92">
        <f>SUM(ResearchInput[[#This Row],[Inst.Comp]],ResearchInput[[#This Row],[Inst.Eng]],ResearchInput[[#This Row],[Inst.Geo]],ResearchInput[[#This Row],[Inst.Life]],ResearchInput[[#This Row],[Inst.Math]],ResearchInput[[#This Row],[Inst.Phys]],ResearchInput[[#This Row],[Inst.Psyc]],ResearchInput[[#This Row],[Inst.Soc]],ResearchInput[[#This Row],[Inst.Othr]],ResearchInput[[#This Row],[Inst.Non]])</f>
        <v>31555</v>
      </c>
      <c r="GW72" s="92">
        <f>SUM(ResearchInput[[#This Row],[P4P.Comp]],ResearchInput[[#This Row],[P4P.Eng]],ResearchInput[[#This Row],[P4P.Geo]],ResearchInput[[#This Row],[P4P.Life]],ResearchInput[[#This Row],[P4P.Math]],ResearchInput[[#This Row],[P4P.Phys]],ResearchInput[[#This Row],[P4P.Psyc]],ResearchInput[[#This Row],[P4P.Soc]],ResearchInput[[#This Row],[P4P.Othr]],ResearchInput[[#This Row],[P4P.Non]])</f>
        <v>354820</v>
      </c>
      <c r="GX72" s="92">
        <f>SUM(ResearchInput[[#This Row],[PNP.Comp]],ResearchInput[[#This Row],[PNP.Eng]],ResearchInput[[#This Row],[PNP.Geo]],ResearchInput[[#This Row],[PNP.Life]],ResearchInput[[#This Row],[PNP.Math]],ResearchInput[[#This Row],[PNP.Phys]],ResearchInput[[#This Row],[PNP.Psyc]],ResearchInput[[#This Row],[PNP.Soc]],ResearchInput[[#This Row],[PNP.Othr]],ResearchInput[[#This Row],[PNP.Non]])</f>
        <v>7685</v>
      </c>
      <c r="GY72" s="92">
        <f>SUM(ResearchInput[[#This Row],[P.All.Comp]],ResearchInput[[#This Row],[P.All.Eng]],ResearchInput[[#This Row],[P.All.Geo]],ResearchInput[[#This Row],[P.All.Life]],ResearchInput[[#This Row],[P.All.Math]],ResearchInput[[#This Row],[P.All.Phys]],ResearchInput[[#This Row],[P.All.Psyc]],ResearchInput[[#This Row],[P.All.Soc]],ResearchInput[[#This Row],[P.All.Othr]],ResearchInput[[#This Row],[P.All.Non]])</f>
        <v>0</v>
      </c>
    </row>
    <row r="73" spans="1:207" s="47" customFormat="1" ht="27" customHeight="1" x14ac:dyDescent="0.25">
      <c r="A73" s="34" t="s">
        <v>221</v>
      </c>
      <c r="B73" s="34" t="s">
        <v>735</v>
      </c>
      <c r="C73" s="35" t="s">
        <v>674</v>
      </c>
      <c r="D73" s="35" t="s">
        <v>683</v>
      </c>
      <c r="E73" s="94">
        <v>1101</v>
      </c>
      <c r="F73" s="35" t="s">
        <v>714</v>
      </c>
      <c r="G73" s="35" t="s">
        <v>553</v>
      </c>
      <c r="H73" s="96">
        <v>556</v>
      </c>
      <c r="I73" s="92">
        <v>104129103</v>
      </c>
      <c r="J73" s="92">
        <v>99385015</v>
      </c>
      <c r="K73" s="92">
        <v>1899803</v>
      </c>
      <c r="L73" s="92">
        <v>955691</v>
      </c>
      <c r="M73" s="92">
        <v>63332397</v>
      </c>
      <c r="N73" s="92">
        <v>5646448</v>
      </c>
      <c r="O73" s="92">
        <v>8082875</v>
      </c>
      <c r="P73" s="92">
        <v>393562</v>
      </c>
      <c r="Q73" s="92">
        <v>0</v>
      </c>
      <c r="R73" s="92">
        <v>0</v>
      </c>
      <c r="S73" s="92">
        <v>0</v>
      </c>
      <c r="T73" s="92">
        <v>0</v>
      </c>
      <c r="U73" s="92">
        <v>0</v>
      </c>
      <c r="V73" s="92">
        <v>0</v>
      </c>
      <c r="W73" s="92">
        <v>0</v>
      </c>
      <c r="X73" s="92">
        <v>0</v>
      </c>
      <c r="Y73" s="92">
        <v>-4443025</v>
      </c>
      <c r="Z73" s="92">
        <v>0</v>
      </c>
      <c r="AA73" s="92">
        <v>-167574</v>
      </c>
      <c r="AB73" s="92">
        <v>0</v>
      </c>
      <c r="AC73" s="92">
        <v>0</v>
      </c>
      <c r="AD73" s="92">
        <v>-1090</v>
      </c>
      <c r="AE73" s="92">
        <v>0</v>
      </c>
      <c r="AF73" s="92">
        <v>0</v>
      </c>
      <c r="AG73" s="92">
        <v>22136838</v>
      </c>
      <c r="AH73" s="92">
        <v>0</v>
      </c>
      <c r="AI73" s="92">
        <v>244936</v>
      </c>
      <c r="AJ73" s="92">
        <v>181537</v>
      </c>
      <c r="AK73" s="92">
        <v>0</v>
      </c>
      <c r="AL73" s="92">
        <v>2641988</v>
      </c>
      <c r="AM73" s="92">
        <v>650839</v>
      </c>
      <c r="AN73" s="92">
        <v>83017</v>
      </c>
      <c r="AO73" s="92">
        <v>4273709</v>
      </c>
      <c r="AP73" s="92">
        <v>7401195</v>
      </c>
      <c r="AQ73" s="92">
        <v>529170</v>
      </c>
      <c r="AR73" s="92">
        <v>24238</v>
      </c>
      <c r="AS73" s="92">
        <v>5218265</v>
      </c>
      <c r="AT73" s="92">
        <v>252014</v>
      </c>
      <c r="AU73" s="92">
        <v>4664</v>
      </c>
      <c r="AV73" s="92">
        <v>15493</v>
      </c>
      <c r="AW73" s="92">
        <v>0</v>
      </c>
      <c r="AX73" s="92">
        <v>0</v>
      </c>
      <c r="AY73" s="92">
        <v>0</v>
      </c>
      <c r="AZ73" s="92">
        <v>0</v>
      </c>
      <c r="BA73" s="92">
        <v>0</v>
      </c>
      <c r="BB73" s="92">
        <v>0</v>
      </c>
      <c r="BC73" s="92">
        <v>612150</v>
      </c>
      <c r="BD73" s="92">
        <v>0</v>
      </c>
      <c r="BE73" s="92">
        <v>546991</v>
      </c>
      <c r="BF73" s="92">
        <v>0</v>
      </c>
      <c r="BG73" s="92">
        <v>0</v>
      </c>
      <c r="BH73" s="92">
        <v>0</v>
      </c>
      <c r="BI73" s="92">
        <v>25999</v>
      </c>
      <c r="BJ73" s="92">
        <v>28270</v>
      </c>
      <c r="BK73" s="92">
        <v>0</v>
      </c>
      <c r="BL73" s="92">
        <v>0</v>
      </c>
      <c r="BM73" s="92">
        <v>0</v>
      </c>
      <c r="BN73" s="92">
        <v>0</v>
      </c>
      <c r="BO73" s="92">
        <v>0</v>
      </c>
      <c r="BP73" s="92">
        <v>0</v>
      </c>
      <c r="BQ73" s="92">
        <v>0</v>
      </c>
      <c r="BR73" s="92">
        <v>0</v>
      </c>
      <c r="BS73" s="92">
        <v>0</v>
      </c>
      <c r="BT73" s="92">
        <v>0</v>
      </c>
      <c r="BU73" s="92">
        <v>285650</v>
      </c>
      <c r="BV73" s="92">
        <v>0</v>
      </c>
      <c r="BW73" s="92">
        <v>0</v>
      </c>
      <c r="BX73" s="92">
        <v>0</v>
      </c>
      <c r="BY73" s="92">
        <v>0</v>
      </c>
      <c r="BZ73" s="92">
        <v>0</v>
      </c>
      <c r="CA73" s="92">
        <v>0</v>
      </c>
      <c r="CB73" s="92">
        <v>0</v>
      </c>
      <c r="CC73" s="92">
        <v>4959489</v>
      </c>
      <c r="CD73" s="92">
        <v>0</v>
      </c>
      <c r="CE73" s="92">
        <v>0</v>
      </c>
      <c r="CF73" s="92">
        <v>9258</v>
      </c>
      <c r="CG73" s="92">
        <v>2644</v>
      </c>
      <c r="CH73" s="92">
        <v>514661</v>
      </c>
      <c r="CI73" s="92">
        <v>291101</v>
      </c>
      <c r="CJ73" s="92">
        <v>3226</v>
      </c>
      <c r="CK73" s="92">
        <v>2949892</v>
      </c>
      <c r="CL73" s="92">
        <v>0</v>
      </c>
      <c r="CM73" s="92">
        <v>236511</v>
      </c>
      <c r="CN73" s="92">
        <v>54890</v>
      </c>
      <c r="CO73" s="92">
        <v>0</v>
      </c>
      <c r="CP73" s="92">
        <v>386644</v>
      </c>
      <c r="CQ73" s="92">
        <v>66410</v>
      </c>
      <c r="CR73" s="92">
        <v>0</v>
      </c>
      <c r="CS73" s="92">
        <v>105837880</v>
      </c>
      <c r="CT73" s="92">
        <v>106786210</v>
      </c>
      <c r="CU73" s="92">
        <v>2072805</v>
      </c>
      <c r="CV73" s="92">
        <v>1050048</v>
      </c>
      <c r="CW73" s="92">
        <v>66430944</v>
      </c>
      <c r="CX73" s="92">
        <v>7517607</v>
      </c>
      <c r="CY73" s="92">
        <v>8797026</v>
      </c>
      <c r="CZ73" s="92">
        <v>488846</v>
      </c>
      <c r="DA73" s="92">
        <v>0</v>
      </c>
      <c r="DB73" s="92">
        <v>0</v>
      </c>
      <c r="DC73" s="92">
        <v>0</v>
      </c>
      <c r="DD73" s="92">
        <v>0</v>
      </c>
      <c r="DE73" s="92">
        <v>0</v>
      </c>
      <c r="DF73" s="92">
        <v>0</v>
      </c>
      <c r="DG73" s="92">
        <v>0</v>
      </c>
      <c r="DH73" s="92">
        <v>0</v>
      </c>
      <c r="DI73" s="92">
        <v>594253</v>
      </c>
      <c r="DJ73" s="92">
        <v>0</v>
      </c>
      <c r="DK73" s="92">
        <v>102712</v>
      </c>
      <c r="DL73" s="92">
        <v>0</v>
      </c>
      <c r="DM73" s="92">
        <v>0</v>
      </c>
      <c r="DN73" s="92">
        <v>0</v>
      </c>
      <c r="DO73" s="92">
        <v>169469</v>
      </c>
      <c r="DP73" s="92">
        <v>0</v>
      </c>
      <c r="DQ73" s="92">
        <v>367681</v>
      </c>
      <c r="DR73" s="92">
        <v>0</v>
      </c>
      <c r="DS73" s="92">
        <v>0</v>
      </c>
      <c r="DT73" s="92">
        <v>0</v>
      </c>
      <c r="DU73" s="92">
        <v>0</v>
      </c>
      <c r="DV73" s="92">
        <v>0</v>
      </c>
      <c r="DW73" s="92">
        <v>0</v>
      </c>
      <c r="DX73" s="92">
        <v>0</v>
      </c>
      <c r="DY73" s="92">
        <v>5582194</v>
      </c>
      <c r="DZ73" s="92">
        <v>0</v>
      </c>
      <c r="EA73" s="92">
        <v>60653</v>
      </c>
      <c r="EB73" s="92">
        <v>47270</v>
      </c>
      <c r="EC73" s="92">
        <v>0</v>
      </c>
      <c r="ED73" s="92">
        <v>0</v>
      </c>
      <c r="EE73" s="92">
        <v>15429</v>
      </c>
      <c r="EF73" s="92">
        <v>0</v>
      </c>
      <c r="EG73" s="92">
        <v>1481055</v>
      </c>
      <c r="EH73" s="92">
        <v>0</v>
      </c>
      <c r="EI73" s="92">
        <v>0</v>
      </c>
      <c r="EJ73" s="92">
        <v>0</v>
      </c>
      <c r="EK73" s="92">
        <v>23355</v>
      </c>
      <c r="EL73" s="92">
        <v>148718</v>
      </c>
      <c r="EM73" s="92">
        <v>0</v>
      </c>
      <c r="EN73" s="92">
        <v>0</v>
      </c>
      <c r="EO73" s="92">
        <v>4585522</v>
      </c>
      <c r="EP73" s="92">
        <v>0</v>
      </c>
      <c r="EQ73" s="92">
        <v>33654</v>
      </c>
      <c r="ER73" s="92">
        <v>0</v>
      </c>
      <c r="ES73" s="92">
        <v>2119718</v>
      </c>
      <c r="ET73" s="92">
        <v>0</v>
      </c>
      <c r="EU73" s="92">
        <v>11093</v>
      </c>
      <c r="EV73" s="92">
        <v>0</v>
      </c>
      <c r="EW73" s="92">
        <v>757664</v>
      </c>
      <c r="EX73" s="92">
        <v>0</v>
      </c>
      <c r="EY73" s="92">
        <v>0</v>
      </c>
      <c r="EZ73" s="92">
        <v>0</v>
      </c>
      <c r="FA73" s="92">
        <v>0</v>
      </c>
      <c r="FB73" s="92">
        <v>0</v>
      </c>
      <c r="FC73" s="92">
        <v>0</v>
      </c>
      <c r="FD73" s="92">
        <v>0</v>
      </c>
      <c r="FE73" s="92">
        <v>265761</v>
      </c>
      <c r="FF73" s="92">
        <v>0</v>
      </c>
      <c r="FG73" s="92">
        <v>0</v>
      </c>
      <c r="FH73" s="92">
        <v>0</v>
      </c>
      <c r="FI73" s="92">
        <v>0</v>
      </c>
      <c r="FJ73" s="92">
        <v>0</v>
      </c>
      <c r="FK73" s="92">
        <v>0</v>
      </c>
      <c r="FL73" s="92">
        <v>0</v>
      </c>
      <c r="FM73" s="92">
        <v>0</v>
      </c>
      <c r="FN73" s="92">
        <v>0</v>
      </c>
      <c r="FO73" s="92">
        <v>0</v>
      </c>
      <c r="FP73" s="92">
        <v>0</v>
      </c>
      <c r="FQ73" s="92">
        <v>0</v>
      </c>
      <c r="FR73" s="92">
        <v>0</v>
      </c>
      <c r="FS73" s="92">
        <v>0</v>
      </c>
      <c r="FT73" s="92">
        <v>0</v>
      </c>
      <c r="FU73" s="92">
        <v>0</v>
      </c>
      <c r="FV73" s="92">
        <v>0</v>
      </c>
      <c r="FW73" s="92">
        <v>0</v>
      </c>
      <c r="FX73" s="92">
        <v>0</v>
      </c>
      <c r="FY73" s="92">
        <v>0</v>
      </c>
      <c r="FZ73" s="92">
        <v>0</v>
      </c>
      <c r="GA73" s="92">
        <v>0</v>
      </c>
      <c r="GB73" s="92">
        <v>0</v>
      </c>
      <c r="GC73" s="92">
        <v>0</v>
      </c>
      <c r="GD73" s="92">
        <v>283824894</v>
      </c>
      <c r="GE73" s="92">
        <v>296907500</v>
      </c>
      <c r="GF73" s="92">
        <v>303315691</v>
      </c>
      <c r="GG73" s="47" t="s">
        <v>311</v>
      </c>
      <c r="GH73" s="47" t="s">
        <v>312</v>
      </c>
      <c r="GI73" s="93">
        <v>9798459761</v>
      </c>
      <c r="GJ73" s="47" t="s">
        <v>313</v>
      </c>
      <c r="GK73" s="47" t="s">
        <v>515</v>
      </c>
      <c r="GL73" s="47" t="s">
        <v>516</v>
      </c>
      <c r="GM73" s="93">
        <v>9793145898</v>
      </c>
      <c r="GN73" s="47" t="s">
        <v>517</v>
      </c>
      <c r="GO73" s="92" t="str" cm="1">
        <f t="array" ref="GO73">IFERROR(_xlfn.IFS(ResearchInput[[#This Row],[Type]]="HRI",SUMIFS('FTSE | FTFE'!$P$8:$P$77,'FTSE | FTFE'!$H$8:$H$77,A73),ResearchInput[[#This Row],[Type]]="UNIV",SUMIFS('FTSE | FTFE'!$P$104:$P$139,'FTSE | FTFE'!$H$104:$H$139,A73),OR(ResearchInput[[#This Row],[Type]]="TSTC",ResearchInput[[#This Row],[Type]]="LSC"),SUMIFS('FTSE | FTFE'!$O$88:$O$96,'FTSE | FTFE'!$H$88:$H$96,A73),ResearchInput[[#This Row],[Type]]="AHM",SUMIFS(Hidden!$H$43:$H$46,Hidden!$G$42:$G$45,A73)),"N/A")</f>
        <v>N/A</v>
      </c>
      <c r="GP73" s="92" t="str" cm="1">
        <f t="array" ref="GP73">IFERROR(_xlfn.IFS(ResearchInput[[#This Row],[Type]]="HRI",SUMIFS('FTSE | FTFE'!$Q$8:$Q$77,'FTSE | FTFE'!$H$8:$H$77,A73),ResearchInput[[#This Row],[Type]]="UNIV",SUMIFS('FTSE | FTFE'!$Q$104:$Q$139,'FTSE | FTFE'!$H$104:$H$139,A73),OR(ResearchInput[[#This Row],[Type]]="TSTC",ResearchInput[[#This Row],[Type]]="LSC"),SUMIFS('FTSE | FTFE'!$P$88:$P$96,'FTSE | FTFE'!$H$88:$H$96,A73)),"N/A")</f>
        <v>N/A</v>
      </c>
      <c r="GQ73" s="92">
        <v>612150</v>
      </c>
      <c r="GR73" s="92">
        <f>SUM(ResearchInput[[#This Row],[Fed.Comp]],ResearchInput[[#This Row],[Fed.Eng]],ResearchInput[[#This Row],[Fed.Geo]],ResearchInput[[#This Row],[Fed.Life]],ResearchInput[[#This Row],[Fed.Math]],ResearchInput[[#This Row],[Fed.Phys]],ResearchInput[[#This Row],[Fed.Psyc]],ResearchInput[[#This Row],[Fed.Soc]],ResearchInput[[#This Row],[Fed.Othr]],ResearchInput[[#This Row],[Fed.Non]])</f>
        <v>126643616</v>
      </c>
      <c r="GS73" s="92">
        <f>SUM(ResearchInput[[#This Row],[St.Comp]],ResearchInput[[#This Row],[St.Eng]],ResearchInput[[#This Row],[St.Geo]],ResearchInput[[#This Row],[St.Life]],ResearchInput[[#This Row],[St.Math]],ResearchInput[[#This Row],[St.Phys]],ResearchInput[[#This Row],[St.Psyc]],ResearchInput[[#This Row],[St.Soc]],ResearchInput[[#This Row],[St.Othr]],ResearchInput[[#This Row],[St.Non]])</f>
        <v>106786210</v>
      </c>
      <c r="GT73" s="92">
        <f>SUM(ResearchInput[[#This Row],[St.C&amp;G.Comp]],ResearchInput[[#This Row],[St.C&amp;G.Eng]],ResearchInput[[#This Row],[St.C&amp;G.Geo]],ResearchInput[[#This Row],[St.C&amp;G.Life]],ResearchInput[[#This Row],[St.C&amp;G.Math]],ResearchInput[[#This Row],[St.C&amp;G.Phys]],ResearchInput[[#This Row],[St.C&amp;G.Psyc]],ResearchInput[[#This Row],[St.C&amp;G.Soc]],ResearchInput[[#This Row],[St.C&amp;G.Othr]],ResearchInput[[#This Row],[St.C&amp;G.Non]])</f>
        <v>2506335</v>
      </c>
      <c r="GU73" s="92">
        <f>SUM(ResearchInput[[#This Row],[St.All.Comp]],ResearchInput[[#This Row],[St.All.Eng]],ResearchInput[[#This Row],[St.All.Geo]],ResearchInput[[#This Row],[St.All.Life]],ResearchInput[[#This Row],[St.All.Math]],ResearchInput[[#This Row],[St.All.Phys]],ResearchInput[[#This Row],[St.All.Psyc]],ResearchInput[[#This Row],[St.All.Soc]],ResearchInput[[#This Row],[St.All.Othr]],ResearchInput[[#This Row],[St.All.Non]])</f>
        <v>1161466</v>
      </c>
      <c r="GV73" s="92">
        <f>SUM(ResearchInput[[#This Row],[Inst.Comp]],ResearchInput[[#This Row],[Inst.Eng]],ResearchInput[[#This Row],[Inst.Geo]],ResearchInput[[#This Row],[Inst.Life]],ResearchInput[[#This Row],[Inst.Math]],ResearchInput[[#This Row],[Inst.Phys]],ResearchInput[[#This Row],[Inst.Psyc]],ResearchInput[[#This Row],[Inst.Soc]],ResearchInput[[#This Row],[Inst.Othr]],ResearchInput[[#This Row],[Inst.Non]])</f>
        <v>68576661</v>
      </c>
      <c r="GW73" s="92">
        <f>SUM(ResearchInput[[#This Row],[P4P.Comp]],ResearchInput[[#This Row],[P4P.Eng]],ResearchInput[[#This Row],[P4P.Geo]],ResearchInput[[#This Row],[P4P.Life]],ResearchInput[[#This Row],[P4P.Math]],ResearchInput[[#This Row],[P4P.Phys]],ResearchInput[[#This Row],[P4P.Psyc]],ResearchInput[[#This Row],[P4P.Soc]],ResearchInput[[#This Row],[P4P.Othr]],ResearchInput[[#This Row],[P4P.Non]])</f>
        <v>8567630</v>
      </c>
      <c r="GX73" s="92">
        <f>SUM(ResearchInput[[#This Row],[PNP.Comp]],ResearchInput[[#This Row],[PNP.Eng]],ResearchInput[[#This Row],[PNP.Geo]],ResearchInput[[#This Row],[PNP.Life]],ResearchInput[[#This Row],[PNP.Math]],ResearchInput[[#This Row],[PNP.Phys]],ResearchInput[[#This Row],[PNP.Psyc]],ResearchInput[[#This Row],[PNP.Soc]],ResearchInput[[#This Row],[PNP.Othr]],ResearchInput[[#This Row],[PNP.Non]])</f>
        <v>9350528</v>
      </c>
      <c r="GY73" s="92">
        <f>SUM(ResearchInput[[#This Row],[P.All.Comp]],ResearchInput[[#This Row],[P.All.Eng]],ResearchInput[[#This Row],[P.All.Geo]],ResearchInput[[#This Row],[P.All.Life]],ResearchInput[[#This Row],[P.All.Math]],ResearchInput[[#This Row],[P.All.Phys]],ResearchInput[[#This Row],[P.All.Psyc]],ResearchInput[[#This Row],[P.All.Soc]],ResearchInput[[#This Row],[P.All.Othr]],ResearchInput[[#This Row],[P.All.Non]])</f>
        <v>492072</v>
      </c>
    </row>
    <row r="74" spans="1:207" s="47" customFormat="1" ht="27" customHeight="1" x14ac:dyDescent="0.25">
      <c r="A74" s="34" t="s">
        <v>518</v>
      </c>
      <c r="B74" s="34" t="s">
        <v>735</v>
      </c>
      <c r="C74" s="35" t="s">
        <v>674</v>
      </c>
      <c r="D74" s="35" t="s">
        <v>683</v>
      </c>
      <c r="E74" s="94">
        <v>1102</v>
      </c>
      <c r="F74" s="35" t="s">
        <v>714</v>
      </c>
      <c r="G74" s="35" t="s">
        <v>553</v>
      </c>
      <c r="H74" s="96">
        <v>555</v>
      </c>
      <c r="I74" s="92">
        <v>540945</v>
      </c>
      <c r="J74" s="92">
        <v>289976</v>
      </c>
      <c r="K74" s="92">
        <v>740287</v>
      </c>
      <c r="L74" s="92">
        <v>44147</v>
      </c>
      <c r="M74" s="92">
        <v>299568</v>
      </c>
      <c r="N74" s="92">
        <v>724713</v>
      </c>
      <c r="O74" s="92">
        <v>1015783</v>
      </c>
      <c r="P74" s="92">
        <v>0</v>
      </c>
      <c r="Q74" s="92">
        <v>0</v>
      </c>
      <c r="R74" s="92">
        <v>0</v>
      </c>
      <c r="S74" s="92">
        <v>0</v>
      </c>
      <c r="T74" s="92">
        <v>0</v>
      </c>
      <c r="U74" s="92">
        <v>0</v>
      </c>
      <c r="V74" s="92">
        <v>0</v>
      </c>
      <c r="W74" s="92">
        <v>0</v>
      </c>
      <c r="X74" s="92">
        <v>0</v>
      </c>
      <c r="Y74" s="92">
        <v>-33274</v>
      </c>
      <c r="Z74" s="92">
        <v>0</v>
      </c>
      <c r="AA74" s="92">
        <v>-4327</v>
      </c>
      <c r="AB74" s="92">
        <v>0</v>
      </c>
      <c r="AC74" s="92">
        <v>0</v>
      </c>
      <c r="AD74" s="92">
        <v>0</v>
      </c>
      <c r="AE74" s="92">
        <v>0</v>
      </c>
      <c r="AF74" s="92">
        <v>-1829</v>
      </c>
      <c r="AG74" s="92">
        <v>186414</v>
      </c>
      <c r="AH74" s="92">
        <v>0</v>
      </c>
      <c r="AI74" s="92">
        <v>98499</v>
      </c>
      <c r="AJ74" s="92">
        <v>0</v>
      </c>
      <c r="AK74" s="92">
        <v>0</v>
      </c>
      <c r="AL74" s="92">
        <v>0</v>
      </c>
      <c r="AM74" s="92">
        <v>0</v>
      </c>
      <c r="AN74" s="92">
        <v>541934</v>
      </c>
      <c r="AO74" s="92">
        <v>5110</v>
      </c>
      <c r="AP74" s="92">
        <v>0</v>
      </c>
      <c r="AQ74" s="92">
        <v>8485</v>
      </c>
      <c r="AR74" s="92">
        <v>0</v>
      </c>
      <c r="AS74" s="92">
        <v>0</v>
      </c>
      <c r="AT74" s="92">
        <v>0</v>
      </c>
      <c r="AU74" s="92">
        <v>0</v>
      </c>
      <c r="AV74" s="92">
        <v>0</v>
      </c>
      <c r="AW74" s="92">
        <v>0</v>
      </c>
      <c r="AX74" s="92">
        <v>0</v>
      </c>
      <c r="AY74" s="92">
        <v>0</v>
      </c>
      <c r="AZ74" s="92">
        <v>0</v>
      </c>
      <c r="BA74" s="92">
        <v>0</v>
      </c>
      <c r="BB74" s="92">
        <v>0</v>
      </c>
      <c r="BC74" s="92">
        <v>0</v>
      </c>
      <c r="BD74" s="92">
        <v>0</v>
      </c>
      <c r="BE74" s="92">
        <v>0</v>
      </c>
      <c r="BF74" s="92">
        <v>0</v>
      </c>
      <c r="BG74" s="92">
        <v>0</v>
      </c>
      <c r="BH74" s="92">
        <v>0</v>
      </c>
      <c r="BI74" s="92">
        <v>0</v>
      </c>
      <c r="BJ74" s="92">
        <v>0</v>
      </c>
      <c r="BK74" s="92">
        <v>0</v>
      </c>
      <c r="BL74" s="92">
        <v>0</v>
      </c>
      <c r="BM74" s="92">
        <v>0</v>
      </c>
      <c r="BN74" s="92">
        <v>0</v>
      </c>
      <c r="BO74" s="92">
        <v>0</v>
      </c>
      <c r="BP74" s="92">
        <v>0</v>
      </c>
      <c r="BQ74" s="92">
        <v>0</v>
      </c>
      <c r="BR74" s="92">
        <v>0</v>
      </c>
      <c r="BS74" s="92">
        <v>0</v>
      </c>
      <c r="BT74" s="92">
        <v>0</v>
      </c>
      <c r="BU74" s="92">
        <v>0</v>
      </c>
      <c r="BV74" s="92">
        <v>0</v>
      </c>
      <c r="BW74" s="92">
        <v>0</v>
      </c>
      <c r="BX74" s="92">
        <v>0</v>
      </c>
      <c r="BY74" s="92">
        <v>0</v>
      </c>
      <c r="BZ74" s="92">
        <v>0</v>
      </c>
      <c r="CA74" s="92">
        <v>0</v>
      </c>
      <c r="CB74" s="92">
        <v>0</v>
      </c>
      <c r="CC74" s="92">
        <v>1219</v>
      </c>
      <c r="CD74" s="92">
        <v>0</v>
      </c>
      <c r="CE74" s="92">
        <v>261938</v>
      </c>
      <c r="CF74" s="92">
        <v>3809</v>
      </c>
      <c r="CG74" s="92">
        <v>5505</v>
      </c>
      <c r="CH74" s="92">
        <v>0</v>
      </c>
      <c r="CI74" s="92">
        <v>0</v>
      </c>
      <c r="CJ74" s="92">
        <v>0</v>
      </c>
      <c r="CK74" s="92">
        <v>0</v>
      </c>
      <c r="CL74" s="92">
        <v>0</v>
      </c>
      <c r="CM74" s="92">
        <v>2102</v>
      </c>
      <c r="CN74" s="92">
        <v>6569</v>
      </c>
      <c r="CO74" s="92">
        <v>0</v>
      </c>
      <c r="CP74" s="92">
        <v>48714</v>
      </c>
      <c r="CQ74" s="92">
        <v>0</v>
      </c>
      <c r="CR74" s="92">
        <v>109300</v>
      </c>
      <c r="CS74" s="92">
        <v>649399</v>
      </c>
      <c r="CT74" s="92">
        <v>289976</v>
      </c>
      <c r="CU74" s="92">
        <v>578904</v>
      </c>
      <c r="CV74" s="92">
        <v>33769</v>
      </c>
      <c r="CW74" s="92">
        <v>250067</v>
      </c>
      <c r="CX74" s="92">
        <v>673919</v>
      </c>
      <c r="CY74" s="92">
        <v>1007434</v>
      </c>
      <c r="CZ74" s="92">
        <v>426764</v>
      </c>
      <c r="DA74" s="92">
        <v>0</v>
      </c>
      <c r="DB74" s="92">
        <v>0</v>
      </c>
      <c r="DC74" s="92">
        <v>0</v>
      </c>
      <c r="DD74" s="92">
        <v>0</v>
      </c>
      <c r="DE74" s="92">
        <v>0</v>
      </c>
      <c r="DF74" s="92">
        <v>0</v>
      </c>
      <c r="DG74" s="92">
        <v>0</v>
      </c>
      <c r="DH74" s="92">
        <v>0</v>
      </c>
      <c r="DI74" s="92">
        <v>0</v>
      </c>
      <c r="DJ74" s="92">
        <v>0</v>
      </c>
      <c r="DK74" s="92">
        <v>0</v>
      </c>
      <c r="DL74" s="92">
        <v>0</v>
      </c>
      <c r="DM74" s="92">
        <v>0</v>
      </c>
      <c r="DN74" s="92">
        <v>2080</v>
      </c>
      <c r="DO74" s="92">
        <v>0</v>
      </c>
      <c r="DP74" s="92">
        <v>665</v>
      </c>
      <c r="DQ74" s="92">
        <v>0</v>
      </c>
      <c r="DR74" s="92">
        <v>0</v>
      </c>
      <c r="DS74" s="92">
        <v>0</v>
      </c>
      <c r="DT74" s="92">
        <v>0</v>
      </c>
      <c r="DU74" s="92">
        <v>0</v>
      </c>
      <c r="DV74" s="92">
        <v>0</v>
      </c>
      <c r="DW74" s="92">
        <v>0</v>
      </c>
      <c r="DX74" s="92">
        <v>0</v>
      </c>
      <c r="DY74" s="92">
        <v>48577</v>
      </c>
      <c r="DZ74" s="92">
        <v>0</v>
      </c>
      <c r="EA74" s="92">
        <v>0</v>
      </c>
      <c r="EB74" s="92">
        <v>0</v>
      </c>
      <c r="EC74" s="92">
        <v>0</v>
      </c>
      <c r="ED74" s="92">
        <v>0</v>
      </c>
      <c r="EE74" s="92">
        <v>0</v>
      </c>
      <c r="EF74" s="92">
        <v>0</v>
      </c>
      <c r="EG74" s="92">
        <v>0</v>
      </c>
      <c r="EH74" s="92">
        <v>0</v>
      </c>
      <c r="EI74" s="92">
        <v>0</v>
      </c>
      <c r="EJ74" s="92">
        <v>0</v>
      </c>
      <c r="EK74" s="92">
        <v>38412</v>
      </c>
      <c r="EL74" s="92">
        <v>0</v>
      </c>
      <c r="EM74" s="92">
        <v>0</v>
      </c>
      <c r="EN74" s="92">
        <v>0</v>
      </c>
      <c r="EO74" s="92">
        <v>0</v>
      </c>
      <c r="EP74" s="92">
        <v>0</v>
      </c>
      <c r="EQ74" s="92">
        <v>0</v>
      </c>
      <c r="ER74" s="92">
        <v>0</v>
      </c>
      <c r="ES74" s="92">
        <v>5584</v>
      </c>
      <c r="ET74" s="92">
        <v>0</v>
      </c>
      <c r="EU74" s="92">
        <v>8349</v>
      </c>
      <c r="EV74" s="92">
        <v>3376</v>
      </c>
      <c r="EW74" s="92">
        <v>0</v>
      </c>
      <c r="EX74" s="92">
        <v>0</v>
      </c>
      <c r="EY74" s="92">
        <v>0</v>
      </c>
      <c r="EZ74" s="92">
        <v>0</v>
      </c>
      <c r="FA74" s="92">
        <v>0</v>
      </c>
      <c r="FB74" s="92">
        <v>0</v>
      </c>
      <c r="FC74" s="92">
        <v>0</v>
      </c>
      <c r="FD74" s="92">
        <v>0</v>
      </c>
      <c r="FE74" s="92">
        <v>0</v>
      </c>
      <c r="FF74" s="92">
        <v>0</v>
      </c>
      <c r="FG74" s="92">
        <v>0</v>
      </c>
      <c r="FH74" s="92">
        <v>0</v>
      </c>
      <c r="FI74" s="92">
        <v>0</v>
      </c>
      <c r="FJ74" s="92">
        <v>0</v>
      </c>
      <c r="FK74" s="92">
        <v>0</v>
      </c>
      <c r="FL74" s="92">
        <v>0</v>
      </c>
      <c r="FM74" s="92">
        <v>0</v>
      </c>
      <c r="FN74" s="92">
        <v>0</v>
      </c>
      <c r="FO74" s="92">
        <v>0</v>
      </c>
      <c r="FP74" s="92">
        <v>0</v>
      </c>
      <c r="FQ74" s="92">
        <v>0</v>
      </c>
      <c r="FR74" s="92">
        <v>0</v>
      </c>
      <c r="FS74" s="92">
        <v>0</v>
      </c>
      <c r="FT74" s="92">
        <v>0</v>
      </c>
      <c r="FU74" s="92">
        <v>0</v>
      </c>
      <c r="FV74" s="92">
        <v>0</v>
      </c>
      <c r="FW74" s="92">
        <v>0</v>
      </c>
      <c r="FX74" s="92">
        <v>0</v>
      </c>
      <c r="FY74" s="92">
        <v>0</v>
      </c>
      <c r="FZ74" s="92">
        <v>0</v>
      </c>
      <c r="GA74" s="92">
        <v>0</v>
      </c>
      <c r="GB74" s="92">
        <v>0</v>
      </c>
      <c r="GC74" s="92">
        <v>0</v>
      </c>
      <c r="GD74" s="92">
        <v>3655419</v>
      </c>
      <c r="GE74" s="92">
        <v>3629584</v>
      </c>
      <c r="GF74" s="92">
        <v>189545881</v>
      </c>
      <c r="GG74" s="47" t="s">
        <v>311</v>
      </c>
      <c r="GH74" s="47" t="s">
        <v>312</v>
      </c>
      <c r="GI74" s="93">
        <v>9798459761</v>
      </c>
      <c r="GJ74" s="47" t="s">
        <v>313</v>
      </c>
      <c r="GK74" s="47" t="s">
        <v>378</v>
      </c>
      <c r="GL74" s="47" t="s">
        <v>519</v>
      </c>
      <c r="GM74" s="93">
        <v>9793140137</v>
      </c>
      <c r="GN74" s="47" t="s">
        <v>520</v>
      </c>
      <c r="GO74" s="92" t="str" cm="1">
        <f t="array" ref="GO74">IFERROR(_xlfn.IFS(ResearchInput[[#This Row],[Type]]="HRI",SUMIFS('FTSE | FTFE'!$P$8:$P$77,'FTSE | FTFE'!$H$8:$H$77,A74),ResearchInput[[#This Row],[Type]]="UNIV",SUMIFS('FTSE | FTFE'!$P$104:$P$139,'FTSE | FTFE'!$H$104:$H$139,A74),OR(ResearchInput[[#This Row],[Type]]="TSTC",ResearchInput[[#This Row],[Type]]="LSC"),SUMIFS('FTSE | FTFE'!$O$88:$O$96,'FTSE | FTFE'!$H$88:$H$96,A74),ResearchInput[[#This Row],[Type]]="AHM",SUMIFS(Hidden!$H$43:$H$46,Hidden!$G$42:$G$45,A74)),"N/A")</f>
        <v>N/A</v>
      </c>
      <c r="GP74" s="92" t="str" cm="1">
        <f t="array" ref="GP74">IFERROR(_xlfn.IFS(ResearchInput[[#This Row],[Type]]="HRI",SUMIFS('FTSE | FTFE'!$Q$8:$Q$77,'FTSE | FTFE'!$H$8:$H$77,A74),ResearchInput[[#This Row],[Type]]="UNIV",SUMIFS('FTSE | FTFE'!$Q$104:$Q$139,'FTSE | FTFE'!$H$104:$H$139,A74),OR(ResearchInput[[#This Row],[Type]]="TSTC",ResearchInput[[#This Row],[Type]]="LSC"),SUMIFS('FTSE | FTFE'!$P$88:$P$96,'FTSE | FTFE'!$H$88:$H$96,A74)),"N/A")</f>
        <v>N/A</v>
      </c>
      <c r="GQ74" s="92">
        <v>0</v>
      </c>
      <c r="GR74" s="92">
        <f>SUM(ResearchInput[[#This Row],[Fed.Comp]],ResearchInput[[#This Row],[Fed.Eng]],ResearchInput[[#This Row],[Fed.Geo]],ResearchInput[[#This Row],[Fed.Life]],ResearchInput[[#This Row],[Fed.Math]],ResearchInput[[#This Row],[Fed.Phys]],ResearchInput[[#This Row],[Fed.Psyc]],ResearchInput[[#This Row],[Fed.Soc]],ResearchInput[[#This Row],[Fed.Othr]],ResearchInput[[#This Row],[Fed.Non]])</f>
        <v>699195</v>
      </c>
      <c r="GS74" s="92">
        <f>SUM(ResearchInput[[#This Row],[St.Comp]],ResearchInput[[#This Row],[St.Eng]],ResearchInput[[#This Row],[St.Geo]],ResearchInput[[#This Row],[St.Life]],ResearchInput[[#This Row],[St.Math]],ResearchInput[[#This Row],[St.Phys]],ResearchInput[[#This Row],[St.Psyc]],ResearchInput[[#This Row],[St.Soc]],ResearchInput[[#This Row],[St.Othr]],ResearchInput[[#This Row],[St.Non]])</f>
        <v>289976</v>
      </c>
      <c r="GT74" s="92">
        <f>SUM(ResearchInput[[#This Row],[St.C&amp;G.Comp]],ResearchInput[[#This Row],[St.C&amp;G.Eng]],ResearchInput[[#This Row],[St.C&amp;G.Geo]],ResearchInput[[#This Row],[St.C&amp;G.Life]],ResearchInput[[#This Row],[St.C&amp;G.Math]],ResearchInput[[#This Row],[St.C&amp;G.Phys]],ResearchInput[[#This Row],[St.C&amp;G.Psyc]],ResearchInput[[#This Row],[St.C&amp;G.Soc]],ResearchInput[[#This Row],[St.C&amp;G.Othr]],ResearchInput[[#This Row],[St.C&amp;G.Non]])</f>
        <v>842944</v>
      </c>
      <c r="GU74" s="92">
        <f>SUM(ResearchInput[[#This Row],[St.All.Comp]],ResearchInput[[#This Row],[St.All.Eng]],ResearchInput[[#This Row],[St.All.Geo]],ResearchInput[[#This Row],[St.All.Life]],ResearchInput[[#This Row],[St.All.Math]],ResearchInput[[#This Row],[St.All.Phys]],ResearchInput[[#This Row],[St.All.Psyc]],ResearchInput[[#This Row],[St.All.Soc]],ResearchInput[[#This Row],[St.All.Othr]],ResearchInput[[#This Row],[St.All.Non]])</f>
        <v>44147</v>
      </c>
      <c r="GV74" s="92">
        <f>SUM(ResearchInput[[#This Row],[Inst.Comp]],ResearchInput[[#This Row],[Inst.Eng]],ResearchInput[[#This Row],[Inst.Geo]],ResearchInput[[#This Row],[Inst.Life]],ResearchInput[[#This Row],[Inst.Math]],ResearchInput[[#This Row],[Inst.Phys]],ResearchInput[[#This Row],[Inst.Psyc]],ResearchInput[[#This Row],[Inst.Soc]],ResearchInput[[#This Row],[Inst.Othr]],ResearchInput[[#This Row],[Inst.Non]])</f>
        <v>299568</v>
      </c>
      <c r="GW74" s="92">
        <f>SUM(ResearchInput[[#This Row],[P4P.Comp]],ResearchInput[[#This Row],[P4P.Eng]],ResearchInput[[#This Row],[P4P.Geo]],ResearchInput[[#This Row],[P4P.Life]],ResearchInput[[#This Row],[P4P.Math]],ResearchInput[[#This Row],[P4P.Phys]],ResearchInput[[#This Row],[P4P.Psyc]],ResearchInput[[#This Row],[P4P.Soc]],ResearchInput[[#This Row],[P4P.Othr]],ResearchInput[[#This Row],[P4P.Non]])</f>
        <v>724713</v>
      </c>
      <c r="GX74" s="92">
        <f>SUM(ResearchInput[[#This Row],[PNP.Comp]],ResearchInput[[#This Row],[PNP.Eng]],ResearchInput[[#This Row],[PNP.Geo]],ResearchInput[[#This Row],[PNP.Life]],ResearchInput[[#This Row],[PNP.Math]],ResearchInput[[#This Row],[PNP.Phys]],ResearchInput[[#This Row],[PNP.Psyc]],ResearchInput[[#This Row],[PNP.Soc]],ResearchInput[[#This Row],[PNP.Othr]],ResearchInput[[#This Row],[PNP.Non]])</f>
        <v>1015783</v>
      </c>
      <c r="GY74" s="92">
        <f>SUM(ResearchInput[[#This Row],[P.All.Comp]],ResearchInput[[#This Row],[P.All.Eng]],ResearchInput[[#This Row],[P.All.Geo]],ResearchInput[[#This Row],[P.All.Life]],ResearchInput[[#This Row],[P.All.Math]],ResearchInput[[#This Row],[P.All.Phys]],ResearchInput[[#This Row],[P.All.Psyc]],ResearchInput[[#This Row],[P.All.Soc]],ResearchInput[[#This Row],[P.All.Othr]],ResearchInput[[#This Row],[P.All.Non]])</f>
        <v>540105</v>
      </c>
    </row>
    <row r="75" spans="1:207" s="47" customFormat="1" ht="27" customHeight="1" x14ac:dyDescent="0.25">
      <c r="A75" s="34" t="s">
        <v>222</v>
      </c>
      <c r="B75" s="34" t="s">
        <v>735</v>
      </c>
      <c r="C75" s="35" t="s">
        <v>674</v>
      </c>
      <c r="D75" s="35" t="s">
        <v>683</v>
      </c>
      <c r="E75" s="94">
        <v>1103</v>
      </c>
      <c r="F75" s="35" t="s">
        <v>714</v>
      </c>
      <c r="G75" s="35" t="s">
        <v>553</v>
      </c>
      <c r="H75" s="96">
        <v>712</v>
      </c>
      <c r="I75" s="92">
        <v>100405743</v>
      </c>
      <c r="J75" s="92">
        <v>34376658</v>
      </c>
      <c r="K75" s="92">
        <v>11804989</v>
      </c>
      <c r="L75" s="92">
        <v>12495326</v>
      </c>
      <c r="M75" s="92">
        <v>56314098</v>
      </c>
      <c r="N75" s="92">
        <v>16306067</v>
      </c>
      <c r="O75" s="92">
        <v>15904592</v>
      </c>
      <c r="P75" s="92">
        <v>887388</v>
      </c>
      <c r="Q75" s="92">
        <v>0</v>
      </c>
      <c r="R75" s="92">
        <v>-122577</v>
      </c>
      <c r="S75" s="92">
        <v>0</v>
      </c>
      <c r="T75" s="92">
        <v>0</v>
      </c>
      <c r="U75" s="92">
        <v>-126750</v>
      </c>
      <c r="V75" s="92">
        <v>0</v>
      </c>
      <c r="W75" s="92">
        <v>0</v>
      </c>
      <c r="X75" s="92">
        <v>0</v>
      </c>
      <c r="Y75" s="92">
        <v>-4935311</v>
      </c>
      <c r="Z75" s="92">
        <v>0</v>
      </c>
      <c r="AA75" s="92">
        <v>-148750</v>
      </c>
      <c r="AB75" s="92">
        <v>0</v>
      </c>
      <c r="AC75" s="92">
        <v>0</v>
      </c>
      <c r="AD75" s="92">
        <v>0</v>
      </c>
      <c r="AE75" s="92">
        <v>-508437</v>
      </c>
      <c r="AF75" s="92">
        <v>0</v>
      </c>
      <c r="AG75" s="92">
        <v>22194776</v>
      </c>
      <c r="AH75" s="92">
        <v>0</v>
      </c>
      <c r="AI75" s="92">
        <v>1847901</v>
      </c>
      <c r="AJ75" s="92">
        <v>4649832</v>
      </c>
      <c r="AK75" s="92">
        <v>-25</v>
      </c>
      <c r="AL75" s="92">
        <v>6990639</v>
      </c>
      <c r="AM75" s="92">
        <v>5466128</v>
      </c>
      <c r="AN75" s="92">
        <v>354607</v>
      </c>
      <c r="AO75" s="92">
        <v>2750177</v>
      </c>
      <c r="AP75" s="92">
        <v>0</v>
      </c>
      <c r="AQ75" s="92">
        <v>6657364</v>
      </c>
      <c r="AR75" s="92">
        <v>106223</v>
      </c>
      <c r="AS75" s="92">
        <v>-998923</v>
      </c>
      <c r="AT75" s="92">
        <v>276878</v>
      </c>
      <c r="AU75" s="92">
        <v>93245</v>
      </c>
      <c r="AV75" s="92">
        <v>3000</v>
      </c>
      <c r="AW75" s="92">
        <v>0</v>
      </c>
      <c r="AX75" s="92">
        <v>0</v>
      </c>
      <c r="AY75" s="92">
        <v>0</v>
      </c>
      <c r="AZ75" s="92">
        <v>0</v>
      </c>
      <c r="BA75" s="92">
        <v>0</v>
      </c>
      <c r="BB75" s="92">
        <v>0</v>
      </c>
      <c r="BC75" s="92">
        <v>43666</v>
      </c>
      <c r="BD75" s="92">
        <v>0</v>
      </c>
      <c r="BE75" s="92">
        <v>8622834</v>
      </c>
      <c r="BF75" s="92">
        <v>0</v>
      </c>
      <c r="BG75" s="92">
        <v>0</v>
      </c>
      <c r="BH75" s="92">
        <v>0</v>
      </c>
      <c r="BI75" s="92">
        <v>0</v>
      </c>
      <c r="BJ75" s="92">
        <v>27731</v>
      </c>
      <c r="BK75" s="92">
        <v>0</v>
      </c>
      <c r="BL75" s="92">
        <v>0</v>
      </c>
      <c r="BM75" s="92">
        <v>-1334739</v>
      </c>
      <c r="BN75" s="92">
        <v>0</v>
      </c>
      <c r="BO75" s="92">
        <v>0</v>
      </c>
      <c r="BP75" s="92">
        <v>0</v>
      </c>
      <c r="BQ75" s="92">
        <v>-258038</v>
      </c>
      <c r="BR75" s="92">
        <v>-28270</v>
      </c>
      <c r="BS75" s="92">
        <v>-26842</v>
      </c>
      <c r="BT75" s="92">
        <v>-15866</v>
      </c>
      <c r="BU75" s="92">
        <v>6412045</v>
      </c>
      <c r="BV75" s="92">
        <v>0</v>
      </c>
      <c r="BW75" s="92">
        <v>811307</v>
      </c>
      <c r="BX75" s="92">
        <v>264990</v>
      </c>
      <c r="BY75" s="92">
        <v>1977832</v>
      </c>
      <c r="BZ75" s="92">
        <v>2661364</v>
      </c>
      <c r="CA75" s="92">
        <v>1910761</v>
      </c>
      <c r="CB75" s="92">
        <v>0</v>
      </c>
      <c r="CC75" s="92">
        <v>115186362</v>
      </c>
      <c r="CD75" s="92">
        <v>34206316</v>
      </c>
      <c r="CE75" s="92">
        <v>18706947</v>
      </c>
      <c r="CF75" s="92">
        <v>16275731</v>
      </c>
      <c r="CG75" s="92">
        <v>52479517</v>
      </c>
      <c r="CH75" s="92">
        <v>19287673</v>
      </c>
      <c r="CI75" s="92">
        <v>15722606</v>
      </c>
      <c r="CJ75" s="92">
        <v>1128349</v>
      </c>
      <c r="CK75" s="92">
        <v>0</v>
      </c>
      <c r="CL75" s="92">
        <v>0</v>
      </c>
      <c r="CM75" s="92">
        <v>0</v>
      </c>
      <c r="CN75" s="92">
        <v>0</v>
      </c>
      <c r="CO75" s="92">
        <v>0</v>
      </c>
      <c r="CP75" s="92">
        <v>0</v>
      </c>
      <c r="CQ75" s="92">
        <v>0</v>
      </c>
      <c r="CR75" s="92">
        <v>0</v>
      </c>
      <c r="CS75" s="92">
        <v>419753</v>
      </c>
      <c r="CT75" s="92">
        <v>0</v>
      </c>
      <c r="CU75" s="92">
        <v>0</v>
      </c>
      <c r="CV75" s="92">
        <v>0</v>
      </c>
      <c r="CW75" s="92">
        <v>6081</v>
      </c>
      <c r="CX75" s="92">
        <v>0</v>
      </c>
      <c r="CY75" s="92">
        <v>186774</v>
      </c>
      <c r="CZ75" s="92">
        <v>0</v>
      </c>
      <c r="DA75" s="92">
        <v>72540</v>
      </c>
      <c r="DB75" s="92">
        <v>27218</v>
      </c>
      <c r="DC75" s="92">
        <v>0</v>
      </c>
      <c r="DD75" s="92">
        <v>0</v>
      </c>
      <c r="DE75" s="92">
        <v>66742</v>
      </c>
      <c r="DF75" s="92">
        <v>0</v>
      </c>
      <c r="DG75" s="92">
        <v>1700</v>
      </c>
      <c r="DH75" s="92">
        <v>0</v>
      </c>
      <c r="DI75" s="92">
        <v>5012965</v>
      </c>
      <c r="DJ75" s="92">
        <v>0</v>
      </c>
      <c r="DK75" s="92">
        <v>0</v>
      </c>
      <c r="DL75" s="92">
        <v>624338</v>
      </c>
      <c r="DM75" s="92">
        <v>0</v>
      </c>
      <c r="DN75" s="92">
        <v>1428338</v>
      </c>
      <c r="DO75" s="92">
        <v>1505087</v>
      </c>
      <c r="DP75" s="92">
        <v>100780</v>
      </c>
      <c r="DQ75" s="92">
        <v>0</v>
      </c>
      <c r="DR75" s="92">
        <v>0</v>
      </c>
      <c r="DS75" s="92">
        <v>0</v>
      </c>
      <c r="DT75" s="92">
        <v>0</v>
      </c>
      <c r="DU75" s="92">
        <v>100840</v>
      </c>
      <c r="DV75" s="92">
        <v>0</v>
      </c>
      <c r="DW75" s="92">
        <v>0</v>
      </c>
      <c r="DX75" s="92">
        <v>0</v>
      </c>
      <c r="DY75" s="92">
        <v>0</v>
      </c>
      <c r="DZ75" s="92">
        <v>0</v>
      </c>
      <c r="EA75" s="92">
        <v>17874</v>
      </c>
      <c r="EB75" s="92">
        <v>0</v>
      </c>
      <c r="EC75" s="92">
        <v>2817</v>
      </c>
      <c r="ED75" s="92">
        <v>0</v>
      </c>
      <c r="EE75" s="92">
        <v>0</v>
      </c>
      <c r="EF75" s="92">
        <v>0</v>
      </c>
      <c r="EG75" s="92">
        <v>287192</v>
      </c>
      <c r="EH75" s="92">
        <v>20547</v>
      </c>
      <c r="EI75" s="92">
        <v>153454</v>
      </c>
      <c r="EJ75" s="92">
        <v>86322</v>
      </c>
      <c r="EK75" s="92">
        <v>65176</v>
      </c>
      <c r="EL75" s="92">
        <v>195670</v>
      </c>
      <c r="EM75" s="92">
        <v>674929</v>
      </c>
      <c r="EN75" s="92">
        <v>0</v>
      </c>
      <c r="EO75" s="92">
        <v>312623</v>
      </c>
      <c r="EP75" s="92">
        <v>0</v>
      </c>
      <c r="EQ75" s="92">
        <v>471922</v>
      </c>
      <c r="ER75" s="92">
        <v>0</v>
      </c>
      <c r="ES75" s="92">
        <v>231357</v>
      </c>
      <c r="ET75" s="92">
        <v>0</v>
      </c>
      <c r="EU75" s="92">
        <v>970495</v>
      </c>
      <c r="EV75" s="92">
        <v>0</v>
      </c>
      <c r="EW75" s="92">
        <v>0</v>
      </c>
      <c r="EX75" s="92">
        <v>0</v>
      </c>
      <c r="EY75" s="92">
        <v>0</v>
      </c>
      <c r="EZ75" s="92">
        <v>0</v>
      </c>
      <c r="FA75" s="92">
        <v>0</v>
      </c>
      <c r="FB75" s="92">
        <v>0</v>
      </c>
      <c r="FC75" s="92">
        <v>0</v>
      </c>
      <c r="FD75" s="92">
        <v>0</v>
      </c>
      <c r="FE75" s="92">
        <v>-14490</v>
      </c>
      <c r="FF75" s="92">
        <v>0</v>
      </c>
      <c r="FG75" s="92">
        <v>0</v>
      </c>
      <c r="FH75" s="92">
        <v>0</v>
      </c>
      <c r="FI75" s="92">
        <v>0</v>
      </c>
      <c r="FJ75" s="92">
        <v>0</v>
      </c>
      <c r="FK75" s="92">
        <v>0</v>
      </c>
      <c r="FL75" s="92">
        <v>66348</v>
      </c>
      <c r="FM75" s="92">
        <v>0</v>
      </c>
      <c r="FN75" s="92">
        <v>0</v>
      </c>
      <c r="FO75" s="92">
        <v>0</v>
      </c>
      <c r="FP75" s="92">
        <v>0</v>
      </c>
      <c r="FQ75" s="92">
        <v>0</v>
      </c>
      <c r="FR75" s="92">
        <v>0</v>
      </c>
      <c r="FS75" s="92">
        <v>0</v>
      </c>
      <c r="FT75" s="92">
        <v>0</v>
      </c>
      <c r="FU75" s="92">
        <v>0</v>
      </c>
      <c r="FV75" s="92">
        <v>0</v>
      </c>
      <c r="FW75" s="92">
        <v>0</v>
      </c>
      <c r="FX75" s="92">
        <v>0</v>
      </c>
      <c r="FY75" s="92">
        <v>0</v>
      </c>
      <c r="FZ75" s="92">
        <v>0</v>
      </c>
      <c r="GA75" s="92">
        <v>0</v>
      </c>
      <c r="GB75" s="92">
        <v>0</v>
      </c>
      <c r="GC75" s="92">
        <v>0</v>
      </c>
      <c r="GD75" s="92">
        <v>248494861</v>
      </c>
      <c r="GE75" s="92">
        <v>251840041</v>
      </c>
      <c r="GF75" s="92">
        <v>251840041</v>
      </c>
      <c r="GG75" s="47" t="s">
        <v>311</v>
      </c>
      <c r="GH75" s="47" t="s">
        <v>312</v>
      </c>
      <c r="GI75" s="93">
        <v>9798459761</v>
      </c>
      <c r="GJ75" s="47" t="s">
        <v>313</v>
      </c>
      <c r="GK75" s="47" t="s">
        <v>521</v>
      </c>
      <c r="GL75" s="47" t="s">
        <v>522</v>
      </c>
      <c r="GM75" s="93">
        <v>9794588986</v>
      </c>
      <c r="GN75" s="47" t="s">
        <v>523</v>
      </c>
      <c r="GO75" s="92" t="str" cm="1">
        <f t="array" ref="GO75">IFERROR(_xlfn.IFS(ResearchInput[[#This Row],[Type]]="HRI",SUMIFS('FTSE | FTFE'!$P$8:$P$77,'FTSE | FTFE'!$H$8:$H$77,A75),ResearchInput[[#This Row],[Type]]="UNIV",SUMIFS('FTSE | FTFE'!$P$104:$P$139,'FTSE | FTFE'!$H$104:$H$139,A75),OR(ResearchInput[[#This Row],[Type]]="TSTC",ResearchInput[[#This Row],[Type]]="LSC"),SUMIFS('FTSE | FTFE'!$O$88:$O$96,'FTSE | FTFE'!$H$88:$H$96,A75),ResearchInput[[#This Row],[Type]]="AHM",SUMIFS(Hidden!$H$43:$H$46,Hidden!$G$42:$G$45,A75)),"N/A")</f>
        <v>N/A</v>
      </c>
      <c r="GP75" s="92" t="str" cm="1">
        <f t="array" ref="GP75">IFERROR(_xlfn.IFS(ResearchInput[[#This Row],[Type]]="HRI",SUMIFS('FTSE | FTFE'!$Q$8:$Q$77,'FTSE | FTFE'!$H$8:$H$77,A75),ResearchInput[[#This Row],[Type]]="UNIV",SUMIFS('FTSE | FTFE'!$Q$104:$Q$139,'FTSE | FTFE'!$H$104:$H$139,A75),OR(ResearchInput[[#This Row],[Type]]="TSTC",ResearchInput[[#This Row],[Type]]="LSC"),SUMIFS('FTSE | FTFE'!$P$88:$P$96,'FTSE | FTFE'!$H$88:$H$96,A75)),"N/A")</f>
        <v>N/A</v>
      </c>
      <c r="GQ75" s="92">
        <v>43666</v>
      </c>
      <c r="GR75" s="92">
        <f>SUM(ResearchInput[[#This Row],[Fed.Comp]],ResearchInput[[#This Row],[Fed.Eng]],ResearchInput[[#This Row],[Fed.Geo]],ResearchInput[[#This Row],[Fed.Life]],ResearchInput[[#This Row],[Fed.Math]],ResearchInput[[#This Row],[Fed.Phys]],ResearchInput[[#This Row],[Fed.Psyc]],ResearchInput[[#This Row],[Fed.Soc]],ResearchInput[[#This Row],[Fed.Othr]],ResearchInput[[#This Row],[Fed.Non]])</f>
        <v>127703480</v>
      </c>
      <c r="GS75" s="92">
        <f>SUM(ResearchInput[[#This Row],[St.Comp]],ResearchInput[[#This Row],[St.Eng]],ResearchInput[[#This Row],[St.Geo]],ResearchInput[[#This Row],[St.Life]],ResearchInput[[#This Row],[St.Math]],ResearchInput[[#This Row],[St.Phys]],ResearchInput[[#This Row],[St.Psyc]],ResearchInput[[#This Row],[St.Soc]],ResearchInput[[#This Row],[St.Othr]],ResearchInput[[#This Row],[St.Non]])</f>
        <v>34254081</v>
      </c>
      <c r="GT75" s="92">
        <f>SUM(ResearchInput[[#This Row],[St.C&amp;G.Comp]],ResearchInput[[#This Row],[St.C&amp;G.Eng]],ResearchInput[[#This Row],[St.C&amp;G.Geo]],ResearchInput[[#This Row],[St.C&amp;G.Life]],ResearchInput[[#This Row],[St.C&amp;G.Math]],ResearchInput[[#This Row],[St.C&amp;G.Phys]],ResearchInput[[#This Row],[St.C&amp;G.Psyc]],ResearchInput[[#This Row],[St.C&amp;G.Soc]],ResearchInput[[#This Row],[St.C&amp;G.Othr]],ResearchInput[[#This Row],[St.C&amp;G.Non]])</f>
        <v>20161504</v>
      </c>
      <c r="GU75" s="92">
        <f>SUM(ResearchInput[[#This Row],[St.All.Comp]],ResearchInput[[#This Row],[St.All.Eng]],ResearchInput[[#This Row],[St.All.Geo]],ResearchInput[[#This Row],[St.All.Life]],ResearchInput[[#This Row],[St.All.Math]],ResearchInput[[#This Row],[St.All.Phys]],ResearchInput[[#This Row],[St.All.Psyc]],ResearchInput[[#This Row],[St.All.Soc]],ResearchInput[[#This Row],[St.All.Othr]],ResearchInput[[#This Row],[St.All.Non]])</f>
        <v>17251381</v>
      </c>
      <c r="GV75" s="92">
        <f>SUM(ResearchInput[[#This Row],[Inst.Comp]],ResearchInput[[#This Row],[Inst.Eng]],ResearchInput[[#This Row],[Inst.Geo]],ResearchInput[[#This Row],[Inst.Life]],ResearchInput[[#This Row],[Inst.Math]],ResearchInput[[#This Row],[Inst.Phys]],ResearchInput[[#This Row],[Inst.Psyc]],ResearchInput[[#This Row],[Inst.Soc]],ResearchInput[[#This Row],[Inst.Othr]],ResearchInput[[#This Row],[Inst.Non]])</f>
        <v>54930362</v>
      </c>
      <c r="GW75" s="92">
        <f>SUM(ResearchInput[[#This Row],[P4P.Comp]],ResearchInput[[#This Row],[P4P.Eng]],ResearchInput[[#This Row],[P4P.Geo]],ResearchInput[[#This Row],[P4P.Life]],ResearchInput[[#This Row],[P4P.Math]],ResearchInput[[#This Row],[P4P.Phys]],ResearchInput[[#This Row],[P4P.Psyc]],ResearchInput[[#This Row],[P4P.Soc]],ResearchInput[[#This Row],[P4P.Othr]],ResearchInput[[#This Row],[P4P.Non]])</f>
        <v>23573045</v>
      </c>
      <c r="GX75" s="92">
        <f>SUM(ResearchInput[[#This Row],[PNP.Comp]],ResearchInput[[#This Row],[PNP.Eng]],ResearchInput[[#This Row],[PNP.Geo]],ResearchInput[[#This Row],[PNP.Life]],ResearchInput[[#This Row],[PNP.Math]],ResearchInput[[#This Row],[PNP.Phys]],ResearchInput[[#This Row],[PNP.Psyc]],ResearchInput[[#This Row],[PNP.Soc]],ResearchInput[[#This Row],[PNP.Othr]],ResearchInput[[#This Row],[PNP.Non]])</f>
        <v>20972352</v>
      </c>
      <c r="GY75" s="92">
        <f>SUM(ResearchInput[[#This Row],[P.All.Comp]],ResearchInput[[#This Row],[P.All.Eng]],ResearchInput[[#This Row],[P.All.Geo]],ResearchInput[[#This Row],[P.All.Life]],ResearchInput[[#This Row],[P.All.Math]],ResearchInput[[#This Row],[P.All.Phys]],ResearchInput[[#This Row],[P.All.Psyc]],ResearchInput[[#This Row],[P.All.Soc]],ResearchInput[[#This Row],[P.All.Othr]],ResearchInput[[#This Row],[P.All.Non]])</f>
        <v>1229129</v>
      </c>
    </row>
    <row r="76" spans="1:207" s="47" customFormat="1" ht="27" customHeight="1" x14ac:dyDescent="0.25">
      <c r="A76" s="34" t="s">
        <v>532</v>
      </c>
      <c r="B76" s="34" t="s">
        <v>735</v>
      </c>
      <c r="C76" s="35" t="s">
        <v>674</v>
      </c>
      <c r="D76" s="35" t="s">
        <v>683</v>
      </c>
      <c r="E76" s="94">
        <v>1104</v>
      </c>
      <c r="F76" s="35" t="s">
        <v>714</v>
      </c>
      <c r="G76" s="35" t="s">
        <v>553</v>
      </c>
      <c r="H76" s="96">
        <v>727</v>
      </c>
      <c r="I76" s="92">
        <v>17936714</v>
      </c>
      <c r="J76" s="92">
        <v>15747880</v>
      </c>
      <c r="K76" s="92">
        <v>48540789</v>
      </c>
      <c r="L76" s="92">
        <v>1784783</v>
      </c>
      <c r="M76" s="92">
        <v>20148157</v>
      </c>
      <c r="N76" s="92">
        <v>2249445</v>
      </c>
      <c r="O76" s="92">
        <v>353447</v>
      </c>
      <c r="P76" s="92">
        <v>602406</v>
      </c>
      <c r="Q76" s="92">
        <v>0</v>
      </c>
      <c r="R76" s="92">
        <v>0</v>
      </c>
      <c r="S76" s="92">
        <v>0</v>
      </c>
      <c r="T76" s="92">
        <v>0</v>
      </c>
      <c r="U76" s="92">
        <v>0</v>
      </c>
      <c r="V76" s="92">
        <v>0</v>
      </c>
      <c r="W76" s="92">
        <v>0</v>
      </c>
      <c r="X76" s="92">
        <v>0</v>
      </c>
      <c r="Y76" s="92">
        <v>-186251</v>
      </c>
      <c r="Z76" s="92">
        <v>0</v>
      </c>
      <c r="AA76" s="92">
        <v>0</v>
      </c>
      <c r="AB76" s="92">
        <v>0</v>
      </c>
      <c r="AC76" s="92">
        <v>0</v>
      </c>
      <c r="AD76" s="92">
        <v>-98052</v>
      </c>
      <c r="AE76" s="92">
        <v>0</v>
      </c>
      <c r="AF76" s="92">
        <v>0</v>
      </c>
      <c r="AG76" s="92">
        <v>6849967</v>
      </c>
      <c r="AH76" s="92">
        <v>0</v>
      </c>
      <c r="AI76" s="92">
        <v>14811092</v>
      </c>
      <c r="AJ76" s="92">
        <v>530045</v>
      </c>
      <c r="AK76" s="92">
        <v>81</v>
      </c>
      <c r="AL76" s="92">
        <v>658802</v>
      </c>
      <c r="AM76" s="92">
        <v>187299</v>
      </c>
      <c r="AN76" s="92">
        <v>118492</v>
      </c>
      <c r="AO76" s="92">
        <v>266471</v>
      </c>
      <c r="AP76" s="92">
        <v>0</v>
      </c>
      <c r="AQ76" s="92">
        <v>887715</v>
      </c>
      <c r="AR76" s="92">
        <v>0</v>
      </c>
      <c r="AS76" s="92">
        <v>47664</v>
      </c>
      <c r="AT76" s="92">
        <v>2174</v>
      </c>
      <c r="AU76" s="92">
        <v>0</v>
      </c>
      <c r="AV76" s="92">
        <v>0</v>
      </c>
      <c r="AW76" s="92">
        <v>0</v>
      </c>
      <c r="AX76" s="92">
        <v>0</v>
      </c>
      <c r="AY76" s="92">
        <v>0</v>
      </c>
      <c r="AZ76" s="92">
        <v>0</v>
      </c>
      <c r="BA76" s="92">
        <v>0</v>
      </c>
      <c r="BB76" s="92">
        <v>0</v>
      </c>
      <c r="BC76" s="92">
        <v>0</v>
      </c>
      <c r="BD76" s="92">
        <v>0</v>
      </c>
      <c r="BE76" s="92">
        <v>320247</v>
      </c>
      <c r="BF76" s="92">
        <v>0</v>
      </c>
      <c r="BG76" s="92">
        <v>0</v>
      </c>
      <c r="BH76" s="92">
        <v>0</v>
      </c>
      <c r="BI76" s="92">
        <v>0</v>
      </c>
      <c r="BJ76" s="92">
        <v>0</v>
      </c>
      <c r="BK76" s="92">
        <v>0</v>
      </c>
      <c r="BL76" s="92">
        <v>0</v>
      </c>
      <c r="BM76" s="92">
        <v>0</v>
      </c>
      <c r="BN76" s="92">
        <v>0</v>
      </c>
      <c r="BO76" s="92">
        <v>0</v>
      </c>
      <c r="BP76" s="92">
        <v>0</v>
      </c>
      <c r="BQ76" s="92">
        <v>0</v>
      </c>
      <c r="BR76" s="92">
        <v>0</v>
      </c>
      <c r="BS76" s="92">
        <v>0</v>
      </c>
      <c r="BT76" s="92">
        <v>0</v>
      </c>
      <c r="BU76" s="92">
        <v>0</v>
      </c>
      <c r="BV76" s="92">
        <v>0</v>
      </c>
      <c r="BW76" s="92">
        <v>0</v>
      </c>
      <c r="BX76" s="92">
        <v>0</v>
      </c>
      <c r="BY76" s="92">
        <v>0</v>
      </c>
      <c r="BZ76" s="92">
        <v>0</v>
      </c>
      <c r="CA76" s="92">
        <v>0</v>
      </c>
      <c r="CB76" s="92">
        <v>0</v>
      </c>
      <c r="CC76" s="92">
        <v>20780355</v>
      </c>
      <c r="CD76" s="92">
        <v>14874055</v>
      </c>
      <c r="CE76" s="92">
        <v>58224592</v>
      </c>
      <c r="CF76" s="92">
        <v>2055114</v>
      </c>
      <c r="CG76" s="92">
        <v>20202484</v>
      </c>
      <c r="CH76" s="92">
        <v>2695067</v>
      </c>
      <c r="CI76" s="92">
        <v>466699</v>
      </c>
      <c r="CJ76" s="92">
        <v>686701</v>
      </c>
      <c r="CK76" s="92">
        <v>802203</v>
      </c>
      <c r="CL76" s="92">
        <v>0</v>
      </c>
      <c r="CM76" s="92">
        <v>620338</v>
      </c>
      <c r="CN76" s="92">
        <v>0</v>
      </c>
      <c r="CO76" s="92">
        <v>0</v>
      </c>
      <c r="CP76" s="92">
        <v>0</v>
      </c>
      <c r="CQ76" s="92">
        <v>0</v>
      </c>
      <c r="CR76" s="92">
        <v>0</v>
      </c>
      <c r="CS76" s="92">
        <v>276830</v>
      </c>
      <c r="CT76" s="92">
        <v>873825</v>
      </c>
      <c r="CU76" s="92">
        <v>484147</v>
      </c>
      <c r="CV76" s="92">
        <v>1761</v>
      </c>
      <c r="CW76" s="92">
        <v>0</v>
      </c>
      <c r="CX76" s="92">
        <v>20433</v>
      </c>
      <c r="CY76" s="92">
        <v>8485</v>
      </c>
      <c r="CZ76" s="92">
        <v>0</v>
      </c>
      <c r="DA76" s="92">
        <v>605428</v>
      </c>
      <c r="DB76" s="92">
        <v>0</v>
      </c>
      <c r="DC76" s="92">
        <v>0</v>
      </c>
      <c r="DD76" s="92">
        <v>0</v>
      </c>
      <c r="DE76" s="92">
        <v>0</v>
      </c>
      <c r="DF76" s="92">
        <v>0</v>
      </c>
      <c r="DG76" s="92">
        <v>0</v>
      </c>
      <c r="DH76" s="92">
        <v>0</v>
      </c>
      <c r="DI76" s="92">
        <v>0</v>
      </c>
      <c r="DJ76" s="92">
        <v>0</v>
      </c>
      <c r="DK76" s="92">
        <v>759281</v>
      </c>
      <c r="DL76" s="92">
        <v>0</v>
      </c>
      <c r="DM76" s="92">
        <v>0</v>
      </c>
      <c r="DN76" s="92">
        <v>0</v>
      </c>
      <c r="DO76" s="92">
        <v>0</v>
      </c>
      <c r="DP76" s="92">
        <v>0</v>
      </c>
      <c r="DQ76" s="92">
        <v>172560</v>
      </c>
      <c r="DR76" s="92">
        <v>0</v>
      </c>
      <c r="DS76" s="92">
        <v>280159</v>
      </c>
      <c r="DT76" s="92">
        <v>0</v>
      </c>
      <c r="DU76" s="92">
        <v>0</v>
      </c>
      <c r="DV76" s="92">
        <v>0</v>
      </c>
      <c r="DW76" s="92">
        <v>23105</v>
      </c>
      <c r="DX76" s="92">
        <v>0</v>
      </c>
      <c r="DY76" s="92">
        <v>731989</v>
      </c>
      <c r="DZ76" s="92">
        <v>0</v>
      </c>
      <c r="EA76" s="92">
        <v>1299974</v>
      </c>
      <c r="EB76" s="92">
        <v>178766</v>
      </c>
      <c r="EC76" s="92">
        <v>-6582</v>
      </c>
      <c r="ED76" s="92">
        <v>85784</v>
      </c>
      <c r="EE76" s="92">
        <v>1288</v>
      </c>
      <c r="EF76" s="92">
        <v>13897</v>
      </c>
      <c r="EG76" s="92">
        <v>0</v>
      </c>
      <c r="EH76" s="92">
        <v>0</v>
      </c>
      <c r="EI76" s="92">
        <v>0</v>
      </c>
      <c r="EJ76" s="92">
        <v>0</v>
      </c>
      <c r="EK76" s="92">
        <v>0</v>
      </c>
      <c r="EL76" s="92">
        <v>0</v>
      </c>
      <c r="EM76" s="92">
        <v>0</v>
      </c>
      <c r="EN76" s="92">
        <v>0</v>
      </c>
      <c r="EO76" s="92">
        <v>1817783</v>
      </c>
      <c r="EP76" s="92">
        <v>0</v>
      </c>
      <c r="EQ76" s="92">
        <v>2571105</v>
      </c>
      <c r="ER76" s="92">
        <v>79187</v>
      </c>
      <c r="ES76" s="92">
        <v>0</v>
      </c>
      <c r="ET76" s="92">
        <v>11085</v>
      </c>
      <c r="EU76" s="92">
        <v>41169</v>
      </c>
      <c r="EV76" s="92">
        <v>20300</v>
      </c>
      <c r="EW76" s="92">
        <v>0</v>
      </c>
      <c r="EX76" s="92">
        <v>0</v>
      </c>
      <c r="EY76" s="92">
        <v>0</v>
      </c>
      <c r="EZ76" s="92">
        <v>0</v>
      </c>
      <c r="FA76" s="92">
        <v>0</v>
      </c>
      <c r="FB76" s="92">
        <v>0</v>
      </c>
      <c r="FC76" s="92">
        <v>0</v>
      </c>
      <c r="FD76" s="92">
        <v>0</v>
      </c>
      <c r="FE76" s="92">
        <v>0</v>
      </c>
      <c r="FF76" s="92">
        <v>0</v>
      </c>
      <c r="FG76" s="92">
        <v>0</v>
      </c>
      <c r="FH76" s="92">
        <v>0</v>
      </c>
      <c r="FI76" s="92">
        <v>0</v>
      </c>
      <c r="FJ76" s="92">
        <v>0</v>
      </c>
      <c r="FK76" s="92">
        <v>0</v>
      </c>
      <c r="FL76" s="92">
        <v>0</v>
      </c>
      <c r="FM76" s="92">
        <v>0</v>
      </c>
      <c r="FN76" s="92">
        <v>0</v>
      </c>
      <c r="FO76" s="92">
        <v>0</v>
      </c>
      <c r="FP76" s="92">
        <v>0</v>
      </c>
      <c r="FQ76" s="92">
        <v>0</v>
      </c>
      <c r="FR76" s="92">
        <v>0</v>
      </c>
      <c r="FS76" s="92">
        <v>0</v>
      </c>
      <c r="FT76" s="92">
        <v>0</v>
      </c>
      <c r="FU76" s="92">
        <v>0</v>
      </c>
      <c r="FV76" s="92">
        <v>0</v>
      </c>
      <c r="FW76" s="92">
        <v>0</v>
      </c>
      <c r="FX76" s="92">
        <v>0</v>
      </c>
      <c r="FY76" s="92">
        <v>0</v>
      </c>
      <c r="FZ76" s="92">
        <v>0</v>
      </c>
      <c r="GA76" s="92">
        <v>0</v>
      </c>
      <c r="GB76" s="92">
        <v>0</v>
      </c>
      <c r="GC76" s="92">
        <v>0</v>
      </c>
      <c r="GD76" s="92">
        <v>107363621</v>
      </c>
      <c r="GE76" s="92">
        <v>108276918</v>
      </c>
      <c r="GF76" s="92">
        <v>108276918</v>
      </c>
      <c r="GG76" s="47" t="s">
        <v>311</v>
      </c>
      <c r="GH76" s="47" t="s">
        <v>312</v>
      </c>
      <c r="GI76" s="93">
        <v>9798459761</v>
      </c>
      <c r="GJ76" s="47" t="s">
        <v>313</v>
      </c>
      <c r="GK76" s="47" t="s">
        <v>533</v>
      </c>
      <c r="GL76" s="47" t="s">
        <v>437</v>
      </c>
      <c r="GM76" s="93">
        <v>9793172757</v>
      </c>
      <c r="GN76" s="47" t="s">
        <v>534</v>
      </c>
      <c r="GO76" s="92" t="str" cm="1">
        <f t="array" ref="GO76">IFERROR(_xlfn.IFS(ResearchInput[[#This Row],[Type]]="HRI",SUMIFS('FTSE | FTFE'!$P$8:$P$77,'FTSE | FTFE'!$H$8:$H$77,A76),ResearchInput[[#This Row],[Type]]="UNIV",SUMIFS('FTSE | FTFE'!$P$104:$P$139,'FTSE | FTFE'!$H$104:$H$139,A76),OR(ResearchInput[[#This Row],[Type]]="TSTC",ResearchInput[[#This Row],[Type]]="LSC"),SUMIFS('FTSE | FTFE'!$O$88:$O$96,'FTSE | FTFE'!$H$88:$H$96,A76),ResearchInput[[#This Row],[Type]]="AHM",SUMIFS(Hidden!$H$43:$H$46,Hidden!$G$42:$G$45,A76)),"N/A")</f>
        <v>N/A</v>
      </c>
      <c r="GP76" s="92" t="str" cm="1">
        <f t="array" ref="GP76">IFERROR(_xlfn.IFS(ResearchInput[[#This Row],[Type]]="HRI",SUMIFS('FTSE | FTFE'!$Q$8:$Q$77,'FTSE | FTFE'!$H$8:$H$77,A76),ResearchInput[[#This Row],[Type]]="UNIV",SUMIFS('FTSE | FTFE'!$Q$104:$Q$139,'FTSE | FTFE'!$H$104:$H$139,A76),OR(ResearchInput[[#This Row],[Type]]="TSTC",ResearchInput[[#This Row],[Type]]="LSC"),SUMIFS('FTSE | FTFE'!$P$88:$P$96,'FTSE | FTFE'!$H$88:$H$96,A76)),"N/A")</f>
        <v>N/A</v>
      </c>
      <c r="GQ76" s="92">
        <v>0</v>
      </c>
      <c r="GR76" s="92">
        <f>SUM(ResearchInput[[#This Row],[Fed.Comp]],ResearchInput[[#This Row],[Fed.Eng]],ResearchInput[[#This Row],[Fed.Geo]],ResearchInput[[#This Row],[Fed.Life]],ResearchInput[[#This Row],[Fed.Math]],ResearchInput[[#This Row],[Fed.Phys]],ResearchInput[[#This Row],[Fed.Psyc]],ResearchInput[[#This Row],[Fed.Soc]],ResearchInput[[#This Row],[Fed.Othr]],ResearchInput[[#This Row],[Fed.Non]])</f>
        <v>25187148</v>
      </c>
      <c r="GS76" s="92">
        <f>SUM(ResearchInput[[#This Row],[St.Comp]],ResearchInput[[#This Row],[St.Eng]],ResearchInput[[#This Row],[St.Geo]],ResearchInput[[#This Row],[St.Life]],ResearchInput[[#This Row],[St.Math]],ResearchInput[[#This Row],[St.Phys]],ResearchInput[[#This Row],[St.Psyc]],ResearchInput[[#This Row],[St.Soc]],ResearchInput[[#This Row],[St.Othr]],ResearchInput[[#This Row],[St.Non]])</f>
        <v>15747880</v>
      </c>
      <c r="GT76" s="92">
        <f>SUM(ResearchInput[[#This Row],[St.C&amp;G.Comp]],ResearchInput[[#This Row],[St.C&amp;G.Eng]],ResearchInput[[#This Row],[St.C&amp;G.Geo]],ResearchInput[[#This Row],[St.C&amp;G.Life]],ResearchInput[[#This Row],[St.C&amp;G.Math]],ResearchInput[[#This Row],[St.C&amp;G.Phys]],ResearchInput[[#This Row],[St.C&amp;G.Psyc]],ResearchInput[[#This Row],[St.C&amp;G.Soc]],ResearchInput[[#This Row],[St.C&amp;G.Othr]],ResearchInput[[#This Row],[St.C&amp;G.Non]])</f>
        <v>64239596</v>
      </c>
      <c r="GU76" s="92">
        <f>SUM(ResearchInput[[#This Row],[St.All.Comp]],ResearchInput[[#This Row],[St.All.Eng]],ResearchInput[[#This Row],[St.All.Geo]],ResearchInput[[#This Row],[St.All.Life]],ResearchInput[[#This Row],[St.All.Math]],ResearchInput[[#This Row],[St.All.Phys]],ResearchInput[[#This Row],[St.All.Psyc]],ResearchInput[[#This Row],[St.All.Soc]],ResearchInput[[#This Row],[St.All.Othr]],ResearchInput[[#This Row],[St.All.Non]])</f>
        <v>2314828</v>
      </c>
      <c r="GV76" s="92">
        <f>SUM(ResearchInput[[#This Row],[Inst.Comp]],ResearchInput[[#This Row],[Inst.Eng]],ResearchInput[[#This Row],[Inst.Geo]],ResearchInput[[#This Row],[Inst.Life]],ResearchInput[[#This Row],[Inst.Math]],ResearchInput[[#This Row],[Inst.Phys]],ResearchInput[[#This Row],[Inst.Psyc]],ResearchInput[[#This Row],[Inst.Soc]],ResearchInput[[#This Row],[Inst.Othr]],ResearchInput[[#This Row],[Inst.Non]])</f>
        <v>20195902</v>
      </c>
      <c r="GW76" s="92">
        <f>SUM(ResearchInput[[#This Row],[P4P.Comp]],ResearchInput[[#This Row],[P4P.Eng]],ResearchInput[[#This Row],[P4P.Geo]],ResearchInput[[#This Row],[P4P.Life]],ResearchInput[[#This Row],[P4P.Math]],ResearchInput[[#This Row],[P4P.Phys]],ResearchInput[[#This Row],[P4P.Psyc]],ResearchInput[[#This Row],[P4P.Soc]],ResearchInput[[#This Row],[P4P.Othr]],ResearchInput[[#This Row],[P4P.Non]])</f>
        <v>2812369</v>
      </c>
      <c r="GX76" s="92">
        <f>SUM(ResearchInput[[#This Row],[PNP.Comp]],ResearchInput[[#This Row],[PNP.Eng]],ResearchInput[[#This Row],[PNP.Geo]],ResearchInput[[#This Row],[PNP.Life]],ResearchInput[[#This Row],[PNP.Math]],ResearchInput[[#This Row],[PNP.Phys]],ResearchInput[[#This Row],[PNP.Psyc]],ResearchInput[[#This Row],[PNP.Soc]],ResearchInput[[#This Row],[PNP.Othr]],ResearchInput[[#This Row],[PNP.Non]])</f>
        <v>540746</v>
      </c>
      <c r="GY76" s="92">
        <f>SUM(ResearchInput[[#This Row],[P.All.Comp]],ResearchInput[[#This Row],[P.All.Eng]],ResearchInput[[#This Row],[P.All.Geo]],ResearchInput[[#This Row],[P.All.Life]],ResearchInput[[#This Row],[P.All.Math]],ResearchInput[[#This Row],[P.All.Phys]],ResearchInput[[#This Row],[P.All.Psyc]],ResearchInput[[#This Row],[P.All.Soc]],ResearchInput[[#This Row],[P.All.Othr]],ResearchInput[[#This Row],[P.All.Non]])</f>
        <v>720898</v>
      </c>
    </row>
    <row r="77" spans="1:207" s="47" customFormat="1" ht="27" customHeight="1" x14ac:dyDescent="0.25">
      <c r="A77" s="34" t="s">
        <v>524</v>
      </c>
      <c r="B77" s="34" t="s">
        <v>735</v>
      </c>
      <c r="C77" s="35" t="s">
        <v>674</v>
      </c>
      <c r="D77" s="35" t="s">
        <v>683</v>
      </c>
      <c r="E77" s="94">
        <v>1105</v>
      </c>
      <c r="F77" s="35" t="s">
        <v>714</v>
      </c>
      <c r="G77" s="35" t="s">
        <v>553</v>
      </c>
      <c r="H77" s="96">
        <v>716</v>
      </c>
      <c r="I77" s="92">
        <v>0</v>
      </c>
      <c r="J77" s="92">
        <v>0</v>
      </c>
      <c r="K77" s="92">
        <v>0</v>
      </c>
      <c r="L77" s="92">
        <v>0</v>
      </c>
      <c r="M77" s="92">
        <v>0</v>
      </c>
      <c r="N77" s="92">
        <v>0</v>
      </c>
      <c r="O77" s="92">
        <v>0</v>
      </c>
      <c r="P77" s="92">
        <v>0</v>
      </c>
      <c r="Q77" s="92">
        <v>0</v>
      </c>
      <c r="R77" s="92">
        <v>0</v>
      </c>
      <c r="S77" s="92">
        <v>0</v>
      </c>
      <c r="T77" s="92">
        <v>0</v>
      </c>
      <c r="U77" s="92">
        <v>0</v>
      </c>
      <c r="V77" s="92">
        <v>0</v>
      </c>
      <c r="W77" s="92">
        <v>0</v>
      </c>
      <c r="X77" s="92">
        <v>0</v>
      </c>
      <c r="Y77" s="92">
        <v>0</v>
      </c>
      <c r="Z77" s="92">
        <v>0</v>
      </c>
      <c r="AA77" s="92">
        <v>0</v>
      </c>
      <c r="AB77" s="92">
        <v>0</v>
      </c>
      <c r="AC77" s="92">
        <v>0</v>
      </c>
      <c r="AD77" s="92">
        <v>0</v>
      </c>
      <c r="AE77" s="92">
        <v>0</v>
      </c>
      <c r="AF77" s="92">
        <v>0</v>
      </c>
      <c r="AG77" s="92">
        <v>0</v>
      </c>
      <c r="AH77" s="92">
        <v>0</v>
      </c>
      <c r="AI77" s="92">
        <v>0</v>
      </c>
      <c r="AJ77" s="92">
        <v>0</v>
      </c>
      <c r="AK77" s="92">
        <v>0</v>
      </c>
      <c r="AL77" s="92">
        <v>0</v>
      </c>
      <c r="AM77" s="92">
        <v>0</v>
      </c>
      <c r="AN77" s="92">
        <v>0</v>
      </c>
      <c r="AO77" s="92">
        <v>0</v>
      </c>
      <c r="AP77" s="92">
        <v>0</v>
      </c>
      <c r="AQ77" s="92">
        <v>0</v>
      </c>
      <c r="AR77" s="92">
        <v>0</v>
      </c>
      <c r="AS77" s="92">
        <v>0</v>
      </c>
      <c r="AT77" s="92">
        <v>0</v>
      </c>
      <c r="AU77" s="92">
        <v>0</v>
      </c>
      <c r="AV77" s="92">
        <v>0</v>
      </c>
      <c r="AW77" s="92">
        <v>0</v>
      </c>
      <c r="AX77" s="92">
        <v>0</v>
      </c>
      <c r="AY77" s="92">
        <v>0</v>
      </c>
      <c r="AZ77" s="92">
        <v>0</v>
      </c>
      <c r="BA77" s="92">
        <v>0</v>
      </c>
      <c r="BB77" s="92">
        <v>0</v>
      </c>
      <c r="BC77" s="92">
        <v>0</v>
      </c>
      <c r="BD77" s="92">
        <v>0</v>
      </c>
      <c r="BE77" s="92">
        <v>0</v>
      </c>
      <c r="BF77" s="92">
        <v>0</v>
      </c>
      <c r="BG77" s="92">
        <v>0</v>
      </c>
      <c r="BH77" s="92">
        <v>0</v>
      </c>
      <c r="BI77" s="92">
        <v>0</v>
      </c>
      <c r="BJ77" s="92">
        <v>0</v>
      </c>
      <c r="BK77" s="92">
        <v>0</v>
      </c>
      <c r="BL77" s="92">
        <v>0</v>
      </c>
      <c r="BM77" s="92">
        <v>0</v>
      </c>
      <c r="BN77" s="92">
        <v>0</v>
      </c>
      <c r="BO77" s="92">
        <v>0</v>
      </c>
      <c r="BP77" s="92">
        <v>0</v>
      </c>
      <c r="BQ77" s="92">
        <v>0</v>
      </c>
      <c r="BR77" s="92">
        <v>0</v>
      </c>
      <c r="BS77" s="92">
        <v>0</v>
      </c>
      <c r="BT77" s="92">
        <v>0</v>
      </c>
      <c r="BU77" s="92">
        <v>0</v>
      </c>
      <c r="BV77" s="92">
        <v>0</v>
      </c>
      <c r="BW77" s="92">
        <v>0</v>
      </c>
      <c r="BX77" s="92">
        <v>0</v>
      </c>
      <c r="BY77" s="92">
        <v>0</v>
      </c>
      <c r="BZ77" s="92">
        <v>0</v>
      </c>
      <c r="CA77" s="92">
        <v>0</v>
      </c>
      <c r="CB77" s="92">
        <v>0</v>
      </c>
      <c r="CC77" s="92">
        <v>0</v>
      </c>
      <c r="CD77" s="92">
        <v>0</v>
      </c>
      <c r="CE77" s="92">
        <v>0</v>
      </c>
      <c r="CF77" s="92">
        <v>0</v>
      </c>
      <c r="CG77" s="92">
        <v>0</v>
      </c>
      <c r="CH77" s="92">
        <v>0</v>
      </c>
      <c r="CI77" s="92">
        <v>0</v>
      </c>
      <c r="CJ77" s="92">
        <v>0</v>
      </c>
      <c r="CK77" s="92">
        <v>0</v>
      </c>
      <c r="CL77" s="92">
        <v>0</v>
      </c>
      <c r="CM77" s="92">
        <v>0</v>
      </c>
      <c r="CN77" s="92">
        <v>0</v>
      </c>
      <c r="CO77" s="92">
        <v>0</v>
      </c>
      <c r="CP77" s="92">
        <v>0</v>
      </c>
      <c r="CQ77" s="92">
        <v>0</v>
      </c>
      <c r="CR77" s="92">
        <v>0</v>
      </c>
      <c r="CS77" s="92">
        <v>0</v>
      </c>
      <c r="CT77" s="92">
        <v>0</v>
      </c>
      <c r="CU77" s="92">
        <v>0</v>
      </c>
      <c r="CV77" s="92">
        <v>0</v>
      </c>
      <c r="CW77" s="92">
        <v>0</v>
      </c>
      <c r="CX77" s="92">
        <v>0</v>
      </c>
      <c r="CY77" s="92">
        <v>0</v>
      </c>
      <c r="CZ77" s="92">
        <v>0</v>
      </c>
      <c r="DA77" s="92">
        <v>0</v>
      </c>
      <c r="DB77" s="92">
        <v>0</v>
      </c>
      <c r="DC77" s="92">
        <v>0</v>
      </c>
      <c r="DD77" s="92">
        <v>0</v>
      </c>
      <c r="DE77" s="92">
        <v>0</v>
      </c>
      <c r="DF77" s="92">
        <v>0</v>
      </c>
      <c r="DG77" s="92">
        <v>0</v>
      </c>
      <c r="DH77" s="92">
        <v>0</v>
      </c>
      <c r="DI77" s="92">
        <v>0</v>
      </c>
      <c r="DJ77" s="92">
        <v>0</v>
      </c>
      <c r="DK77" s="92">
        <v>0</v>
      </c>
      <c r="DL77" s="92">
        <v>0</v>
      </c>
      <c r="DM77" s="92">
        <v>0</v>
      </c>
      <c r="DN77" s="92">
        <v>0</v>
      </c>
      <c r="DO77" s="92">
        <v>0</v>
      </c>
      <c r="DP77" s="92">
        <v>0</v>
      </c>
      <c r="DQ77" s="92">
        <v>0</v>
      </c>
      <c r="DR77" s="92">
        <v>0</v>
      </c>
      <c r="DS77" s="92">
        <v>0</v>
      </c>
      <c r="DT77" s="92">
        <v>0</v>
      </c>
      <c r="DU77" s="92">
        <v>0</v>
      </c>
      <c r="DV77" s="92">
        <v>0</v>
      </c>
      <c r="DW77" s="92">
        <v>0</v>
      </c>
      <c r="DX77" s="92">
        <v>0</v>
      </c>
      <c r="DY77" s="92">
        <v>0</v>
      </c>
      <c r="DZ77" s="92">
        <v>0</v>
      </c>
      <c r="EA77" s="92">
        <v>0</v>
      </c>
      <c r="EB77" s="92">
        <v>0</v>
      </c>
      <c r="EC77" s="92">
        <v>0</v>
      </c>
      <c r="ED77" s="92">
        <v>0</v>
      </c>
      <c r="EE77" s="92">
        <v>0</v>
      </c>
      <c r="EF77" s="92">
        <v>0</v>
      </c>
      <c r="EG77" s="92">
        <v>0</v>
      </c>
      <c r="EH77" s="92">
        <v>0</v>
      </c>
      <c r="EI77" s="92">
        <v>0</v>
      </c>
      <c r="EJ77" s="92">
        <v>0</v>
      </c>
      <c r="EK77" s="92">
        <v>0</v>
      </c>
      <c r="EL77" s="92">
        <v>0</v>
      </c>
      <c r="EM77" s="92">
        <v>0</v>
      </c>
      <c r="EN77" s="92">
        <v>0</v>
      </c>
      <c r="EO77" s="92">
        <v>0</v>
      </c>
      <c r="EP77" s="92">
        <v>0</v>
      </c>
      <c r="EQ77" s="92">
        <v>0</v>
      </c>
      <c r="ER77" s="92">
        <v>0</v>
      </c>
      <c r="ES77" s="92">
        <v>0</v>
      </c>
      <c r="ET77" s="92">
        <v>0</v>
      </c>
      <c r="EU77" s="92">
        <v>0</v>
      </c>
      <c r="EV77" s="92">
        <v>0</v>
      </c>
      <c r="EW77" s="92">
        <v>0</v>
      </c>
      <c r="EX77" s="92">
        <v>0</v>
      </c>
      <c r="EY77" s="92">
        <v>0</v>
      </c>
      <c r="EZ77" s="92">
        <v>0</v>
      </c>
      <c r="FA77" s="92">
        <v>0</v>
      </c>
      <c r="FB77" s="92">
        <v>0</v>
      </c>
      <c r="FC77" s="92">
        <v>0</v>
      </c>
      <c r="FD77" s="92">
        <v>0</v>
      </c>
      <c r="FE77" s="92">
        <v>0</v>
      </c>
      <c r="FF77" s="92">
        <v>0</v>
      </c>
      <c r="FG77" s="92">
        <v>0</v>
      </c>
      <c r="FH77" s="92">
        <v>0</v>
      </c>
      <c r="FI77" s="92">
        <v>0</v>
      </c>
      <c r="FJ77" s="92">
        <v>0</v>
      </c>
      <c r="FK77" s="92">
        <v>0</v>
      </c>
      <c r="FL77" s="92">
        <v>0</v>
      </c>
      <c r="FM77" s="92">
        <v>0</v>
      </c>
      <c r="FN77" s="92">
        <v>0</v>
      </c>
      <c r="FO77" s="92">
        <v>0</v>
      </c>
      <c r="FP77" s="92">
        <v>0</v>
      </c>
      <c r="FQ77" s="92">
        <v>0</v>
      </c>
      <c r="FR77" s="92">
        <v>0</v>
      </c>
      <c r="FS77" s="92">
        <v>0</v>
      </c>
      <c r="FT77" s="92">
        <v>0</v>
      </c>
      <c r="FU77" s="92">
        <v>0</v>
      </c>
      <c r="FV77" s="92">
        <v>0</v>
      </c>
      <c r="FW77" s="92">
        <v>0</v>
      </c>
      <c r="FX77" s="92">
        <v>0</v>
      </c>
      <c r="FY77" s="92">
        <v>0</v>
      </c>
      <c r="FZ77" s="92">
        <v>0</v>
      </c>
      <c r="GA77" s="92">
        <v>0</v>
      </c>
      <c r="GB77" s="92">
        <v>0</v>
      </c>
      <c r="GC77" s="92">
        <v>0</v>
      </c>
      <c r="GD77" s="92">
        <v>0</v>
      </c>
      <c r="GE77" s="92">
        <v>0</v>
      </c>
      <c r="GF77" s="92">
        <v>140467478</v>
      </c>
      <c r="GG77" s="47" t="s">
        <v>311</v>
      </c>
      <c r="GH77" s="47" t="s">
        <v>312</v>
      </c>
      <c r="GI77" s="93">
        <v>9798459761</v>
      </c>
      <c r="GJ77" s="47" t="s">
        <v>313</v>
      </c>
      <c r="GK77" s="47" t="s">
        <v>525</v>
      </c>
      <c r="GL77" s="47" t="s">
        <v>526</v>
      </c>
      <c r="GM77" s="93">
        <v>9795006622</v>
      </c>
      <c r="GN77" s="47" t="s">
        <v>527</v>
      </c>
      <c r="GO77" s="92" t="str" cm="1">
        <f t="array" ref="GO77">IFERROR(_xlfn.IFS(ResearchInput[[#This Row],[Type]]="HRI",SUMIFS('FTSE | FTFE'!$P$8:$P$77,'FTSE | FTFE'!$H$8:$H$77,A77),ResearchInput[[#This Row],[Type]]="UNIV",SUMIFS('FTSE | FTFE'!$P$104:$P$139,'FTSE | FTFE'!$H$104:$H$139,A77),OR(ResearchInput[[#This Row],[Type]]="TSTC",ResearchInput[[#This Row],[Type]]="LSC"),SUMIFS('FTSE | FTFE'!$O$88:$O$96,'FTSE | FTFE'!$H$88:$H$96,A77),ResearchInput[[#This Row],[Type]]="AHM",SUMIFS(Hidden!$H$43:$H$46,Hidden!$G$42:$G$45,A77)),"N/A")</f>
        <v>N/A</v>
      </c>
      <c r="GP77" s="92" t="str" cm="1">
        <f t="array" ref="GP77">IFERROR(_xlfn.IFS(ResearchInput[[#This Row],[Type]]="HRI",SUMIFS('FTSE | FTFE'!$Q$8:$Q$77,'FTSE | FTFE'!$H$8:$H$77,A77),ResearchInput[[#This Row],[Type]]="UNIV",SUMIFS('FTSE | FTFE'!$Q$104:$Q$139,'FTSE | FTFE'!$H$104:$H$139,A77),OR(ResearchInput[[#This Row],[Type]]="TSTC",ResearchInput[[#This Row],[Type]]="LSC"),SUMIFS('FTSE | FTFE'!$P$88:$P$96,'FTSE | FTFE'!$H$88:$H$96,A77)),"N/A")</f>
        <v>N/A</v>
      </c>
      <c r="GQ77" s="92">
        <v>0</v>
      </c>
      <c r="GR77" s="92">
        <f>SUM(ResearchInput[[#This Row],[Fed.Comp]],ResearchInput[[#This Row],[Fed.Eng]],ResearchInput[[#This Row],[Fed.Geo]],ResearchInput[[#This Row],[Fed.Life]],ResearchInput[[#This Row],[Fed.Math]],ResearchInput[[#This Row],[Fed.Phys]],ResearchInput[[#This Row],[Fed.Psyc]],ResearchInput[[#This Row],[Fed.Soc]],ResearchInput[[#This Row],[Fed.Othr]],ResearchInput[[#This Row],[Fed.Non]])</f>
        <v>0</v>
      </c>
      <c r="GS77" s="92">
        <f>SUM(ResearchInput[[#This Row],[St.Comp]],ResearchInput[[#This Row],[St.Eng]],ResearchInput[[#This Row],[St.Geo]],ResearchInput[[#This Row],[St.Life]],ResearchInput[[#This Row],[St.Math]],ResearchInput[[#This Row],[St.Phys]],ResearchInput[[#This Row],[St.Psyc]],ResearchInput[[#This Row],[St.Soc]],ResearchInput[[#This Row],[St.Othr]],ResearchInput[[#This Row],[St.Non]])</f>
        <v>0</v>
      </c>
      <c r="GT77" s="92">
        <f>SUM(ResearchInput[[#This Row],[St.C&amp;G.Comp]],ResearchInput[[#This Row],[St.C&amp;G.Eng]],ResearchInput[[#This Row],[St.C&amp;G.Geo]],ResearchInput[[#This Row],[St.C&amp;G.Life]],ResearchInput[[#This Row],[St.C&amp;G.Math]],ResearchInput[[#This Row],[St.C&amp;G.Phys]],ResearchInput[[#This Row],[St.C&amp;G.Psyc]],ResearchInput[[#This Row],[St.C&amp;G.Soc]],ResearchInput[[#This Row],[St.C&amp;G.Othr]],ResearchInput[[#This Row],[St.C&amp;G.Non]])</f>
        <v>0</v>
      </c>
      <c r="GU77" s="92">
        <f>SUM(ResearchInput[[#This Row],[St.All.Comp]],ResearchInput[[#This Row],[St.All.Eng]],ResearchInput[[#This Row],[St.All.Geo]],ResearchInput[[#This Row],[St.All.Life]],ResearchInput[[#This Row],[St.All.Math]],ResearchInput[[#This Row],[St.All.Phys]],ResearchInput[[#This Row],[St.All.Psyc]],ResearchInput[[#This Row],[St.All.Soc]],ResearchInput[[#This Row],[St.All.Othr]],ResearchInput[[#This Row],[St.All.Non]])</f>
        <v>0</v>
      </c>
      <c r="GV77" s="92">
        <f>SUM(ResearchInput[[#This Row],[Inst.Comp]],ResearchInput[[#This Row],[Inst.Eng]],ResearchInput[[#This Row],[Inst.Geo]],ResearchInput[[#This Row],[Inst.Life]],ResearchInput[[#This Row],[Inst.Math]],ResearchInput[[#This Row],[Inst.Phys]],ResearchInput[[#This Row],[Inst.Psyc]],ResearchInput[[#This Row],[Inst.Soc]],ResearchInput[[#This Row],[Inst.Othr]],ResearchInput[[#This Row],[Inst.Non]])</f>
        <v>0</v>
      </c>
      <c r="GW77" s="92">
        <f>SUM(ResearchInput[[#This Row],[P4P.Comp]],ResearchInput[[#This Row],[P4P.Eng]],ResearchInput[[#This Row],[P4P.Geo]],ResearchInput[[#This Row],[P4P.Life]],ResearchInput[[#This Row],[P4P.Math]],ResearchInput[[#This Row],[P4P.Phys]],ResearchInput[[#This Row],[P4P.Psyc]],ResearchInput[[#This Row],[P4P.Soc]],ResearchInput[[#This Row],[P4P.Othr]],ResearchInput[[#This Row],[P4P.Non]])</f>
        <v>0</v>
      </c>
      <c r="GX77" s="92">
        <f>SUM(ResearchInput[[#This Row],[PNP.Comp]],ResearchInput[[#This Row],[PNP.Eng]],ResearchInput[[#This Row],[PNP.Geo]],ResearchInput[[#This Row],[PNP.Life]],ResearchInput[[#This Row],[PNP.Math]],ResearchInput[[#This Row],[PNP.Phys]],ResearchInput[[#This Row],[PNP.Psyc]],ResearchInput[[#This Row],[PNP.Soc]],ResearchInput[[#This Row],[PNP.Othr]],ResearchInput[[#This Row],[PNP.Non]])</f>
        <v>0</v>
      </c>
      <c r="GY77" s="92">
        <f>SUM(ResearchInput[[#This Row],[P.All.Comp]],ResearchInput[[#This Row],[P.All.Eng]],ResearchInput[[#This Row],[P.All.Geo]],ResearchInput[[#This Row],[P.All.Life]],ResearchInput[[#This Row],[P.All.Math]],ResearchInput[[#This Row],[P.All.Phys]],ResearchInput[[#This Row],[P.All.Psyc]],ResearchInput[[#This Row],[P.All.Soc]],ResearchInput[[#This Row],[P.All.Othr]],ResearchInput[[#This Row],[P.All.Non]])</f>
        <v>0</v>
      </c>
    </row>
    <row r="78" spans="1:207" s="47" customFormat="1" ht="27" customHeight="1" x14ac:dyDescent="0.25">
      <c r="A78" s="34" t="s">
        <v>528</v>
      </c>
      <c r="B78" s="34" t="s">
        <v>735</v>
      </c>
      <c r="C78" s="35" t="s">
        <v>674</v>
      </c>
      <c r="D78" s="35" t="s">
        <v>683</v>
      </c>
      <c r="E78" s="94">
        <v>1106</v>
      </c>
      <c r="F78" s="35" t="s">
        <v>714</v>
      </c>
      <c r="G78" s="35" t="s">
        <v>553</v>
      </c>
      <c r="H78" s="96">
        <v>576</v>
      </c>
      <c r="I78" s="92">
        <v>2081140</v>
      </c>
      <c r="J78" s="92">
        <v>994575</v>
      </c>
      <c r="K78" s="92">
        <v>0</v>
      </c>
      <c r="L78" s="92">
        <v>-4529</v>
      </c>
      <c r="M78" s="92">
        <v>3005</v>
      </c>
      <c r="N78" s="92">
        <v>0</v>
      </c>
      <c r="O78" s="92">
        <v>175064</v>
      </c>
      <c r="P78" s="92">
        <v>0</v>
      </c>
      <c r="Q78" s="92">
        <v>0</v>
      </c>
      <c r="R78" s="92">
        <v>0</v>
      </c>
      <c r="S78" s="92">
        <v>0</v>
      </c>
      <c r="T78" s="92">
        <v>4749</v>
      </c>
      <c r="U78" s="92">
        <v>0</v>
      </c>
      <c r="V78" s="92">
        <v>0</v>
      </c>
      <c r="W78" s="92">
        <v>0</v>
      </c>
      <c r="X78" s="92">
        <v>0</v>
      </c>
      <c r="Y78" s="92">
        <v>0</v>
      </c>
      <c r="Z78" s="92">
        <v>0</v>
      </c>
      <c r="AA78" s="92">
        <v>0</v>
      </c>
      <c r="AB78" s="92">
        <v>0</v>
      </c>
      <c r="AC78" s="92">
        <v>0</v>
      </c>
      <c r="AD78" s="92">
        <v>0</v>
      </c>
      <c r="AE78" s="92">
        <v>0</v>
      </c>
      <c r="AF78" s="92">
        <v>0</v>
      </c>
      <c r="AG78" s="92">
        <v>21623</v>
      </c>
      <c r="AH78" s="92">
        <v>24834</v>
      </c>
      <c r="AI78" s="92">
        <v>0</v>
      </c>
      <c r="AJ78" s="92">
        <v>0</v>
      </c>
      <c r="AK78" s="92">
        <v>0</v>
      </c>
      <c r="AL78" s="92">
        <v>0</v>
      </c>
      <c r="AM78" s="92">
        <v>0</v>
      </c>
      <c r="AN78" s="92">
        <v>0</v>
      </c>
      <c r="AO78" s="92">
        <v>0</v>
      </c>
      <c r="AP78" s="92">
        <v>6950</v>
      </c>
      <c r="AQ78" s="92">
        <v>0</v>
      </c>
      <c r="AR78" s="92">
        <v>0</v>
      </c>
      <c r="AS78" s="92">
        <v>0</v>
      </c>
      <c r="AT78" s="92">
        <v>0</v>
      </c>
      <c r="AU78" s="92">
        <v>0</v>
      </c>
      <c r="AV78" s="92">
        <v>0</v>
      </c>
      <c r="AW78" s="92">
        <v>0</v>
      </c>
      <c r="AX78" s="92">
        <v>0</v>
      </c>
      <c r="AY78" s="92">
        <v>0</v>
      </c>
      <c r="AZ78" s="92">
        <v>0</v>
      </c>
      <c r="BA78" s="92">
        <v>0</v>
      </c>
      <c r="BB78" s="92">
        <v>0</v>
      </c>
      <c r="BC78" s="92">
        <v>0</v>
      </c>
      <c r="BD78" s="92">
        <v>0</v>
      </c>
      <c r="BE78" s="92">
        <v>0</v>
      </c>
      <c r="BF78" s="92">
        <v>0</v>
      </c>
      <c r="BG78" s="92">
        <v>0</v>
      </c>
      <c r="BH78" s="92">
        <v>0</v>
      </c>
      <c r="BI78" s="92">
        <v>0</v>
      </c>
      <c r="BJ78" s="92">
        <v>0</v>
      </c>
      <c r="BK78" s="92">
        <v>0</v>
      </c>
      <c r="BL78" s="92">
        <v>0</v>
      </c>
      <c r="BM78" s="92">
        <v>0</v>
      </c>
      <c r="BN78" s="92">
        <v>0</v>
      </c>
      <c r="BO78" s="92">
        <v>0</v>
      </c>
      <c r="BP78" s="92">
        <v>0</v>
      </c>
      <c r="BQ78" s="92">
        <v>0</v>
      </c>
      <c r="BR78" s="92">
        <v>0</v>
      </c>
      <c r="BS78" s="92">
        <v>0</v>
      </c>
      <c r="BT78" s="92">
        <v>0</v>
      </c>
      <c r="BU78" s="92">
        <v>0</v>
      </c>
      <c r="BV78" s="92">
        <v>0</v>
      </c>
      <c r="BW78" s="92">
        <v>0</v>
      </c>
      <c r="BX78" s="92">
        <v>0</v>
      </c>
      <c r="BY78" s="92">
        <v>0</v>
      </c>
      <c r="BZ78" s="92">
        <v>0</v>
      </c>
      <c r="CA78" s="92">
        <v>0</v>
      </c>
      <c r="CB78" s="92">
        <v>0</v>
      </c>
      <c r="CC78" s="92">
        <v>0</v>
      </c>
      <c r="CD78" s="92">
        <v>0</v>
      </c>
      <c r="CE78" s="92">
        <v>0</v>
      </c>
      <c r="CF78" s="92">
        <v>0</v>
      </c>
      <c r="CG78" s="92">
        <v>0</v>
      </c>
      <c r="CH78" s="92">
        <v>0</v>
      </c>
      <c r="CI78" s="92">
        <v>0</v>
      </c>
      <c r="CJ78" s="92">
        <v>0</v>
      </c>
      <c r="CK78" s="92">
        <v>0</v>
      </c>
      <c r="CL78" s="92">
        <v>0</v>
      </c>
      <c r="CM78" s="92">
        <v>0</v>
      </c>
      <c r="CN78" s="92">
        <v>0</v>
      </c>
      <c r="CO78" s="92">
        <v>0</v>
      </c>
      <c r="CP78" s="92">
        <v>0</v>
      </c>
      <c r="CQ78" s="92">
        <v>0</v>
      </c>
      <c r="CR78" s="92">
        <v>0</v>
      </c>
      <c r="CS78" s="92">
        <v>2102763</v>
      </c>
      <c r="CT78" s="92">
        <v>1026359</v>
      </c>
      <c r="CU78" s="92">
        <v>0</v>
      </c>
      <c r="CV78" s="92">
        <v>220</v>
      </c>
      <c r="CW78" s="92">
        <v>3005</v>
      </c>
      <c r="CX78" s="92">
        <v>0</v>
      </c>
      <c r="CY78" s="92">
        <v>175064</v>
      </c>
      <c r="CZ78" s="92">
        <v>0</v>
      </c>
      <c r="DA78" s="92">
        <v>0</v>
      </c>
      <c r="DB78" s="92">
        <v>0</v>
      </c>
      <c r="DC78" s="92">
        <v>0</v>
      </c>
      <c r="DD78" s="92">
        <v>0</v>
      </c>
      <c r="DE78" s="92">
        <v>0</v>
      </c>
      <c r="DF78" s="92">
        <v>0</v>
      </c>
      <c r="DG78" s="92">
        <v>0</v>
      </c>
      <c r="DH78" s="92">
        <v>0</v>
      </c>
      <c r="DI78" s="92">
        <v>0</v>
      </c>
      <c r="DJ78" s="92">
        <v>0</v>
      </c>
      <c r="DK78" s="92">
        <v>0</v>
      </c>
      <c r="DL78" s="92">
        <v>0</v>
      </c>
      <c r="DM78" s="92">
        <v>0</v>
      </c>
      <c r="DN78" s="92">
        <v>0</v>
      </c>
      <c r="DO78" s="92">
        <v>0</v>
      </c>
      <c r="DP78" s="92">
        <v>0</v>
      </c>
      <c r="DQ78" s="92">
        <v>0</v>
      </c>
      <c r="DR78" s="92">
        <v>0</v>
      </c>
      <c r="DS78" s="92">
        <v>0</v>
      </c>
      <c r="DT78" s="92">
        <v>0</v>
      </c>
      <c r="DU78" s="92">
        <v>0</v>
      </c>
      <c r="DV78" s="92">
        <v>0</v>
      </c>
      <c r="DW78" s="92">
        <v>0</v>
      </c>
      <c r="DX78" s="92">
        <v>0</v>
      </c>
      <c r="DY78" s="92">
        <v>0</v>
      </c>
      <c r="DZ78" s="92">
        <v>0</v>
      </c>
      <c r="EA78" s="92">
        <v>0</v>
      </c>
      <c r="EB78" s="92">
        <v>0</v>
      </c>
      <c r="EC78" s="92">
        <v>0</v>
      </c>
      <c r="ED78" s="92">
        <v>0</v>
      </c>
      <c r="EE78" s="92">
        <v>0</v>
      </c>
      <c r="EF78" s="92">
        <v>0</v>
      </c>
      <c r="EG78" s="92">
        <v>0</v>
      </c>
      <c r="EH78" s="92">
        <v>0</v>
      </c>
      <c r="EI78" s="92">
        <v>0</v>
      </c>
      <c r="EJ78" s="92">
        <v>0</v>
      </c>
      <c r="EK78" s="92">
        <v>0</v>
      </c>
      <c r="EL78" s="92">
        <v>0</v>
      </c>
      <c r="EM78" s="92">
        <v>0</v>
      </c>
      <c r="EN78" s="92">
        <v>0</v>
      </c>
      <c r="EO78" s="92">
        <v>0</v>
      </c>
      <c r="EP78" s="92">
        <v>0</v>
      </c>
      <c r="EQ78" s="92">
        <v>0</v>
      </c>
      <c r="ER78" s="92">
        <v>0</v>
      </c>
      <c r="ES78" s="92">
        <v>0</v>
      </c>
      <c r="ET78" s="92">
        <v>0</v>
      </c>
      <c r="EU78" s="92">
        <v>0</v>
      </c>
      <c r="EV78" s="92">
        <v>0</v>
      </c>
      <c r="EW78" s="92">
        <v>0</v>
      </c>
      <c r="EX78" s="92">
        <v>0</v>
      </c>
      <c r="EY78" s="92">
        <v>0</v>
      </c>
      <c r="EZ78" s="92">
        <v>0</v>
      </c>
      <c r="FA78" s="92">
        <v>0</v>
      </c>
      <c r="FB78" s="92">
        <v>0</v>
      </c>
      <c r="FC78" s="92">
        <v>0</v>
      </c>
      <c r="FD78" s="92">
        <v>0</v>
      </c>
      <c r="FE78" s="92">
        <v>0</v>
      </c>
      <c r="FF78" s="92">
        <v>0</v>
      </c>
      <c r="FG78" s="92">
        <v>0</v>
      </c>
      <c r="FH78" s="92">
        <v>0</v>
      </c>
      <c r="FI78" s="92">
        <v>0</v>
      </c>
      <c r="FJ78" s="92">
        <v>0</v>
      </c>
      <c r="FK78" s="92">
        <v>0</v>
      </c>
      <c r="FL78" s="92">
        <v>0</v>
      </c>
      <c r="FM78" s="92">
        <v>0</v>
      </c>
      <c r="FN78" s="92">
        <v>0</v>
      </c>
      <c r="FO78" s="92">
        <v>0</v>
      </c>
      <c r="FP78" s="92">
        <v>0</v>
      </c>
      <c r="FQ78" s="92">
        <v>0</v>
      </c>
      <c r="FR78" s="92">
        <v>0</v>
      </c>
      <c r="FS78" s="92">
        <v>0</v>
      </c>
      <c r="FT78" s="92">
        <v>0</v>
      </c>
      <c r="FU78" s="92">
        <v>0</v>
      </c>
      <c r="FV78" s="92">
        <v>0</v>
      </c>
      <c r="FW78" s="92">
        <v>0</v>
      </c>
      <c r="FX78" s="92">
        <v>0</v>
      </c>
      <c r="FY78" s="92">
        <v>0</v>
      </c>
      <c r="FZ78" s="92">
        <v>0</v>
      </c>
      <c r="GA78" s="92">
        <v>0</v>
      </c>
      <c r="GB78" s="92">
        <v>0</v>
      </c>
      <c r="GC78" s="92">
        <v>0</v>
      </c>
      <c r="GD78" s="92">
        <v>3249255</v>
      </c>
      <c r="GE78" s="92">
        <v>3256205</v>
      </c>
      <c r="GF78" s="92">
        <v>163818752</v>
      </c>
      <c r="GG78" s="47" t="s">
        <v>311</v>
      </c>
      <c r="GH78" s="47" t="s">
        <v>312</v>
      </c>
      <c r="GI78" s="93">
        <v>9798459761</v>
      </c>
      <c r="GJ78" s="47" t="s">
        <v>313</v>
      </c>
      <c r="GK78" s="47" t="s">
        <v>529</v>
      </c>
      <c r="GL78" s="47" t="s">
        <v>530</v>
      </c>
      <c r="GM78" s="93">
        <v>9794587301</v>
      </c>
      <c r="GN78" s="47" t="s">
        <v>531</v>
      </c>
      <c r="GO78" s="92" t="str" cm="1">
        <f t="array" ref="GO78">IFERROR(_xlfn.IFS(ResearchInput[[#This Row],[Type]]="HRI",SUMIFS('FTSE | FTFE'!$P$8:$P$77,'FTSE | FTFE'!$H$8:$H$77,A78),ResearchInput[[#This Row],[Type]]="UNIV",SUMIFS('FTSE | FTFE'!$P$104:$P$139,'FTSE | FTFE'!$H$104:$H$139,A78),OR(ResearchInput[[#This Row],[Type]]="TSTC",ResearchInput[[#This Row],[Type]]="LSC"),SUMIFS('FTSE | FTFE'!$O$88:$O$96,'FTSE | FTFE'!$H$88:$H$96,A78),ResearchInput[[#This Row],[Type]]="AHM",SUMIFS(Hidden!$H$43:$H$46,Hidden!$G$42:$G$45,A78)),"N/A")</f>
        <v>N/A</v>
      </c>
      <c r="GP78" s="92" t="str" cm="1">
        <f t="array" ref="GP78">IFERROR(_xlfn.IFS(ResearchInput[[#This Row],[Type]]="HRI",SUMIFS('FTSE | FTFE'!$Q$8:$Q$77,'FTSE | FTFE'!$H$8:$H$77,A78),ResearchInput[[#This Row],[Type]]="UNIV",SUMIFS('FTSE | FTFE'!$Q$104:$Q$139,'FTSE | FTFE'!$H$104:$H$139,A78),OR(ResearchInput[[#This Row],[Type]]="TSTC",ResearchInput[[#This Row],[Type]]="LSC"),SUMIFS('FTSE | FTFE'!$P$88:$P$96,'FTSE | FTFE'!$H$88:$H$96,A78)),"N/A")</f>
        <v>N/A</v>
      </c>
      <c r="GQ78" s="92">
        <v>0</v>
      </c>
      <c r="GR78" s="92">
        <f>SUM(ResearchInput[[#This Row],[Fed.Comp]],ResearchInput[[#This Row],[Fed.Eng]],ResearchInput[[#This Row],[Fed.Geo]],ResearchInput[[#This Row],[Fed.Life]],ResearchInput[[#This Row],[Fed.Math]],ResearchInput[[#This Row],[Fed.Phys]],ResearchInput[[#This Row],[Fed.Psyc]],ResearchInput[[#This Row],[Fed.Soc]],ResearchInput[[#This Row],[Fed.Othr]],ResearchInput[[#This Row],[Fed.Non]])</f>
        <v>2102763</v>
      </c>
      <c r="GS78" s="92">
        <f>SUM(ResearchInput[[#This Row],[St.Comp]],ResearchInput[[#This Row],[St.Eng]],ResearchInput[[#This Row],[St.Geo]],ResearchInput[[#This Row],[St.Life]],ResearchInput[[#This Row],[St.Math]],ResearchInput[[#This Row],[St.Phys]],ResearchInput[[#This Row],[St.Psyc]],ResearchInput[[#This Row],[St.Soc]],ResearchInput[[#This Row],[St.Othr]],ResearchInput[[#This Row],[St.Non]])</f>
        <v>1026359</v>
      </c>
      <c r="GT78" s="92">
        <f>SUM(ResearchInput[[#This Row],[St.C&amp;G.Comp]],ResearchInput[[#This Row],[St.C&amp;G.Eng]],ResearchInput[[#This Row],[St.C&amp;G.Geo]],ResearchInput[[#This Row],[St.C&amp;G.Life]],ResearchInput[[#This Row],[St.C&amp;G.Math]],ResearchInput[[#This Row],[St.C&amp;G.Phys]],ResearchInput[[#This Row],[St.C&amp;G.Psyc]],ResearchInput[[#This Row],[St.C&amp;G.Soc]],ResearchInput[[#This Row],[St.C&amp;G.Othr]],ResearchInput[[#This Row],[St.C&amp;G.Non]])</f>
        <v>0</v>
      </c>
      <c r="GU78" s="92">
        <f>SUM(ResearchInput[[#This Row],[St.All.Comp]],ResearchInput[[#This Row],[St.All.Eng]],ResearchInput[[#This Row],[St.All.Geo]],ResearchInput[[#This Row],[St.All.Life]],ResearchInput[[#This Row],[St.All.Math]],ResearchInput[[#This Row],[St.All.Phys]],ResearchInput[[#This Row],[St.All.Psyc]],ResearchInput[[#This Row],[St.All.Soc]],ResearchInput[[#This Row],[St.All.Othr]],ResearchInput[[#This Row],[St.All.Non]])</f>
        <v>220</v>
      </c>
      <c r="GV78" s="92">
        <f>SUM(ResearchInput[[#This Row],[Inst.Comp]],ResearchInput[[#This Row],[Inst.Eng]],ResearchInput[[#This Row],[Inst.Geo]],ResearchInput[[#This Row],[Inst.Life]],ResearchInput[[#This Row],[Inst.Math]],ResearchInput[[#This Row],[Inst.Phys]],ResearchInput[[#This Row],[Inst.Psyc]],ResearchInput[[#This Row],[Inst.Soc]],ResearchInput[[#This Row],[Inst.Othr]],ResearchInput[[#This Row],[Inst.Non]])</f>
        <v>3005</v>
      </c>
      <c r="GW78" s="92">
        <f>SUM(ResearchInput[[#This Row],[P4P.Comp]],ResearchInput[[#This Row],[P4P.Eng]],ResearchInput[[#This Row],[P4P.Geo]],ResearchInput[[#This Row],[P4P.Life]],ResearchInput[[#This Row],[P4P.Math]],ResearchInput[[#This Row],[P4P.Phys]],ResearchInput[[#This Row],[P4P.Psyc]],ResearchInput[[#This Row],[P4P.Soc]],ResearchInput[[#This Row],[P4P.Othr]],ResearchInput[[#This Row],[P4P.Non]])</f>
        <v>0</v>
      </c>
      <c r="GX78" s="92">
        <f>SUM(ResearchInput[[#This Row],[PNP.Comp]],ResearchInput[[#This Row],[PNP.Eng]],ResearchInput[[#This Row],[PNP.Geo]],ResearchInput[[#This Row],[PNP.Life]],ResearchInput[[#This Row],[PNP.Math]],ResearchInput[[#This Row],[PNP.Phys]],ResearchInput[[#This Row],[PNP.Psyc]],ResearchInput[[#This Row],[PNP.Soc]],ResearchInput[[#This Row],[PNP.Othr]],ResearchInput[[#This Row],[PNP.Non]])</f>
        <v>175064</v>
      </c>
      <c r="GY78" s="92">
        <f>SUM(ResearchInput[[#This Row],[P.All.Comp]],ResearchInput[[#This Row],[P.All.Eng]],ResearchInput[[#This Row],[P.All.Geo]],ResearchInput[[#This Row],[P.All.Life]],ResearchInput[[#This Row],[P.All.Math]],ResearchInput[[#This Row],[P.All.Phys]],ResearchInput[[#This Row],[P.All.Psyc]],ResearchInput[[#This Row],[P.All.Soc]],ResearchInput[[#This Row],[P.All.Othr]],ResearchInput[[#This Row],[P.All.Non]])</f>
        <v>0</v>
      </c>
    </row>
    <row r="79" spans="1:207" s="47" customFormat="1" ht="27" customHeight="1" x14ac:dyDescent="0.25">
      <c r="A79" s="34" t="s">
        <v>535</v>
      </c>
      <c r="B79" s="34" t="s">
        <v>735</v>
      </c>
      <c r="C79" s="35" t="s">
        <v>674</v>
      </c>
      <c r="D79" s="35" t="s">
        <v>683</v>
      </c>
      <c r="E79" s="94">
        <v>1107</v>
      </c>
      <c r="F79" s="35" t="s">
        <v>714</v>
      </c>
      <c r="G79" s="35" t="s">
        <v>553</v>
      </c>
      <c r="H79" s="96">
        <v>557</v>
      </c>
      <c r="I79" s="92">
        <v>1962207</v>
      </c>
      <c r="J79" s="92">
        <v>0</v>
      </c>
      <c r="K79" s="92">
        <v>0</v>
      </c>
      <c r="L79" s="92">
        <v>0</v>
      </c>
      <c r="M79" s="92">
        <v>0</v>
      </c>
      <c r="N79" s="92">
        <v>0</v>
      </c>
      <c r="O79" s="92">
        <v>0</v>
      </c>
      <c r="P79" s="92">
        <v>0</v>
      </c>
      <c r="Q79" s="92">
        <v>0</v>
      </c>
      <c r="R79" s="92">
        <v>0</v>
      </c>
      <c r="S79" s="92">
        <v>0</v>
      </c>
      <c r="T79" s="92">
        <v>0</v>
      </c>
      <c r="U79" s="92">
        <v>0</v>
      </c>
      <c r="V79" s="92">
        <v>0</v>
      </c>
      <c r="W79" s="92">
        <v>0</v>
      </c>
      <c r="X79" s="92">
        <v>0</v>
      </c>
      <c r="Y79" s="92">
        <v>0</v>
      </c>
      <c r="Z79" s="92">
        <v>0</v>
      </c>
      <c r="AA79" s="92">
        <v>0</v>
      </c>
      <c r="AB79" s="92">
        <v>0</v>
      </c>
      <c r="AC79" s="92">
        <v>0</v>
      </c>
      <c r="AD79" s="92">
        <v>0</v>
      </c>
      <c r="AE79" s="92">
        <v>0</v>
      </c>
      <c r="AF79" s="92">
        <v>0</v>
      </c>
      <c r="AG79" s="92">
        <v>668252</v>
      </c>
      <c r="AH79" s="92">
        <v>0</v>
      </c>
      <c r="AI79" s="92">
        <v>0</v>
      </c>
      <c r="AJ79" s="92">
        <v>0</v>
      </c>
      <c r="AK79" s="92">
        <v>0</v>
      </c>
      <c r="AL79" s="92">
        <v>0</v>
      </c>
      <c r="AM79" s="92">
        <v>0</v>
      </c>
      <c r="AN79" s="92">
        <v>0</v>
      </c>
      <c r="AO79" s="92">
        <v>628500</v>
      </c>
      <c r="AP79" s="92">
        <v>0</v>
      </c>
      <c r="AQ79" s="92">
        <v>0</v>
      </c>
      <c r="AR79" s="92">
        <v>0</v>
      </c>
      <c r="AS79" s="92">
        <v>0</v>
      </c>
      <c r="AT79" s="92">
        <v>0</v>
      </c>
      <c r="AU79" s="92">
        <v>0</v>
      </c>
      <c r="AV79" s="92">
        <v>0</v>
      </c>
      <c r="AW79" s="92">
        <v>0</v>
      </c>
      <c r="AX79" s="92">
        <v>0</v>
      </c>
      <c r="AY79" s="92">
        <v>0</v>
      </c>
      <c r="AZ79" s="92">
        <v>0</v>
      </c>
      <c r="BA79" s="92">
        <v>0</v>
      </c>
      <c r="BB79" s="92">
        <v>0</v>
      </c>
      <c r="BC79" s="92">
        <v>0</v>
      </c>
      <c r="BD79" s="92">
        <v>0</v>
      </c>
      <c r="BE79" s="92">
        <v>0</v>
      </c>
      <c r="BF79" s="92">
        <v>0</v>
      </c>
      <c r="BG79" s="92">
        <v>0</v>
      </c>
      <c r="BH79" s="92">
        <v>0</v>
      </c>
      <c r="BI79" s="92">
        <v>0</v>
      </c>
      <c r="BJ79" s="92">
        <v>0</v>
      </c>
      <c r="BK79" s="92">
        <v>0</v>
      </c>
      <c r="BL79" s="92">
        <v>0</v>
      </c>
      <c r="BM79" s="92">
        <v>0</v>
      </c>
      <c r="BN79" s="92">
        <v>0</v>
      </c>
      <c r="BO79" s="92">
        <v>0</v>
      </c>
      <c r="BP79" s="92">
        <v>0</v>
      </c>
      <c r="BQ79" s="92">
        <v>0</v>
      </c>
      <c r="BR79" s="92">
        <v>0</v>
      </c>
      <c r="BS79" s="92">
        <v>0</v>
      </c>
      <c r="BT79" s="92">
        <v>0</v>
      </c>
      <c r="BU79" s="92">
        <v>0</v>
      </c>
      <c r="BV79" s="92">
        <v>0</v>
      </c>
      <c r="BW79" s="92">
        <v>0</v>
      </c>
      <c r="BX79" s="92">
        <v>0</v>
      </c>
      <c r="BY79" s="92">
        <v>0</v>
      </c>
      <c r="BZ79" s="92">
        <v>0</v>
      </c>
      <c r="CA79" s="92">
        <v>0</v>
      </c>
      <c r="CB79" s="92">
        <v>0</v>
      </c>
      <c r="CC79" s="92">
        <v>0</v>
      </c>
      <c r="CD79" s="92">
        <v>0</v>
      </c>
      <c r="CE79" s="92">
        <v>0</v>
      </c>
      <c r="CF79" s="92">
        <v>0</v>
      </c>
      <c r="CG79" s="92">
        <v>0</v>
      </c>
      <c r="CH79" s="92">
        <v>0</v>
      </c>
      <c r="CI79" s="92">
        <v>0</v>
      </c>
      <c r="CJ79" s="92">
        <v>0</v>
      </c>
      <c r="CK79" s="92">
        <v>0</v>
      </c>
      <c r="CL79" s="92">
        <v>0</v>
      </c>
      <c r="CM79" s="92">
        <v>0</v>
      </c>
      <c r="CN79" s="92">
        <v>0</v>
      </c>
      <c r="CO79" s="92">
        <v>0</v>
      </c>
      <c r="CP79" s="92">
        <v>0</v>
      </c>
      <c r="CQ79" s="92">
        <v>0</v>
      </c>
      <c r="CR79" s="92">
        <v>0</v>
      </c>
      <c r="CS79" s="92">
        <v>3258959</v>
      </c>
      <c r="CT79" s="92">
        <v>0</v>
      </c>
      <c r="CU79" s="92">
        <v>0</v>
      </c>
      <c r="CV79" s="92">
        <v>0</v>
      </c>
      <c r="CW79" s="92">
        <v>0</v>
      </c>
      <c r="CX79" s="92">
        <v>0</v>
      </c>
      <c r="CY79" s="92">
        <v>0</v>
      </c>
      <c r="CZ79" s="92">
        <v>0</v>
      </c>
      <c r="DA79" s="92">
        <v>0</v>
      </c>
      <c r="DB79" s="92">
        <v>0</v>
      </c>
      <c r="DC79" s="92">
        <v>0</v>
      </c>
      <c r="DD79" s="92">
        <v>0</v>
      </c>
      <c r="DE79" s="92">
        <v>0</v>
      </c>
      <c r="DF79" s="92">
        <v>0</v>
      </c>
      <c r="DG79" s="92">
        <v>0</v>
      </c>
      <c r="DH79" s="92">
        <v>0</v>
      </c>
      <c r="DI79" s="92">
        <v>0</v>
      </c>
      <c r="DJ79" s="92">
        <v>0</v>
      </c>
      <c r="DK79" s="92">
        <v>0</v>
      </c>
      <c r="DL79" s="92">
        <v>0</v>
      </c>
      <c r="DM79" s="92">
        <v>0</v>
      </c>
      <c r="DN79" s="92">
        <v>0</v>
      </c>
      <c r="DO79" s="92">
        <v>0</v>
      </c>
      <c r="DP79" s="92">
        <v>0</v>
      </c>
      <c r="DQ79" s="92">
        <v>0</v>
      </c>
      <c r="DR79" s="92">
        <v>0</v>
      </c>
      <c r="DS79" s="92">
        <v>0</v>
      </c>
      <c r="DT79" s="92">
        <v>0</v>
      </c>
      <c r="DU79" s="92">
        <v>0</v>
      </c>
      <c r="DV79" s="92">
        <v>0</v>
      </c>
      <c r="DW79" s="92">
        <v>0</v>
      </c>
      <c r="DX79" s="92">
        <v>0</v>
      </c>
      <c r="DY79" s="92">
        <v>0</v>
      </c>
      <c r="DZ79" s="92">
        <v>0</v>
      </c>
      <c r="EA79" s="92">
        <v>0</v>
      </c>
      <c r="EB79" s="92">
        <v>0</v>
      </c>
      <c r="EC79" s="92">
        <v>0</v>
      </c>
      <c r="ED79" s="92">
        <v>0</v>
      </c>
      <c r="EE79" s="92">
        <v>0</v>
      </c>
      <c r="EF79" s="92">
        <v>0</v>
      </c>
      <c r="EG79" s="92">
        <v>0</v>
      </c>
      <c r="EH79" s="92">
        <v>0</v>
      </c>
      <c r="EI79" s="92">
        <v>0</v>
      </c>
      <c r="EJ79" s="92">
        <v>0</v>
      </c>
      <c r="EK79" s="92">
        <v>0</v>
      </c>
      <c r="EL79" s="92">
        <v>0</v>
      </c>
      <c r="EM79" s="92">
        <v>0</v>
      </c>
      <c r="EN79" s="92">
        <v>0</v>
      </c>
      <c r="EO79" s="92">
        <v>0</v>
      </c>
      <c r="EP79" s="92">
        <v>0</v>
      </c>
      <c r="EQ79" s="92">
        <v>0</v>
      </c>
      <c r="ER79" s="92">
        <v>0</v>
      </c>
      <c r="ES79" s="92">
        <v>0</v>
      </c>
      <c r="ET79" s="92">
        <v>0</v>
      </c>
      <c r="EU79" s="92">
        <v>0</v>
      </c>
      <c r="EV79" s="92">
        <v>0</v>
      </c>
      <c r="EW79" s="92">
        <v>0</v>
      </c>
      <c r="EX79" s="92">
        <v>0</v>
      </c>
      <c r="EY79" s="92">
        <v>0</v>
      </c>
      <c r="EZ79" s="92">
        <v>0</v>
      </c>
      <c r="FA79" s="92">
        <v>0</v>
      </c>
      <c r="FB79" s="92">
        <v>0</v>
      </c>
      <c r="FC79" s="92">
        <v>0</v>
      </c>
      <c r="FD79" s="92">
        <v>0</v>
      </c>
      <c r="FE79" s="92">
        <v>0</v>
      </c>
      <c r="FF79" s="92">
        <v>0</v>
      </c>
      <c r="FG79" s="92">
        <v>0</v>
      </c>
      <c r="FH79" s="92">
        <v>0</v>
      </c>
      <c r="FI79" s="92">
        <v>0</v>
      </c>
      <c r="FJ79" s="92">
        <v>0</v>
      </c>
      <c r="FK79" s="92">
        <v>0</v>
      </c>
      <c r="FL79" s="92">
        <v>0</v>
      </c>
      <c r="FM79" s="92">
        <v>0</v>
      </c>
      <c r="FN79" s="92">
        <v>0</v>
      </c>
      <c r="FO79" s="92">
        <v>0</v>
      </c>
      <c r="FP79" s="92">
        <v>0</v>
      </c>
      <c r="FQ79" s="92">
        <v>0</v>
      </c>
      <c r="FR79" s="92">
        <v>0</v>
      </c>
      <c r="FS79" s="92">
        <v>0</v>
      </c>
      <c r="FT79" s="92">
        <v>0</v>
      </c>
      <c r="FU79" s="92">
        <v>0</v>
      </c>
      <c r="FV79" s="92">
        <v>0</v>
      </c>
      <c r="FW79" s="92">
        <v>0</v>
      </c>
      <c r="FX79" s="92">
        <v>0</v>
      </c>
      <c r="FY79" s="92">
        <v>0</v>
      </c>
      <c r="FZ79" s="92">
        <v>0</v>
      </c>
      <c r="GA79" s="92">
        <v>0</v>
      </c>
      <c r="GB79" s="92">
        <v>0</v>
      </c>
      <c r="GC79" s="92">
        <v>0</v>
      </c>
      <c r="GD79" s="92">
        <v>1962207</v>
      </c>
      <c r="GE79" s="92">
        <v>2590707</v>
      </c>
      <c r="GF79" s="92">
        <v>30704086</v>
      </c>
      <c r="GG79" s="47" t="s">
        <v>311</v>
      </c>
      <c r="GH79" s="47" t="s">
        <v>312</v>
      </c>
      <c r="GI79" s="93">
        <v>9798459761</v>
      </c>
      <c r="GJ79" s="47" t="s">
        <v>313</v>
      </c>
      <c r="GK79" s="47" t="s">
        <v>536</v>
      </c>
      <c r="GL79" s="47" t="s">
        <v>537</v>
      </c>
      <c r="GM79" s="93">
        <v>9793215529</v>
      </c>
      <c r="GN79" s="47" t="s">
        <v>538</v>
      </c>
      <c r="GO79" s="92" t="str" cm="1">
        <f t="array" ref="GO79">IFERROR(_xlfn.IFS(ResearchInput[[#This Row],[Type]]="HRI",SUMIFS('FTSE | FTFE'!$P$8:$P$77,'FTSE | FTFE'!$H$8:$H$77,A79),ResearchInput[[#This Row],[Type]]="UNIV",SUMIFS('FTSE | FTFE'!$P$104:$P$139,'FTSE | FTFE'!$H$104:$H$139,A79),OR(ResearchInput[[#This Row],[Type]]="TSTC",ResearchInput[[#This Row],[Type]]="LSC"),SUMIFS('FTSE | FTFE'!$O$88:$O$96,'FTSE | FTFE'!$H$88:$H$96,A79),ResearchInput[[#This Row],[Type]]="AHM",SUMIFS(Hidden!$H$43:$H$46,Hidden!$G$42:$G$45,A79)),"N/A")</f>
        <v>N/A</v>
      </c>
      <c r="GP79" s="92" t="str" cm="1">
        <f t="array" ref="GP79">IFERROR(_xlfn.IFS(ResearchInput[[#This Row],[Type]]="HRI",SUMIFS('FTSE | FTFE'!$Q$8:$Q$77,'FTSE | FTFE'!$H$8:$H$77,A79),ResearchInput[[#This Row],[Type]]="UNIV",SUMIFS('FTSE | FTFE'!$Q$104:$Q$139,'FTSE | FTFE'!$H$104:$H$139,A79),OR(ResearchInput[[#This Row],[Type]]="TSTC",ResearchInput[[#This Row],[Type]]="LSC"),SUMIFS('FTSE | FTFE'!$P$88:$P$96,'FTSE | FTFE'!$H$88:$H$96,A79)),"N/A")</f>
        <v>N/A</v>
      </c>
      <c r="GQ79" s="92">
        <v>0</v>
      </c>
      <c r="GR79" s="92">
        <f>SUM(ResearchInput[[#This Row],[Fed.Comp]],ResearchInput[[#This Row],[Fed.Eng]],ResearchInput[[#This Row],[Fed.Geo]],ResearchInput[[#This Row],[Fed.Life]],ResearchInput[[#This Row],[Fed.Math]],ResearchInput[[#This Row],[Fed.Phys]],ResearchInput[[#This Row],[Fed.Psyc]],ResearchInput[[#This Row],[Fed.Soc]],ResearchInput[[#This Row],[Fed.Othr]],ResearchInput[[#This Row],[Fed.Non]])</f>
        <v>3258959</v>
      </c>
      <c r="GS79" s="92">
        <f>SUM(ResearchInput[[#This Row],[St.Comp]],ResearchInput[[#This Row],[St.Eng]],ResearchInput[[#This Row],[St.Geo]],ResearchInput[[#This Row],[St.Life]],ResearchInput[[#This Row],[St.Math]],ResearchInput[[#This Row],[St.Phys]],ResearchInput[[#This Row],[St.Psyc]],ResearchInput[[#This Row],[St.Soc]],ResearchInput[[#This Row],[St.Othr]],ResearchInput[[#This Row],[St.Non]])</f>
        <v>0</v>
      </c>
      <c r="GT79" s="92">
        <f>SUM(ResearchInput[[#This Row],[St.C&amp;G.Comp]],ResearchInput[[#This Row],[St.C&amp;G.Eng]],ResearchInput[[#This Row],[St.C&amp;G.Geo]],ResearchInput[[#This Row],[St.C&amp;G.Life]],ResearchInput[[#This Row],[St.C&amp;G.Math]],ResearchInput[[#This Row],[St.C&amp;G.Phys]],ResearchInput[[#This Row],[St.C&amp;G.Psyc]],ResearchInput[[#This Row],[St.C&amp;G.Soc]],ResearchInput[[#This Row],[St.C&amp;G.Othr]],ResearchInput[[#This Row],[St.C&amp;G.Non]])</f>
        <v>0</v>
      </c>
      <c r="GU79" s="92">
        <f>SUM(ResearchInput[[#This Row],[St.All.Comp]],ResearchInput[[#This Row],[St.All.Eng]],ResearchInput[[#This Row],[St.All.Geo]],ResearchInput[[#This Row],[St.All.Life]],ResearchInput[[#This Row],[St.All.Math]],ResearchInput[[#This Row],[St.All.Phys]],ResearchInput[[#This Row],[St.All.Psyc]],ResearchInput[[#This Row],[St.All.Soc]],ResearchInput[[#This Row],[St.All.Othr]],ResearchInput[[#This Row],[St.All.Non]])</f>
        <v>0</v>
      </c>
      <c r="GV79" s="92">
        <f>SUM(ResearchInput[[#This Row],[Inst.Comp]],ResearchInput[[#This Row],[Inst.Eng]],ResearchInput[[#This Row],[Inst.Geo]],ResearchInput[[#This Row],[Inst.Life]],ResearchInput[[#This Row],[Inst.Math]],ResearchInput[[#This Row],[Inst.Phys]],ResearchInput[[#This Row],[Inst.Psyc]],ResearchInput[[#This Row],[Inst.Soc]],ResearchInput[[#This Row],[Inst.Othr]],ResearchInput[[#This Row],[Inst.Non]])</f>
        <v>0</v>
      </c>
      <c r="GW79" s="92">
        <f>SUM(ResearchInput[[#This Row],[P4P.Comp]],ResearchInput[[#This Row],[P4P.Eng]],ResearchInput[[#This Row],[P4P.Geo]],ResearchInput[[#This Row],[P4P.Life]],ResearchInput[[#This Row],[P4P.Math]],ResearchInput[[#This Row],[P4P.Phys]],ResearchInput[[#This Row],[P4P.Psyc]],ResearchInput[[#This Row],[P4P.Soc]],ResearchInput[[#This Row],[P4P.Othr]],ResearchInput[[#This Row],[P4P.Non]])</f>
        <v>0</v>
      </c>
      <c r="GX79" s="92">
        <f>SUM(ResearchInput[[#This Row],[PNP.Comp]],ResearchInput[[#This Row],[PNP.Eng]],ResearchInput[[#This Row],[PNP.Geo]],ResearchInput[[#This Row],[PNP.Life]],ResearchInput[[#This Row],[PNP.Math]],ResearchInput[[#This Row],[PNP.Phys]],ResearchInput[[#This Row],[PNP.Psyc]],ResearchInput[[#This Row],[PNP.Soc]],ResearchInput[[#This Row],[PNP.Othr]],ResearchInput[[#This Row],[PNP.Non]])</f>
        <v>0</v>
      </c>
      <c r="GY79" s="92">
        <f>SUM(ResearchInput[[#This Row],[P.All.Comp]],ResearchInput[[#This Row],[P.All.Eng]],ResearchInput[[#This Row],[P.All.Geo]],ResearchInput[[#This Row],[P.All.Life]],ResearchInput[[#This Row],[P.All.Math]],ResearchInput[[#This Row],[P.All.Phys]],ResearchInput[[#This Row],[P.All.Psyc]],ResearchInput[[#This Row],[P.All.Soc]],ResearchInput[[#This Row],[P.All.Othr]],ResearchInput[[#This Row],[P.All.Non]])</f>
        <v>0</v>
      </c>
    </row>
    <row r="80" spans="1:207" s="47" customFormat="1" ht="27" customHeight="1" x14ac:dyDescent="0.25">
      <c r="A80" s="34" t="s">
        <v>539</v>
      </c>
      <c r="B80" s="34" t="s">
        <v>735</v>
      </c>
      <c r="C80" s="35" t="s">
        <v>674</v>
      </c>
      <c r="D80" s="35" t="s">
        <v>683</v>
      </c>
      <c r="E80" s="94">
        <v>1108</v>
      </c>
      <c r="F80" s="35" t="s">
        <v>714</v>
      </c>
      <c r="G80" s="35" t="s">
        <v>553</v>
      </c>
      <c r="H80" s="96">
        <v>575</v>
      </c>
      <c r="I80" s="92">
        <v>0</v>
      </c>
      <c r="J80" s="92">
        <v>0</v>
      </c>
      <c r="K80" s="92">
        <v>0</v>
      </c>
      <c r="L80" s="92">
        <v>0</v>
      </c>
      <c r="M80" s="92">
        <v>0</v>
      </c>
      <c r="N80" s="92">
        <v>0</v>
      </c>
      <c r="O80" s="92">
        <v>0</v>
      </c>
      <c r="P80" s="92">
        <v>0</v>
      </c>
      <c r="Q80" s="92">
        <v>0</v>
      </c>
      <c r="R80" s="92">
        <v>0</v>
      </c>
      <c r="S80" s="92">
        <v>0</v>
      </c>
      <c r="T80" s="92">
        <v>0</v>
      </c>
      <c r="U80" s="92">
        <v>0</v>
      </c>
      <c r="V80" s="92">
        <v>0</v>
      </c>
      <c r="W80" s="92">
        <v>0</v>
      </c>
      <c r="X80" s="92">
        <v>0</v>
      </c>
      <c r="Y80" s="92">
        <v>0</v>
      </c>
      <c r="Z80" s="92">
        <v>0</v>
      </c>
      <c r="AA80" s="92">
        <v>0</v>
      </c>
      <c r="AB80" s="92">
        <v>0</v>
      </c>
      <c r="AC80" s="92">
        <v>0</v>
      </c>
      <c r="AD80" s="92">
        <v>0</v>
      </c>
      <c r="AE80" s="92">
        <v>0</v>
      </c>
      <c r="AF80" s="92">
        <v>0</v>
      </c>
      <c r="AG80" s="92">
        <v>0</v>
      </c>
      <c r="AH80" s="92">
        <v>0</v>
      </c>
      <c r="AI80" s="92">
        <v>0</v>
      </c>
      <c r="AJ80" s="92">
        <v>0</v>
      </c>
      <c r="AK80" s="92">
        <v>0</v>
      </c>
      <c r="AL80" s="92">
        <v>0</v>
      </c>
      <c r="AM80" s="92">
        <v>0</v>
      </c>
      <c r="AN80" s="92">
        <v>0</v>
      </c>
      <c r="AO80" s="92">
        <v>0</v>
      </c>
      <c r="AP80" s="92">
        <v>0</v>
      </c>
      <c r="AQ80" s="92">
        <v>0</v>
      </c>
      <c r="AR80" s="92">
        <v>0</v>
      </c>
      <c r="AS80" s="92">
        <v>0</v>
      </c>
      <c r="AT80" s="92">
        <v>0</v>
      </c>
      <c r="AU80" s="92">
        <v>0</v>
      </c>
      <c r="AV80" s="92">
        <v>0</v>
      </c>
      <c r="AW80" s="92">
        <v>0</v>
      </c>
      <c r="AX80" s="92">
        <v>0</v>
      </c>
      <c r="AY80" s="92">
        <v>0</v>
      </c>
      <c r="AZ80" s="92">
        <v>0</v>
      </c>
      <c r="BA80" s="92">
        <v>0</v>
      </c>
      <c r="BB80" s="92">
        <v>0</v>
      </c>
      <c r="BC80" s="92">
        <v>0</v>
      </c>
      <c r="BD80" s="92">
        <v>0</v>
      </c>
      <c r="BE80" s="92">
        <v>0</v>
      </c>
      <c r="BF80" s="92">
        <v>0</v>
      </c>
      <c r="BG80" s="92">
        <v>0</v>
      </c>
      <c r="BH80" s="92">
        <v>0</v>
      </c>
      <c r="BI80" s="92">
        <v>0</v>
      </c>
      <c r="BJ80" s="92">
        <v>0</v>
      </c>
      <c r="BK80" s="92">
        <v>0</v>
      </c>
      <c r="BL80" s="92">
        <v>0</v>
      </c>
      <c r="BM80" s="92">
        <v>0</v>
      </c>
      <c r="BN80" s="92">
        <v>0</v>
      </c>
      <c r="BO80" s="92">
        <v>0</v>
      </c>
      <c r="BP80" s="92">
        <v>0</v>
      </c>
      <c r="BQ80" s="92">
        <v>0</v>
      </c>
      <c r="BR80" s="92">
        <v>0</v>
      </c>
      <c r="BS80" s="92">
        <v>0</v>
      </c>
      <c r="BT80" s="92">
        <v>0</v>
      </c>
      <c r="BU80" s="92">
        <v>0</v>
      </c>
      <c r="BV80" s="92">
        <v>0</v>
      </c>
      <c r="BW80" s="92">
        <v>0</v>
      </c>
      <c r="BX80" s="92">
        <v>0</v>
      </c>
      <c r="BY80" s="92">
        <v>0</v>
      </c>
      <c r="BZ80" s="92">
        <v>0</v>
      </c>
      <c r="CA80" s="92">
        <v>0</v>
      </c>
      <c r="CB80" s="92">
        <v>0</v>
      </c>
      <c r="CC80" s="92">
        <v>0</v>
      </c>
      <c r="CD80" s="92">
        <v>0</v>
      </c>
      <c r="CE80" s="92">
        <v>0</v>
      </c>
      <c r="CF80" s="92">
        <v>0</v>
      </c>
      <c r="CG80" s="92">
        <v>0</v>
      </c>
      <c r="CH80" s="92">
        <v>0</v>
      </c>
      <c r="CI80" s="92">
        <v>0</v>
      </c>
      <c r="CJ80" s="92">
        <v>0</v>
      </c>
      <c r="CK80" s="92">
        <v>0</v>
      </c>
      <c r="CL80" s="92">
        <v>0</v>
      </c>
      <c r="CM80" s="92">
        <v>0</v>
      </c>
      <c r="CN80" s="92">
        <v>0</v>
      </c>
      <c r="CO80" s="92">
        <v>0</v>
      </c>
      <c r="CP80" s="92">
        <v>0</v>
      </c>
      <c r="CQ80" s="92">
        <v>0</v>
      </c>
      <c r="CR80" s="92">
        <v>0</v>
      </c>
      <c r="CS80" s="92">
        <v>0</v>
      </c>
      <c r="CT80" s="92">
        <v>0</v>
      </c>
      <c r="CU80" s="92">
        <v>0</v>
      </c>
      <c r="CV80" s="92">
        <v>0</v>
      </c>
      <c r="CW80" s="92">
        <v>0</v>
      </c>
      <c r="CX80" s="92">
        <v>0</v>
      </c>
      <c r="CY80" s="92">
        <v>0</v>
      </c>
      <c r="CZ80" s="92">
        <v>0</v>
      </c>
      <c r="DA80" s="92">
        <v>0</v>
      </c>
      <c r="DB80" s="92">
        <v>0</v>
      </c>
      <c r="DC80" s="92">
        <v>0</v>
      </c>
      <c r="DD80" s="92">
        <v>0</v>
      </c>
      <c r="DE80" s="92">
        <v>0</v>
      </c>
      <c r="DF80" s="92">
        <v>0</v>
      </c>
      <c r="DG80" s="92">
        <v>0</v>
      </c>
      <c r="DH80" s="92">
        <v>0</v>
      </c>
      <c r="DI80" s="92">
        <v>0</v>
      </c>
      <c r="DJ80" s="92">
        <v>0</v>
      </c>
      <c r="DK80" s="92">
        <v>0</v>
      </c>
      <c r="DL80" s="92">
        <v>0</v>
      </c>
      <c r="DM80" s="92">
        <v>0</v>
      </c>
      <c r="DN80" s="92">
        <v>0</v>
      </c>
      <c r="DO80" s="92">
        <v>0</v>
      </c>
      <c r="DP80" s="92">
        <v>0</v>
      </c>
      <c r="DQ80" s="92">
        <v>0</v>
      </c>
      <c r="DR80" s="92">
        <v>0</v>
      </c>
      <c r="DS80" s="92">
        <v>0</v>
      </c>
      <c r="DT80" s="92">
        <v>0</v>
      </c>
      <c r="DU80" s="92">
        <v>0</v>
      </c>
      <c r="DV80" s="92">
        <v>0</v>
      </c>
      <c r="DW80" s="92">
        <v>0</v>
      </c>
      <c r="DX80" s="92">
        <v>0</v>
      </c>
      <c r="DY80" s="92">
        <v>0</v>
      </c>
      <c r="DZ80" s="92">
        <v>0</v>
      </c>
      <c r="EA80" s="92">
        <v>0</v>
      </c>
      <c r="EB80" s="92">
        <v>0</v>
      </c>
      <c r="EC80" s="92">
        <v>0</v>
      </c>
      <c r="ED80" s="92">
        <v>0</v>
      </c>
      <c r="EE80" s="92">
        <v>0</v>
      </c>
      <c r="EF80" s="92">
        <v>0</v>
      </c>
      <c r="EG80" s="92">
        <v>0</v>
      </c>
      <c r="EH80" s="92">
        <v>0</v>
      </c>
      <c r="EI80" s="92">
        <v>0</v>
      </c>
      <c r="EJ80" s="92">
        <v>0</v>
      </c>
      <c r="EK80" s="92">
        <v>0</v>
      </c>
      <c r="EL80" s="92">
        <v>0</v>
      </c>
      <c r="EM80" s="92">
        <v>0</v>
      </c>
      <c r="EN80" s="92">
        <v>0</v>
      </c>
      <c r="EO80" s="92">
        <v>0</v>
      </c>
      <c r="EP80" s="92">
        <v>0</v>
      </c>
      <c r="EQ80" s="92">
        <v>0</v>
      </c>
      <c r="ER80" s="92">
        <v>0</v>
      </c>
      <c r="ES80" s="92">
        <v>0</v>
      </c>
      <c r="ET80" s="92">
        <v>0</v>
      </c>
      <c r="EU80" s="92">
        <v>0</v>
      </c>
      <c r="EV80" s="92">
        <v>0</v>
      </c>
      <c r="EW80" s="92">
        <v>0</v>
      </c>
      <c r="EX80" s="92">
        <v>0</v>
      </c>
      <c r="EY80" s="92">
        <v>0</v>
      </c>
      <c r="EZ80" s="92">
        <v>0</v>
      </c>
      <c r="FA80" s="92">
        <v>0</v>
      </c>
      <c r="FB80" s="92">
        <v>0</v>
      </c>
      <c r="FC80" s="92">
        <v>0</v>
      </c>
      <c r="FD80" s="92">
        <v>0</v>
      </c>
      <c r="FE80" s="92">
        <v>0</v>
      </c>
      <c r="FF80" s="92">
        <v>0</v>
      </c>
      <c r="FG80" s="92">
        <v>0</v>
      </c>
      <c r="FH80" s="92">
        <v>0</v>
      </c>
      <c r="FI80" s="92">
        <v>0</v>
      </c>
      <c r="FJ80" s="92">
        <v>0</v>
      </c>
      <c r="FK80" s="92">
        <v>0</v>
      </c>
      <c r="FL80" s="92">
        <v>0</v>
      </c>
      <c r="FM80" s="92">
        <v>0</v>
      </c>
      <c r="FN80" s="92">
        <v>0</v>
      </c>
      <c r="FO80" s="92">
        <v>0</v>
      </c>
      <c r="FP80" s="92">
        <v>0</v>
      </c>
      <c r="FQ80" s="92">
        <v>0</v>
      </c>
      <c r="FR80" s="92">
        <v>0</v>
      </c>
      <c r="FS80" s="92">
        <v>0</v>
      </c>
      <c r="FT80" s="92">
        <v>0</v>
      </c>
      <c r="FU80" s="92">
        <v>0</v>
      </c>
      <c r="FV80" s="92">
        <v>0</v>
      </c>
      <c r="FW80" s="92">
        <v>0</v>
      </c>
      <c r="FX80" s="92">
        <v>0</v>
      </c>
      <c r="FY80" s="92">
        <v>0</v>
      </c>
      <c r="FZ80" s="92">
        <v>0</v>
      </c>
      <c r="GA80" s="92">
        <v>0</v>
      </c>
      <c r="GB80" s="92">
        <v>0</v>
      </c>
      <c r="GC80" s="92">
        <v>0</v>
      </c>
      <c r="GD80" s="92">
        <v>0</v>
      </c>
      <c r="GE80" s="92">
        <v>0</v>
      </c>
      <c r="GF80" s="92">
        <v>1129902618</v>
      </c>
      <c r="GG80" s="47" t="s">
        <v>311</v>
      </c>
      <c r="GH80" s="47" t="s">
        <v>312</v>
      </c>
      <c r="GI80" s="93">
        <v>9798459761</v>
      </c>
      <c r="GJ80" s="47" t="s">
        <v>313</v>
      </c>
      <c r="GK80" s="47" t="s">
        <v>540</v>
      </c>
      <c r="GL80" s="47" t="s">
        <v>541</v>
      </c>
      <c r="GM80" s="93">
        <v>9792202822</v>
      </c>
      <c r="GN80" s="47" t="s">
        <v>542</v>
      </c>
      <c r="GO80" s="92" t="str" cm="1">
        <f t="array" ref="GO80">IFERROR(_xlfn.IFS(ResearchInput[[#This Row],[Type]]="HRI",SUMIFS('FTSE | FTFE'!$P$8:$P$77,'FTSE | FTFE'!$H$8:$H$77,A80),ResearchInput[[#This Row],[Type]]="UNIV",SUMIFS('FTSE | FTFE'!$P$104:$P$139,'FTSE | FTFE'!$H$104:$H$139,A80),OR(ResearchInput[[#This Row],[Type]]="TSTC",ResearchInput[[#This Row],[Type]]="LSC"),SUMIFS('FTSE | FTFE'!$O$88:$O$96,'FTSE | FTFE'!$H$88:$H$96,A80),ResearchInput[[#This Row],[Type]]="AHM",SUMIFS(Hidden!$H$43:$H$46,Hidden!$G$42:$G$45,A80)),"N/A")</f>
        <v>N/A</v>
      </c>
      <c r="GP80" s="92" t="str" cm="1">
        <f t="array" ref="GP80">IFERROR(_xlfn.IFS(ResearchInput[[#This Row],[Type]]="HRI",SUMIFS('FTSE | FTFE'!$Q$8:$Q$77,'FTSE | FTFE'!$H$8:$H$77,A80),ResearchInput[[#This Row],[Type]]="UNIV",SUMIFS('FTSE | FTFE'!$Q$104:$Q$139,'FTSE | FTFE'!$H$104:$H$139,A80),OR(ResearchInput[[#This Row],[Type]]="TSTC",ResearchInput[[#This Row],[Type]]="LSC"),SUMIFS('FTSE | FTFE'!$P$88:$P$96,'FTSE | FTFE'!$H$88:$H$96,A80)),"N/A")</f>
        <v>N/A</v>
      </c>
      <c r="GQ80" s="92">
        <v>0</v>
      </c>
      <c r="GR80" s="92">
        <f>SUM(ResearchInput[[#This Row],[Fed.Comp]],ResearchInput[[#This Row],[Fed.Eng]],ResearchInput[[#This Row],[Fed.Geo]],ResearchInput[[#This Row],[Fed.Life]],ResearchInput[[#This Row],[Fed.Math]],ResearchInput[[#This Row],[Fed.Phys]],ResearchInput[[#This Row],[Fed.Psyc]],ResearchInput[[#This Row],[Fed.Soc]],ResearchInput[[#This Row],[Fed.Othr]],ResearchInput[[#This Row],[Fed.Non]])</f>
        <v>0</v>
      </c>
      <c r="GS80" s="92">
        <f>SUM(ResearchInput[[#This Row],[St.Comp]],ResearchInput[[#This Row],[St.Eng]],ResearchInput[[#This Row],[St.Geo]],ResearchInput[[#This Row],[St.Life]],ResearchInput[[#This Row],[St.Math]],ResearchInput[[#This Row],[St.Phys]],ResearchInput[[#This Row],[St.Psyc]],ResearchInput[[#This Row],[St.Soc]],ResearchInput[[#This Row],[St.Othr]],ResearchInput[[#This Row],[St.Non]])</f>
        <v>0</v>
      </c>
      <c r="GT80" s="92">
        <f>SUM(ResearchInput[[#This Row],[St.C&amp;G.Comp]],ResearchInput[[#This Row],[St.C&amp;G.Eng]],ResearchInput[[#This Row],[St.C&amp;G.Geo]],ResearchInput[[#This Row],[St.C&amp;G.Life]],ResearchInput[[#This Row],[St.C&amp;G.Math]],ResearchInput[[#This Row],[St.C&amp;G.Phys]],ResearchInput[[#This Row],[St.C&amp;G.Psyc]],ResearchInput[[#This Row],[St.C&amp;G.Soc]],ResearchInput[[#This Row],[St.C&amp;G.Othr]],ResearchInput[[#This Row],[St.C&amp;G.Non]])</f>
        <v>0</v>
      </c>
      <c r="GU80" s="92">
        <f>SUM(ResearchInput[[#This Row],[St.All.Comp]],ResearchInput[[#This Row],[St.All.Eng]],ResearchInput[[#This Row],[St.All.Geo]],ResearchInput[[#This Row],[St.All.Life]],ResearchInput[[#This Row],[St.All.Math]],ResearchInput[[#This Row],[St.All.Phys]],ResearchInput[[#This Row],[St.All.Psyc]],ResearchInput[[#This Row],[St.All.Soc]],ResearchInput[[#This Row],[St.All.Othr]],ResearchInput[[#This Row],[St.All.Non]])</f>
        <v>0</v>
      </c>
      <c r="GV80" s="92">
        <f>SUM(ResearchInput[[#This Row],[Inst.Comp]],ResearchInput[[#This Row],[Inst.Eng]],ResearchInput[[#This Row],[Inst.Geo]],ResearchInput[[#This Row],[Inst.Life]],ResearchInput[[#This Row],[Inst.Math]],ResearchInput[[#This Row],[Inst.Phys]],ResearchInput[[#This Row],[Inst.Psyc]],ResearchInput[[#This Row],[Inst.Soc]],ResearchInput[[#This Row],[Inst.Othr]],ResearchInput[[#This Row],[Inst.Non]])</f>
        <v>0</v>
      </c>
      <c r="GW80" s="92">
        <f>SUM(ResearchInput[[#This Row],[P4P.Comp]],ResearchInput[[#This Row],[P4P.Eng]],ResearchInput[[#This Row],[P4P.Geo]],ResearchInput[[#This Row],[P4P.Life]],ResearchInput[[#This Row],[P4P.Math]],ResearchInput[[#This Row],[P4P.Phys]],ResearchInput[[#This Row],[P4P.Psyc]],ResearchInput[[#This Row],[P4P.Soc]],ResearchInput[[#This Row],[P4P.Othr]],ResearchInput[[#This Row],[P4P.Non]])</f>
        <v>0</v>
      </c>
      <c r="GX80" s="92">
        <f>SUM(ResearchInput[[#This Row],[PNP.Comp]],ResearchInput[[#This Row],[PNP.Eng]],ResearchInput[[#This Row],[PNP.Geo]],ResearchInput[[#This Row],[PNP.Life]],ResearchInput[[#This Row],[PNP.Math]],ResearchInput[[#This Row],[PNP.Phys]],ResearchInput[[#This Row],[PNP.Psyc]],ResearchInput[[#This Row],[PNP.Soc]],ResearchInput[[#This Row],[PNP.Othr]],ResearchInput[[#This Row],[PNP.Non]])</f>
        <v>0</v>
      </c>
      <c r="GY80" s="92">
        <f>SUM(ResearchInput[[#This Row],[P.All.Comp]],ResearchInput[[#This Row],[P.All.Eng]],ResearchInput[[#This Row],[P.All.Geo]],ResearchInput[[#This Row],[P.All.Life]],ResearchInput[[#This Row],[P.All.Math]],ResearchInput[[#This Row],[P.All.Phys]],ResearchInput[[#This Row],[P.All.Psyc]],ResearchInput[[#This Row],[P.All.Soc]],ResearchInput[[#This Row],[P.All.Othr]],ResearchInput[[#This Row],[P.All.Non]])</f>
        <v>0</v>
      </c>
    </row>
    <row r="81" spans="1:207" s="47" customFormat="1" ht="27" customHeight="1" x14ac:dyDescent="0.25">
      <c r="A81" s="34" t="s">
        <v>552</v>
      </c>
      <c r="B81" s="34" t="s">
        <v>670</v>
      </c>
      <c r="C81" s="35" t="s">
        <v>553</v>
      </c>
      <c r="D81" s="35" t="s">
        <v>713</v>
      </c>
      <c r="E81" s="94">
        <v>1201</v>
      </c>
      <c r="F81" s="35" t="s">
        <v>714</v>
      </c>
      <c r="G81" s="35" t="s">
        <v>553</v>
      </c>
      <c r="H81" s="96">
        <v>3537</v>
      </c>
      <c r="I81" s="92">
        <v>429896</v>
      </c>
      <c r="J81" s="92">
        <v>0</v>
      </c>
      <c r="K81" s="92">
        <v>12048</v>
      </c>
      <c r="L81" s="92">
        <v>0</v>
      </c>
      <c r="M81" s="92">
        <v>3306910</v>
      </c>
      <c r="N81" s="92">
        <v>4833587</v>
      </c>
      <c r="O81" s="92">
        <v>194813</v>
      </c>
      <c r="P81" s="92">
        <v>43767</v>
      </c>
      <c r="Q81" s="92">
        <v>0</v>
      </c>
      <c r="R81" s="92">
        <v>0</v>
      </c>
      <c r="S81" s="92">
        <v>0</v>
      </c>
      <c r="T81" s="92">
        <v>0</v>
      </c>
      <c r="U81" s="92">
        <v>0</v>
      </c>
      <c r="V81" s="92">
        <v>0</v>
      </c>
      <c r="W81" s="92">
        <v>0</v>
      </c>
      <c r="X81" s="92">
        <v>0</v>
      </c>
      <c r="Y81" s="92">
        <v>0</v>
      </c>
      <c r="Z81" s="92">
        <v>0</v>
      </c>
      <c r="AA81" s="92">
        <v>0</v>
      </c>
      <c r="AB81" s="92">
        <v>0</v>
      </c>
      <c r="AC81" s="92">
        <v>0</v>
      </c>
      <c r="AD81" s="92">
        <v>0</v>
      </c>
      <c r="AE81" s="92">
        <v>0</v>
      </c>
      <c r="AF81" s="92">
        <v>0</v>
      </c>
      <c r="AG81" s="92">
        <v>0</v>
      </c>
      <c r="AH81" s="92">
        <v>0</v>
      </c>
      <c r="AI81" s="92">
        <v>0</v>
      </c>
      <c r="AJ81" s="92">
        <v>0</v>
      </c>
      <c r="AK81" s="92">
        <v>0</v>
      </c>
      <c r="AL81" s="92">
        <v>0</v>
      </c>
      <c r="AM81" s="92">
        <v>0</v>
      </c>
      <c r="AN81" s="92">
        <v>0</v>
      </c>
      <c r="AO81" s="92">
        <v>0</v>
      </c>
      <c r="AP81" s="92">
        <v>0</v>
      </c>
      <c r="AQ81" s="92">
        <v>0</v>
      </c>
      <c r="AR81" s="92">
        <v>0</v>
      </c>
      <c r="AS81" s="92">
        <v>0</v>
      </c>
      <c r="AT81" s="92">
        <v>0</v>
      </c>
      <c r="AU81" s="92">
        <v>0</v>
      </c>
      <c r="AV81" s="92">
        <v>0</v>
      </c>
      <c r="AW81" s="92">
        <v>0</v>
      </c>
      <c r="AX81" s="92">
        <v>0</v>
      </c>
      <c r="AY81" s="92">
        <v>0</v>
      </c>
      <c r="AZ81" s="92">
        <v>0</v>
      </c>
      <c r="BA81" s="92">
        <v>0</v>
      </c>
      <c r="BB81" s="92">
        <v>0</v>
      </c>
      <c r="BC81" s="92">
        <v>0</v>
      </c>
      <c r="BD81" s="92">
        <v>0</v>
      </c>
      <c r="BE81" s="92">
        <v>0</v>
      </c>
      <c r="BF81" s="92">
        <v>0</v>
      </c>
      <c r="BG81" s="92">
        <v>0</v>
      </c>
      <c r="BH81" s="92">
        <v>0</v>
      </c>
      <c r="BI81" s="92">
        <v>0</v>
      </c>
      <c r="BJ81" s="92">
        <v>0</v>
      </c>
      <c r="BK81" s="92">
        <v>0</v>
      </c>
      <c r="BL81" s="92">
        <v>0</v>
      </c>
      <c r="BM81" s="92">
        <v>0</v>
      </c>
      <c r="BN81" s="92">
        <v>0</v>
      </c>
      <c r="BO81" s="92">
        <v>0</v>
      </c>
      <c r="BP81" s="92">
        <v>0</v>
      </c>
      <c r="BQ81" s="92">
        <v>0</v>
      </c>
      <c r="BR81" s="92">
        <v>0</v>
      </c>
      <c r="BS81" s="92">
        <v>0</v>
      </c>
      <c r="BT81" s="92">
        <v>0</v>
      </c>
      <c r="BU81" s="92">
        <v>0</v>
      </c>
      <c r="BV81" s="92">
        <v>0</v>
      </c>
      <c r="BW81" s="92">
        <v>0</v>
      </c>
      <c r="BX81" s="92">
        <v>0</v>
      </c>
      <c r="BY81" s="92">
        <v>1860</v>
      </c>
      <c r="BZ81" s="92">
        <v>53381</v>
      </c>
      <c r="CA81" s="92">
        <v>0</v>
      </c>
      <c r="CB81" s="92">
        <v>0</v>
      </c>
      <c r="CC81" s="92">
        <v>4143</v>
      </c>
      <c r="CD81" s="92">
        <v>0</v>
      </c>
      <c r="CE81" s="92">
        <v>0</v>
      </c>
      <c r="CF81" s="92">
        <v>0</v>
      </c>
      <c r="CG81" s="92">
        <v>2915</v>
      </c>
      <c r="CH81" s="92">
        <v>0</v>
      </c>
      <c r="CI81" s="92">
        <v>0</v>
      </c>
      <c r="CJ81" s="92">
        <v>0</v>
      </c>
      <c r="CK81" s="92">
        <v>0</v>
      </c>
      <c r="CL81" s="92">
        <v>0</v>
      </c>
      <c r="CM81" s="92">
        <v>0</v>
      </c>
      <c r="CN81" s="92">
        <v>0</v>
      </c>
      <c r="CO81" s="92">
        <v>0</v>
      </c>
      <c r="CP81" s="92">
        <v>0</v>
      </c>
      <c r="CQ81" s="92">
        <v>0</v>
      </c>
      <c r="CR81" s="92">
        <v>0</v>
      </c>
      <c r="CS81" s="92">
        <v>0</v>
      </c>
      <c r="CT81" s="92">
        <v>0</v>
      </c>
      <c r="CU81" s="92">
        <v>0</v>
      </c>
      <c r="CV81" s="92">
        <v>0</v>
      </c>
      <c r="CW81" s="92">
        <v>60553</v>
      </c>
      <c r="CX81" s="92">
        <v>187768</v>
      </c>
      <c r="CY81" s="92">
        <v>0</v>
      </c>
      <c r="CZ81" s="92">
        <v>0</v>
      </c>
      <c r="DA81" s="92">
        <v>0</v>
      </c>
      <c r="DB81" s="92">
        <v>0</v>
      </c>
      <c r="DC81" s="92">
        <v>0</v>
      </c>
      <c r="DD81" s="92">
        <v>0</v>
      </c>
      <c r="DE81" s="92">
        <v>0</v>
      </c>
      <c r="DF81" s="92">
        <v>0</v>
      </c>
      <c r="DG81" s="92">
        <v>0</v>
      </c>
      <c r="DH81" s="92">
        <v>0</v>
      </c>
      <c r="DI81" s="92">
        <v>202188</v>
      </c>
      <c r="DJ81" s="92">
        <v>0</v>
      </c>
      <c r="DK81" s="92">
        <v>0</v>
      </c>
      <c r="DL81" s="92">
        <v>0</v>
      </c>
      <c r="DM81" s="92">
        <v>448147</v>
      </c>
      <c r="DN81" s="92">
        <v>4592438</v>
      </c>
      <c r="DO81" s="92">
        <v>49894</v>
      </c>
      <c r="DP81" s="92">
        <v>0</v>
      </c>
      <c r="DQ81" s="92">
        <v>223565</v>
      </c>
      <c r="DR81" s="92">
        <v>0</v>
      </c>
      <c r="DS81" s="92">
        <v>0</v>
      </c>
      <c r="DT81" s="92">
        <v>0</v>
      </c>
      <c r="DU81" s="92">
        <v>15522</v>
      </c>
      <c r="DV81" s="92">
        <v>0</v>
      </c>
      <c r="DW81" s="92">
        <v>31500</v>
      </c>
      <c r="DX81" s="92">
        <v>0</v>
      </c>
      <c r="DY81" s="92">
        <v>0</v>
      </c>
      <c r="DZ81" s="92">
        <v>0</v>
      </c>
      <c r="EA81" s="92">
        <v>0</v>
      </c>
      <c r="EB81" s="92">
        <v>0</v>
      </c>
      <c r="EC81" s="92">
        <v>68113</v>
      </c>
      <c r="ED81" s="92">
        <v>0</v>
      </c>
      <c r="EE81" s="92">
        <v>36294</v>
      </c>
      <c r="EF81" s="92">
        <v>0</v>
      </c>
      <c r="EG81" s="92">
        <v>0</v>
      </c>
      <c r="EH81" s="92">
        <v>0</v>
      </c>
      <c r="EI81" s="92">
        <v>0</v>
      </c>
      <c r="EJ81" s="92">
        <v>0</v>
      </c>
      <c r="EK81" s="92">
        <v>0</v>
      </c>
      <c r="EL81" s="92">
        <v>0</v>
      </c>
      <c r="EM81" s="92">
        <v>0</v>
      </c>
      <c r="EN81" s="92">
        <v>0</v>
      </c>
      <c r="EO81" s="92">
        <v>0</v>
      </c>
      <c r="EP81" s="92">
        <v>0</v>
      </c>
      <c r="EQ81" s="92">
        <v>12048</v>
      </c>
      <c r="ER81" s="92">
        <v>0</v>
      </c>
      <c r="ES81" s="92">
        <v>2709800</v>
      </c>
      <c r="ET81" s="92">
        <v>0</v>
      </c>
      <c r="EU81" s="92">
        <v>77125</v>
      </c>
      <c r="EV81" s="92">
        <v>43767</v>
      </c>
      <c r="EW81" s="92">
        <v>0</v>
      </c>
      <c r="EX81" s="92">
        <v>0</v>
      </c>
      <c r="EY81" s="92">
        <v>0</v>
      </c>
      <c r="EZ81" s="92">
        <v>0</v>
      </c>
      <c r="FA81" s="92">
        <v>0</v>
      </c>
      <c r="FB81" s="92">
        <v>0</v>
      </c>
      <c r="FC81" s="92">
        <v>0</v>
      </c>
      <c r="FD81" s="92">
        <v>0</v>
      </c>
      <c r="FE81" s="92">
        <v>0</v>
      </c>
      <c r="FF81" s="92">
        <v>0</v>
      </c>
      <c r="FG81" s="92">
        <v>0</v>
      </c>
      <c r="FH81" s="92">
        <v>0</v>
      </c>
      <c r="FI81" s="92">
        <v>0</v>
      </c>
      <c r="FJ81" s="92">
        <v>0</v>
      </c>
      <c r="FK81" s="92">
        <v>0</v>
      </c>
      <c r="FL81" s="92">
        <v>0</v>
      </c>
      <c r="FM81" s="92">
        <v>0</v>
      </c>
      <c r="FN81" s="92">
        <v>0</v>
      </c>
      <c r="FO81" s="92">
        <v>0</v>
      </c>
      <c r="FP81" s="92">
        <v>0</v>
      </c>
      <c r="FQ81" s="92">
        <v>0</v>
      </c>
      <c r="FR81" s="92">
        <v>0</v>
      </c>
      <c r="FS81" s="92">
        <v>0</v>
      </c>
      <c r="FT81" s="92">
        <v>0</v>
      </c>
      <c r="FU81" s="92">
        <v>0</v>
      </c>
      <c r="FV81" s="92">
        <v>0</v>
      </c>
      <c r="FW81" s="92">
        <v>0</v>
      </c>
      <c r="FX81" s="92">
        <v>0</v>
      </c>
      <c r="FY81" s="92">
        <v>0</v>
      </c>
      <c r="FZ81" s="92">
        <v>0</v>
      </c>
      <c r="GA81" s="92">
        <v>0</v>
      </c>
      <c r="GB81" s="92">
        <v>0</v>
      </c>
      <c r="GC81" s="92" t="s">
        <v>553</v>
      </c>
      <c r="GD81" s="92" t="s">
        <v>553</v>
      </c>
      <c r="GE81" s="92" t="s">
        <v>553</v>
      </c>
      <c r="GF81" s="92" t="s">
        <v>553</v>
      </c>
      <c r="GG81" s="47" t="s">
        <v>554</v>
      </c>
      <c r="GH81" s="47" t="s">
        <v>555</v>
      </c>
      <c r="GI81" s="93" t="s">
        <v>1010</v>
      </c>
      <c r="GJ81" s="47" t="s">
        <v>556</v>
      </c>
      <c r="GK81" s="47" t="s">
        <v>557</v>
      </c>
      <c r="GL81" s="47" t="s">
        <v>558</v>
      </c>
      <c r="GM81" s="93" t="s">
        <v>1010</v>
      </c>
      <c r="GN81" s="47" t="s">
        <v>559</v>
      </c>
      <c r="GO81" s="92" t="str" cm="1">
        <f t="array" ref="GO81">IFERROR(_xlfn.IFS(ResearchInput[[#This Row],[Type]]="HRI",SUMIFS('FTSE | FTFE'!$P$8:$P$77,'FTSE | FTFE'!$H$8:$H$77,A81),ResearchInput[[#This Row],[Type]]="UNIV",SUMIFS('FTSE | FTFE'!$P$104:$P$139,'FTSE | FTFE'!$H$104:$H$139,A81),OR(ResearchInput[[#This Row],[Type]]="TSTC",ResearchInput[[#This Row],[Type]]="LSC"),SUMIFS('FTSE | FTFE'!$O$88:$O$96,'FTSE | FTFE'!$H$88:$H$96,A81),ResearchInput[[#This Row],[Type]]="AHM",SUMIFS(Hidden!$H$43:$H$46,Hidden!$G$42:$G$45,A81)),"N/A")</f>
        <v>N/A</v>
      </c>
      <c r="GP81" s="92" t="str" cm="1">
        <f t="array" ref="GP81">IFERROR(_xlfn.IFS(ResearchInput[[#This Row],[Type]]="HRI",SUMIFS('FTSE | FTFE'!$Q$8:$Q$77,'FTSE | FTFE'!$H$8:$H$77,A81),ResearchInput[[#This Row],[Type]]="UNIV",SUMIFS('FTSE | FTFE'!$Q$104:$Q$139,'FTSE | FTFE'!$H$104:$H$139,A81),OR(ResearchInput[[#This Row],[Type]]="TSTC",ResearchInput[[#This Row],[Type]]="LSC"),SUMIFS('FTSE | FTFE'!$P$88:$P$96,'FTSE | FTFE'!$H$88:$H$96,A81)),"N/A")</f>
        <v>N/A</v>
      </c>
      <c r="GQ81" s="92">
        <v>0</v>
      </c>
      <c r="GR81" s="92">
        <f>SUM(ResearchInput[[#This Row],[Fed.Comp]],ResearchInput[[#This Row],[Fed.Eng]],ResearchInput[[#This Row],[Fed.Geo]],ResearchInput[[#This Row],[Fed.Life]],ResearchInput[[#This Row],[Fed.Math]],ResearchInput[[#This Row],[Fed.Phys]],ResearchInput[[#This Row],[Fed.Psyc]],ResearchInput[[#This Row],[Fed.Soc]],ResearchInput[[#This Row],[Fed.Othr]],ResearchInput[[#This Row],[Fed.Non]])</f>
        <v>429896</v>
      </c>
      <c r="GS81" s="92">
        <f>SUM(ResearchInput[[#This Row],[St.Comp]],ResearchInput[[#This Row],[St.Eng]],ResearchInput[[#This Row],[St.Geo]],ResearchInput[[#This Row],[St.Life]],ResearchInput[[#This Row],[St.Math]],ResearchInput[[#This Row],[St.Phys]],ResearchInput[[#This Row],[St.Psyc]],ResearchInput[[#This Row],[St.Soc]],ResearchInput[[#This Row],[St.Othr]],ResearchInput[[#This Row],[St.Non]])</f>
        <v>0</v>
      </c>
      <c r="GT81" s="92">
        <f>SUM(ResearchInput[[#This Row],[St.C&amp;G.Comp]],ResearchInput[[#This Row],[St.C&amp;G.Eng]],ResearchInput[[#This Row],[St.C&amp;G.Geo]],ResearchInput[[#This Row],[St.C&amp;G.Life]],ResearchInput[[#This Row],[St.C&amp;G.Math]],ResearchInput[[#This Row],[St.C&amp;G.Phys]],ResearchInput[[#This Row],[St.C&amp;G.Psyc]],ResearchInput[[#This Row],[St.C&amp;G.Soc]],ResearchInput[[#This Row],[St.C&amp;G.Othr]],ResearchInput[[#This Row],[St.C&amp;G.Non]])</f>
        <v>12048</v>
      </c>
      <c r="GU81" s="92">
        <f>SUM(ResearchInput[[#This Row],[St.All.Comp]],ResearchInput[[#This Row],[St.All.Eng]],ResearchInput[[#This Row],[St.All.Geo]],ResearchInput[[#This Row],[St.All.Life]],ResearchInput[[#This Row],[St.All.Math]],ResearchInput[[#This Row],[St.All.Phys]],ResearchInput[[#This Row],[St.All.Psyc]],ResearchInput[[#This Row],[St.All.Soc]],ResearchInput[[#This Row],[St.All.Othr]],ResearchInput[[#This Row],[St.All.Non]])</f>
        <v>0</v>
      </c>
      <c r="GV81" s="92">
        <f>SUM(ResearchInput[[#This Row],[Inst.Comp]],ResearchInput[[#This Row],[Inst.Eng]],ResearchInput[[#This Row],[Inst.Geo]],ResearchInput[[#This Row],[Inst.Life]],ResearchInput[[#This Row],[Inst.Math]],ResearchInput[[#This Row],[Inst.Phys]],ResearchInput[[#This Row],[Inst.Psyc]],ResearchInput[[#This Row],[Inst.Soc]],ResearchInput[[#This Row],[Inst.Othr]],ResearchInput[[#This Row],[Inst.Non]])</f>
        <v>3306910</v>
      </c>
      <c r="GW81" s="92">
        <f>SUM(ResearchInput[[#This Row],[P4P.Comp]],ResearchInput[[#This Row],[P4P.Eng]],ResearchInput[[#This Row],[P4P.Geo]],ResearchInput[[#This Row],[P4P.Life]],ResearchInput[[#This Row],[P4P.Math]],ResearchInput[[#This Row],[P4P.Phys]],ResearchInput[[#This Row],[P4P.Psyc]],ResearchInput[[#This Row],[P4P.Soc]],ResearchInput[[#This Row],[P4P.Othr]],ResearchInput[[#This Row],[P4P.Non]])</f>
        <v>4833587</v>
      </c>
      <c r="GX81" s="92">
        <f>SUM(ResearchInput[[#This Row],[PNP.Comp]],ResearchInput[[#This Row],[PNP.Eng]],ResearchInput[[#This Row],[PNP.Geo]],ResearchInput[[#This Row],[PNP.Life]],ResearchInput[[#This Row],[PNP.Math]],ResearchInput[[#This Row],[PNP.Phys]],ResearchInput[[#This Row],[PNP.Psyc]],ResearchInput[[#This Row],[PNP.Soc]],ResearchInput[[#This Row],[PNP.Othr]],ResearchInput[[#This Row],[PNP.Non]])</f>
        <v>194813</v>
      </c>
      <c r="GY81" s="92">
        <f>SUM(ResearchInput[[#This Row],[P.All.Comp]],ResearchInput[[#This Row],[P.All.Eng]],ResearchInput[[#This Row],[P.All.Geo]],ResearchInput[[#This Row],[P.All.Life]],ResearchInput[[#This Row],[P.All.Math]],ResearchInput[[#This Row],[P.All.Phys]],ResearchInput[[#This Row],[P.All.Psyc]],ResearchInput[[#This Row],[P.All.Soc]],ResearchInput[[#This Row],[P.All.Othr]],ResearchInput[[#This Row],[P.All.Non]])</f>
        <v>43767</v>
      </c>
    </row>
    <row r="82" spans="1:207" s="47" customFormat="1" ht="27" customHeight="1" x14ac:dyDescent="0.25">
      <c r="A82" s="34" t="s">
        <v>560</v>
      </c>
      <c r="B82" s="34" t="s">
        <v>670</v>
      </c>
      <c r="C82" s="35" t="s">
        <v>553</v>
      </c>
      <c r="D82" s="35" t="s">
        <v>713</v>
      </c>
      <c r="E82" s="94">
        <v>1202</v>
      </c>
      <c r="F82" s="35" t="s">
        <v>714</v>
      </c>
      <c r="G82" s="35" t="s">
        <v>553</v>
      </c>
      <c r="H82" s="96">
        <v>3543</v>
      </c>
      <c r="I82" s="92">
        <v>41633</v>
      </c>
      <c r="J82" s="92">
        <v>0</v>
      </c>
      <c r="K82" s="92">
        <v>0</v>
      </c>
      <c r="L82" s="92">
        <v>0</v>
      </c>
      <c r="M82" s="92">
        <v>69573</v>
      </c>
      <c r="N82" s="92">
        <v>0</v>
      </c>
      <c r="O82" s="92">
        <v>110885</v>
      </c>
      <c r="P82" s="92">
        <v>0</v>
      </c>
      <c r="Q82" s="92">
        <v>0</v>
      </c>
      <c r="R82" s="92">
        <v>0</v>
      </c>
      <c r="S82" s="92">
        <v>0</v>
      </c>
      <c r="T82" s="92">
        <v>0</v>
      </c>
      <c r="U82" s="92">
        <v>0</v>
      </c>
      <c r="V82" s="92">
        <v>0</v>
      </c>
      <c r="W82" s="92">
        <v>0</v>
      </c>
      <c r="X82" s="92">
        <v>0</v>
      </c>
      <c r="Y82" s="92">
        <v>0</v>
      </c>
      <c r="Z82" s="92">
        <v>0</v>
      </c>
      <c r="AA82" s="92">
        <v>0</v>
      </c>
      <c r="AB82" s="92">
        <v>0</v>
      </c>
      <c r="AC82" s="92">
        <v>0</v>
      </c>
      <c r="AD82" s="92">
        <v>0</v>
      </c>
      <c r="AE82" s="92">
        <v>0</v>
      </c>
      <c r="AF82" s="92">
        <v>0</v>
      </c>
      <c r="AG82" s="92">
        <v>2671</v>
      </c>
      <c r="AH82" s="92">
        <v>0</v>
      </c>
      <c r="AI82" s="92">
        <v>0</v>
      </c>
      <c r="AJ82" s="92">
        <v>0</v>
      </c>
      <c r="AK82" s="92">
        <v>0</v>
      </c>
      <c r="AL82" s="92">
        <v>0</v>
      </c>
      <c r="AM82" s="92">
        <v>0</v>
      </c>
      <c r="AN82" s="92">
        <v>0</v>
      </c>
      <c r="AO82" s="92">
        <v>0</v>
      </c>
      <c r="AP82" s="92">
        <v>0</v>
      </c>
      <c r="AQ82" s="92">
        <v>0</v>
      </c>
      <c r="AR82" s="92">
        <v>0</v>
      </c>
      <c r="AS82" s="92">
        <v>0</v>
      </c>
      <c r="AT82" s="92">
        <v>0</v>
      </c>
      <c r="AU82" s="92">
        <v>0</v>
      </c>
      <c r="AV82" s="92">
        <v>0</v>
      </c>
      <c r="AW82" s="92">
        <v>0</v>
      </c>
      <c r="AX82" s="92">
        <v>0</v>
      </c>
      <c r="AY82" s="92">
        <v>0</v>
      </c>
      <c r="AZ82" s="92">
        <v>0</v>
      </c>
      <c r="BA82" s="92">
        <v>0</v>
      </c>
      <c r="BB82" s="92">
        <v>0</v>
      </c>
      <c r="BC82" s="92">
        <v>0</v>
      </c>
      <c r="BD82" s="92">
        <v>0</v>
      </c>
      <c r="BE82" s="92">
        <v>0</v>
      </c>
      <c r="BF82" s="92">
        <v>0</v>
      </c>
      <c r="BG82" s="92">
        <v>0</v>
      </c>
      <c r="BH82" s="92">
        <v>0</v>
      </c>
      <c r="BI82" s="92">
        <v>0</v>
      </c>
      <c r="BJ82" s="92">
        <v>0</v>
      </c>
      <c r="BK82" s="92">
        <v>0</v>
      </c>
      <c r="BL82" s="92">
        <v>0</v>
      </c>
      <c r="BM82" s="92">
        <v>0</v>
      </c>
      <c r="BN82" s="92">
        <v>0</v>
      </c>
      <c r="BO82" s="92">
        <v>0</v>
      </c>
      <c r="BP82" s="92">
        <v>0</v>
      </c>
      <c r="BQ82" s="92">
        <v>0</v>
      </c>
      <c r="BR82" s="92">
        <v>0</v>
      </c>
      <c r="BS82" s="92">
        <v>0</v>
      </c>
      <c r="BT82" s="92">
        <v>0</v>
      </c>
      <c r="BU82" s="92">
        <v>0</v>
      </c>
      <c r="BV82" s="92">
        <v>0</v>
      </c>
      <c r="BW82" s="92">
        <v>0</v>
      </c>
      <c r="BX82" s="92">
        <v>0</v>
      </c>
      <c r="BY82" s="92">
        <v>0</v>
      </c>
      <c r="BZ82" s="92">
        <v>0</v>
      </c>
      <c r="CA82" s="92">
        <v>0</v>
      </c>
      <c r="CB82" s="92">
        <v>0</v>
      </c>
      <c r="CC82" s="92">
        <v>0</v>
      </c>
      <c r="CD82" s="92">
        <v>0</v>
      </c>
      <c r="CE82" s="92">
        <v>0</v>
      </c>
      <c r="CF82" s="92">
        <v>0</v>
      </c>
      <c r="CG82" s="92">
        <v>9012</v>
      </c>
      <c r="CH82" s="92">
        <v>0</v>
      </c>
      <c r="CI82" s="92">
        <v>0</v>
      </c>
      <c r="CJ82" s="92">
        <v>0</v>
      </c>
      <c r="CK82" s="92">
        <v>0</v>
      </c>
      <c r="CL82" s="92">
        <v>0</v>
      </c>
      <c r="CM82" s="92">
        <v>0</v>
      </c>
      <c r="CN82" s="92">
        <v>0</v>
      </c>
      <c r="CO82" s="92">
        <v>0</v>
      </c>
      <c r="CP82" s="92">
        <v>0</v>
      </c>
      <c r="CQ82" s="92">
        <v>0</v>
      </c>
      <c r="CR82" s="92">
        <v>0</v>
      </c>
      <c r="CS82" s="92">
        <v>1074</v>
      </c>
      <c r="CT82" s="92">
        <v>0</v>
      </c>
      <c r="CU82" s="92">
        <v>0</v>
      </c>
      <c r="CV82" s="92">
        <v>0</v>
      </c>
      <c r="CW82" s="92">
        <v>35264</v>
      </c>
      <c r="CX82" s="92">
        <v>0</v>
      </c>
      <c r="CY82" s="92">
        <v>25438</v>
      </c>
      <c r="CZ82" s="92">
        <v>0</v>
      </c>
      <c r="DA82" s="92">
        <v>0</v>
      </c>
      <c r="DB82" s="92">
        <v>0</v>
      </c>
      <c r="DC82" s="92">
        <v>0</v>
      </c>
      <c r="DD82" s="92">
        <v>0</v>
      </c>
      <c r="DE82" s="92">
        <v>4306</v>
      </c>
      <c r="DF82" s="92">
        <v>0</v>
      </c>
      <c r="DG82" s="92">
        <v>0</v>
      </c>
      <c r="DH82" s="92">
        <v>0</v>
      </c>
      <c r="DI82" s="92">
        <v>0</v>
      </c>
      <c r="DJ82" s="92">
        <v>0</v>
      </c>
      <c r="DK82" s="92">
        <v>0</v>
      </c>
      <c r="DL82" s="92">
        <v>0</v>
      </c>
      <c r="DM82" s="92">
        <v>19648</v>
      </c>
      <c r="DN82" s="92">
        <v>0</v>
      </c>
      <c r="DO82" s="92">
        <v>62385</v>
      </c>
      <c r="DP82" s="92">
        <v>0</v>
      </c>
      <c r="DQ82" s="92">
        <v>0</v>
      </c>
      <c r="DR82" s="92">
        <v>0</v>
      </c>
      <c r="DS82" s="92">
        <v>0</v>
      </c>
      <c r="DT82" s="92">
        <v>0</v>
      </c>
      <c r="DU82" s="92">
        <v>0</v>
      </c>
      <c r="DV82" s="92">
        <v>0</v>
      </c>
      <c r="DW82" s="92">
        <v>0</v>
      </c>
      <c r="DX82" s="92">
        <v>0</v>
      </c>
      <c r="DY82" s="92">
        <v>43230</v>
      </c>
      <c r="DZ82" s="92">
        <v>0</v>
      </c>
      <c r="EA82" s="92">
        <v>0</v>
      </c>
      <c r="EB82" s="92">
        <v>0</v>
      </c>
      <c r="EC82" s="92">
        <v>0</v>
      </c>
      <c r="ED82" s="92">
        <v>0</v>
      </c>
      <c r="EE82" s="92">
        <v>23062</v>
      </c>
      <c r="EF82" s="92">
        <v>0</v>
      </c>
      <c r="EG82" s="92">
        <v>0</v>
      </c>
      <c r="EH82" s="92">
        <v>0</v>
      </c>
      <c r="EI82" s="92">
        <v>0</v>
      </c>
      <c r="EJ82" s="92">
        <v>0</v>
      </c>
      <c r="EK82" s="92">
        <v>1343</v>
      </c>
      <c r="EL82" s="92">
        <v>0</v>
      </c>
      <c r="EM82" s="92">
        <v>0</v>
      </c>
      <c r="EN82" s="92">
        <v>0</v>
      </c>
      <c r="EO82" s="92">
        <v>0</v>
      </c>
      <c r="EP82" s="92">
        <v>0</v>
      </c>
      <c r="EQ82" s="92">
        <v>0</v>
      </c>
      <c r="ER82" s="92">
        <v>0</v>
      </c>
      <c r="ES82" s="92">
        <v>0</v>
      </c>
      <c r="ET82" s="92">
        <v>0</v>
      </c>
      <c r="EU82" s="92">
        <v>0</v>
      </c>
      <c r="EV82" s="92">
        <v>0</v>
      </c>
      <c r="EW82" s="92">
        <v>0</v>
      </c>
      <c r="EX82" s="92">
        <v>0</v>
      </c>
      <c r="EY82" s="92">
        <v>0</v>
      </c>
      <c r="EZ82" s="92">
        <v>0</v>
      </c>
      <c r="FA82" s="92">
        <v>0</v>
      </c>
      <c r="FB82" s="92">
        <v>0</v>
      </c>
      <c r="FC82" s="92">
        <v>0</v>
      </c>
      <c r="FD82" s="92">
        <v>0</v>
      </c>
      <c r="FE82" s="92">
        <v>0</v>
      </c>
      <c r="FF82" s="92">
        <v>0</v>
      </c>
      <c r="FG82" s="92">
        <v>0</v>
      </c>
      <c r="FH82" s="92">
        <v>0</v>
      </c>
      <c r="FI82" s="92">
        <v>0</v>
      </c>
      <c r="FJ82" s="92">
        <v>0</v>
      </c>
      <c r="FK82" s="92">
        <v>0</v>
      </c>
      <c r="FL82" s="92">
        <v>0</v>
      </c>
      <c r="FM82" s="92">
        <v>0</v>
      </c>
      <c r="FN82" s="92">
        <v>0</v>
      </c>
      <c r="FO82" s="92">
        <v>0</v>
      </c>
      <c r="FP82" s="92">
        <v>0</v>
      </c>
      <c r="FQ82" s="92">
        <v>0</v>
      </c>
      <c r="FR82" s="92">
        <v>0</v>
      </c>
      <c r="FS82" s="92">
        <v>0</v>
      </c>
      <c r="FT82" s="92">
        <v>0</v>
      </c>
      <c r="FU82" s="92">
        <v>0</v>
      </c>
      <c r="FV82" s="92">
        <v>0</v>
      </c>
      <c r="FW82" s="92">
        <v>0</v>
      </c>
      <c r="FX82" s="92">
        <v>0</v>
      </c>
      <c r="FY82" s="92">
        <v>0</v>
      </c>
      <c r="FZ82" s="92">
        <v>0</v>
      </c>
      <c r="GA82" s="92">
        <v>0</v>
      </c>
      <c r="GB82" s="92">
        <v>0</v>
      </c>
      <c r="GC82" s="92" t="s">
        <v>553</v>
      </c>
      <c r="GD82" s="92" t="s">
        <v>553</v>
      </c>
      <c r="GE82" s="92" t="s">
        <v>553</v>
      </c>
      <c r="GF82" s="92" t="s">
        <v>553</v>
      </c>
      <c r="GG82" s="47" t="s">
        <v>561</v>
      </c>
      <c r="GH82" s="47" t="s">
        <v>562</v>
      </c>
      <c r="GI82" s="93" t="s">
        <v>1010</v>
      </c>
      <c r="GJ82" s="47" t="s">
        <v>563</v>
      </c>
      <c r="GK82" s="47" t="s">
        <v>564</v>
      </c>
      <c r="GL82" s="47" t="s">
        <v>565</v>
      </c>
      <c r="GM82" s="93" t="s">
        <v>1010</v>
      </c>
      <c r="GN82" s="47" t="s">
        <v>566</v>
      </c>
      <c r="GO82" s="92" t="str" cm="1">
        <f t="array" ref="GO82">IFERROR(_xlfn.IFS(ResearchInput[[#This Row],[Type]]="HRI",SUMIFS('FTSE | FTFE'!$P$8:$P$77,'FTSE | FTFE'!$H$8:$H$77,A82),ResearchInput[[#This Row],[Type]]="UNIV",SUMIFS('FTSE | FTFE'!$P$104:$P$139,'FTSE | FTFE'!$H$104:$H$139,A82),OR(ResearchInput[[#This Row],[Type]]="TSTC",ResearchInput[[#This Row],[Type]]="LSC"),SUMIFS('FTSE | FTFE'!$O$88:$O$96,'FTSE | FTFE'!$H$88:$H$96,A82),ResearchInput[[#This Row],[Type]]="AHM",SUMIFS(Hidden!$H$43:$H$46,Hidden!$G$42:$G$45,A82)),"N/A")</f>
        <v>N/A</v>
      </c>
      <c r="GP82" s="92" t="str" cm="1">
        <f t="array" ref="GP82">IFERROR(_xlfn.IFS(ResearchInput[[#This Row],[Type]]="HRI",SUMIFS('FTSE | FTFE'!$Q$8:$Q$77,'FTSE | FTFE'!$H$8:$H$77,A82),ResearchInput[[#This Row],[Type]]="UNIV",SUMIFS('FTSE | FTFE'!$Q$104:$Q$139,'FTSE | FTFE'!$H$104:$H$139,A82),OR(ResearchInput[[#This Row],[Type]]="TSTC",ResearchInput[[#This Row],[Type]]="LSC"),SUMIFS('FTSE | FTFE'!$P$88:$P$96,'FTSE | FTFE'!$H$88:$H$96,A82)),"N/A")</f>
        <v>N/A</v>
      </c>
      <c r="GQ82" s="92">
        <v>0</v>
      </c>
      <c r="GR82" s="92">
        <f>SUM(ResearchInput[[#This Row],[Fed.Comp]],ResearchInput[[#This Row],[Fed.Eng]],ResearchInput[[#This Row],[Fed.Geo]],ResearchInput[[#This Row],[Fed.Life]],ResearchInput[[#This Row],[Fed.Math]],ResearchInput[[#This Row],[Fed.Phys]],ResearchInput[[#This Row],[Fed.Psyc]],ResearchInput[[#This Row],[Fed.Soc]],ResearchInput[[#This Row],[Fed.Othr]],ResearchInput[[#This Row],[Fed.Non]])</f>
        <v>44304</v>
      </c>
      <c r="GS82" s="92">
        <f>SUM(ResearchInput[[#This Row],[St.Comp]],ResearchInput[[#This Row],[St.Eng]],ResearchInput[[#This Row],[St.Geo]],ResearchInput[[#This Row],[St.Life]],ResearchInput[[#This Row],[St.Math]],ResearchInput[[#This Row],[St.Phys]],ResearchInput[[#This Row],[St.Psyc]],ResearchInput[[#This Row],[St.Soc]],ResearchInput[[#This Row],[St.Othr]],ResearchInput[[#This Row],[St.Non]])</f>
        <v>0</v>
      </c>
      <c r="GT82" s="92">
        <f>SUM(ResearchInput[[#This Row],[St.C&amp;G.Comp]],ResearchInput[[#This Row],[St.C&amp;G.Eng]],ResearchInput[[#This Row],[St.C&amp;G.Geo]],ResearchInput[[#This Row],[St.C&amp;G.Life]],ResearchInput[[#This Row],[St.C&amp;G.Math]],ResearchInput[[#This Row],[St.C&amp;G.Phys]],ResearchInput[[#This Row],[St.C&amp;G.Psyc]],ResearchInput[[#This Row],[St.C&amp;G.Soc]],ResearchInput[[#This Row],[St.C&amp;G.Othr]],ResearchInput[[#This Row],[St.C&amp;G.Non]])</f>
        <v>0</v>
      </c>
      <c r="GU82" s="92">
        <f>SUM(ResearchInput[[#This Row],[St.All.Comp]],ResearchInput[[#This Row],[St.All.Eng]],ResearchInput[[#This Row],[St.All.Geo]],ResearchInput[[#This Row],[St.All.Life]],ResearchInput[[#This Row],[St.All.Math]],ResearchInput[[#This Row],[St.All.Phys]],ResearchInput[[#This Row],[St.All.Psyc]],ResearchInput[[#This Row],[St.All.Soc]],ResearchInput[[#This Row],[St.All.Othr]],ResearchInput[[#This Row],[St.All.Non]])</f>
        <v>0</v>
      </c>
      <c r="GV82" s="92">
        <f>SUM(ResearchInput[[#This Row],[Inst.Comp]],ResearchInput[[#This Row],[Inst.Eng]],ResearchInput[[#This Row],[Inst.Geo]],ResearchInput[[#This Row],[Inst.Life]],ResearchInput[[#This Row],[Inst.Math]],ResearchInput[[#This Row],[Inst.Phys]],ResearchInput[[#This Row],[Inst.Psyc]],ResearchInput[[#This Row],[Inst.Soc]],ResearchInput[[#This Row],[Inst.Othr]],ResearchInput[[#This Row],[Inst.Non]])</f>
        <v>69573</v>
      </c>
      <c r="GW82" s="92">
        <f>SUM(ResearchInput[[#This Row],[P4P.Comp]],ResearchInput[[#This Row],[P4P.Eng]],ResearchInput[[#This Row],[P4P.Geo]],ResearchInput[[#This Row],[P4P.Life]],ResearchInput[[#This Row],[P4P.Math]],ResearchInput[[#This Row],[P4P.Phys]],ResearchInput[[#This Row],[P4P.Psyc]],ResearchInput[[#This Row],[P4P.Soc]],ResearchInput[[#This Row],[P4P.Othr]],ResearchInput[[#This Row],[P4P.Non]])</f>
        <v>0</v>
      </c>
      <c r="GX82" s="92">
        <f>SUM(ResearchInput[[#This Row],[PNP.Comp]],ResearchInput[[#This Row],[PNP.Eng]],ResearchInput[[#This Row],[PNP.Geo]],ResearchInput[[#This Row],[PNP.Life]],ResearchInput[[#This Row],[PNP.Math]],ResearchInput[[#This Row],[PNP.Phys]],ResearchInput[[#This Row],[PNP.Psyc]],ResearchInput[[#This Row],[PNP.Soc]],ResearchInput[[#This Row],[PNP.Othr]],ResearchInput[[#This Row],[PNP.Non]])</f>
        <v>110885</v>
      </c>
      <c r="GY82" s="92">
        <f>SUM(ResearchInput[[#This Row],[P.All.Comp]],ResearchInput[[#This Row],[P.All.Eng]],ResearchInput[[#This Row],[P.All.Geo]],ResearchInput[[#This Row],[P.All.Life]],ResearchInput[[#This Row],[P.All.Math]],ResearchInput[[#This Row],[P.All.Phys]],ResearchInput[[#This Row],[P.All.Psyc]],ResearchInput[[#This Row],[P.All.Soc]],ResearchInput[[#This Row],[P.All.Othr]],ResearchInput[[#This Row],[P.All.Non]])</f>
        <v>0</v>
      </c>
    </row>
    <row r="83" spans="1:207" s="47" customFormat="1" ht="27" customHeight="1" x14ac:dyDescent="0.25">
      <c r="A83" s="34" t="s">
        <v>567</v>
      </c>
      <c r="B83" s="34" t="s">
        <v>670</v>
      </c>
      <c r="C83" s="35" t="s">
        <v>553</v>
      </c>
      <c r="D83" s="35" t="s">
        <v>713</v>
      </c>
      <c r="E83" s="94">
        <v>1203</v>
      </c>
      <c r="F83" s="35" t="s">
        <v>714</v>
      </c>
      <c r="G83" s="35" t="s">
        <v>553</v>
      </c>
      <c r="H83" s="96">
        <v>3545</v>
      </c>
      <c r="I83" s="92">
        <v>23508737</v>
      </c>
      <c r="J83" s="92">
        <v>2353461</v>
      </c>
      <c r="K83" s="92">
        <v>0</v>
      </c>
      <c r="L83" s="92">
        <v>249013</v>
      </c>
      <c r="M83" s="92">
        <v>89499348</v>
      </c>
      <c r="N83" s="92">
        <v>405277</v>
      </c>
      <c r="O83" s="92">
        <v>12383065</v>
      </c>
      <c r="P83" s="92">
        <v>3219083</v>
      </c>
      <c r="Q83" s="92">
        <v>-2453566</v>
      </c>
      <c r="R83" s="92">
        <v>-648935</v>
      </c>
      <c r="S83" s="92">
        <v>0</v>
      </c>
      <c r="T83" s="92">
        <v>-184933</v>
      </c>
      <c r="U83" s="92">
        <v>-1621294</v>
      </c>
      <c r="V83" s="92">
        <v>-2810</v>
      </c>
      <c r="W83" s="92">
        <v>-1332687</v>
      </c>
      <c r="X83" s="92">
        <v>0</v>
      </c>
      <c r="Y83" s="92">
        <v>0</v>
      </c>
      <c r="Z83" s="92">
        <v>0</v>
      </c>
      <c r="AA83" s="92">
        <v>0</v>
      </c>
      <c r="AB83" s="92">
        <v>0</v>
      </c>
      <c r="AC83" s="92">
        <v>0</v>
      </c>
      <c r="AD83" s="92">
        <v>0</v>
      </c>
      <c r="AE83" s="92">
        <v>0</v>
      </c>
      <c r="AF83" s="92">
        <v>0</v>
      </c>
      <c r="AG83" s="92">
        <v>6207190</v>
      </c>
      <c r="AH83" s="92">
        <v>152040</v>
      </c>
      <c r="AI83" s="92">
        <v>0</v>
      </c>
      <c r="AJ83" s="92">
        <v>8486</v>
      </c>
      <c r="AK83" s="92">
        <v>0</v>
      </c>
      <c r="AL83" s="92">
        <v>144521</v>
      </c>
      <c r="AM83" s="92">
        <v>585784</v>
      </c>
      <c r="AN83" s="92">
        <v>3349</v>
      </c>
      <c r="AO83" s="92">
        <v>2098174</v>
      </c>
      <c r="AP83" s="92">
        <v>116256</v>
      </c>
      <c r="AQ83" s="92">
        <v>0</v>
      </c>
      <c r="AR83" s="92">
        <v>0</v>
      </c>
      <c r="AS83" s="92">
        <v>6201378</v>
      </c>
      <c r="AT83" s="92">
        <v>0</v>
      </c>
      <c r="AU83" s="92">
        <v>81444</v>
      </c>
      <c r="AV83" s="92">
        <v>267531</v>
      </c>
      <c r="AW83" s="92">
        <v>0</v>
      </c>
      <c r="AX83" s="92">
        <v>0</v>
      </c>
      <c r="AY83" s="92">
        <v>0</v>
      </c>
      <c r="AZ83" s="92">
        <v>0</v>
      </c>
      <c r="BA83" s="92">
        <v>0</v>
      </c>
      <c r="BB83" s="92">
        <v>0</v>
      </c>
      <c r="BC83" s="92">
        <v>0</v>
      </c>
      <c r="BD83" s="92">
        <v>0</v>
      </c>
      <c r="BE83" s="92">
        <v>0</v>
      </c>
      <c r="BF83" s="92">
        <v>0</v>
      </c>
      <c r="BG83" s="92">
        <v>0</v>
      </c>
      <c r="BH83" s="92">
        <v>0</v>
      </c>
      <c r="BI83" s="92">
        <v>0</v>
      </c>
      <c r="BJ83" s="92">
        <v>0</v>
      </c>
      <c r="BK83" s="92">
        <v>0</v>
      </c>
      <c r="BL83" s="92">
        <v>0</v>
      </c>
      <c r="BM83" s="92">
        <v>0</v>
      </c>
      <c r="BN83" s="92">
        <v>0</v>
      </c>
      <c r="BO83" s="92">
        <v>0</v>
      </c>
      <c r="BP83" s="92">
        <v>0</v>
      </c>
      <c r="BQ83" s="92">
        <v>0</v>
      </c>
      <c r="BR83" s="92">
        <v>0</v>
      </c>
      <c r="BS83" s="92">
        <v>0</v>
      </c>
      <c r="BT83" s="92">
        <v>0</v>
      </c>
      <c r="BU83" s="92">
        <v>563432</v>
      </c>
      <c r="BV83" s="92">
        <v>0</v>
      </c>
      <c r="BW83" s="92">
        <v>0</v>
      </c>
      <c r="BX83" s="92">
        <v>0</v>
      </c>
      <c r="BY83" s="92">
        <v>2939957</v>
      </c>
      <c r="BZ83" s="92">
        <v>0</v>
      </c>
      <c r="CA83" s="92">
        <v>75004</v>
      </c>
      <c r="CB83" s="92">
        <v>2804</v>
      </c>
      <c r="CC83" s="92">
        <v>8088538</v>
      </c>
      <c r="CD83" s="92">
        <v>0</v>
      </c>
      <c r="CE83" s="92">
        <v>0</v>
      </c>
      <c r="CF83" s="92">
        <v>0</v>
      </c>
      <c r="CG83" s="92">
        <v>7965273</v>
      </c>
      <c r="CH83" s="92">
        <v>285577</v>
      </c>
      <c r="CI83" s="92">
        <v>250681</v>
      </c>
      <c r="CJ83" s="92">
        <v>23047</v>
      </c>
      <c r="CK83" s="92">
        <v>1681397</v>
      </c>
      <c r="CL83" s="92">
        <v>176608</v>
      </c>
      <c r="CM83" s="92">
        <v>0</v>
      </c>
      <c r="CN83" s="92">
        <v>72566</v>
      </c>
      <c r="CO83" s="92">
        <v>4871912</v>
      </c>
      <c r="CP83" s="92">
        <v>2412</v>
      </c>
      <c r="CQ83" s="92">
        <v>92817</v>
      </c>
      <c r="CR83" s="92">
        <v>31415</v>
      </c>
      <c r="CS83" s="92">
        <v>6701276</v>
      </c>
      <c r="CT83" s="92">
        <v>1204163</v>
      </c>
      <c r="CU83" s="92">
        <v>0</v>
      </c>
      <c r="CV83" s="92">
        <v>0</v>
      </c>
      <c r="CW83" s="92">
        <v>11186449</v>
      </c>
      <c r="CX83" s="92">
        <v>172073</v>
      </c>
      <c r="CY83" s="92">
        <v>307184</v>
      </c>
      <c r="CZ83" s="92">
        <v>312232</v>
      </c>
      <c r="DA83" s="92">
        <v>831983</v>
      </c>
      <c r="DB83" s="92">
        <v>0</v>
      </c>
      <c r="DC83" s="92">
        <v>0</v>
      </c>
      <c r="DD83" s="92">
        <v>0</v>
      </c>
      <c r="DE83" s="92">
        <v>4387730</v>
      </c>
      <c r="DF83" s="92">
        <v>0</v>
      </c>
      <c r="DG83" s="92">
        <v>53906</v>
      </c>
      <c r="DH83" s="92">
        <v>4034</v>
      </c>
      <c r="DI83" s="92">
        <v>6798228</v>
      </c>
      <c r="DJ83" s="92">
        <v>179000</v>
      </c>
      <c r="DK83" s="92">
        <v>0</v>
      </c>
      <c r="DL83" s="92">
        <v>0</v>
      </c>
      <c r="DM83" s="92">
        <v>11833922</v>
      </c>
      <c r="DN83" s="92">
        <v>60559</v>
      </c>
      <c r="DO83" s="92">
        <v>878479</v>
      </c>
      <c r="DP83" s="92">
        <v>371774</v>
      </c>
      <c r="DQ83" s="92">
        <v>2686671</v>
      </c>
      <c r="DR83" s="92">
        <v>143385</v>
      </c>
      <c r="DS83" s="92">
        <v>0</v>
      </c>
      <c r="DT83" s="92">
        <v>0</v>
      </c>
      <c r="DU83" s="92">
        <v>3789969</v>
      </c>
      <c r="DV83" s="92">
        <v>0</v>
      </c>
      <c r="DW83" s="92">
        <v>1843795</v>
      </c>
      <c r="DX83" s="92">
        <v>0</v>
      </c>
      <c r="DY83" s="92">
        <v>582010</v>
      </c>
      <c r="DZ83" s="92">
        <v>0</v>
      </c>
      <c r="EA83" s="92">
        <v>0</v>
      </c>
      <c r="EB83" s="92">
        <v>0</v>
      </c>
      <c r="EC83" s="92">
        <v>4880508</v>
      </c>
      <c r="ED83" s="92">
        <v>26367</v>
      </c>
      <c r="EE83" s="92">
        <v>767534</v>
      </c>
      <c r="EF83" s="92">
        <v>41640</v>
      </c>
      <c r="EG83" s="92">
        <v>107912</v>
      </c>
      <c r="EH83" s="92">
        <v>0</v>
      </c>
      <c r="EI83" s="92">
        <v>0</v>
      </c>
      <c r="EJ83" s="92">
        <v>0</v>
      </c>
      <c r="EK83" s="92">
        <v>7869438</v>
      </c>
      <c r="EL83" s="92">
        <v>0</v>
      </c>
      <c r="EM83" s="92">
        <v>0</v>
      </c>
      <c r="EN83" s="92">
        <v>0</v>
      </c>
      <c r="EO83" s="92">
        <v>1319088</v>
      </c>
      <c r="EP83" s="92">
        <v>269666</v>
      </c>
      <c r="EQ83" s="92">
        <v>0</v>
      </c>
      <c r="ER83" s="92">
        <v>0</v>
      </c>
      <c r="ES83" s="92">
        <v>34354274</v>
      </c>
      <c r="ET83" s="92">
        <v>0</v>
      </c>
      <c r="EU83" s="92">
        <v>7448206</v>
      </c>
      <c r="EV83" s="92">
        <v>2703017</v>
      </c>
      <c r="EW83" s="92">
        <v>2717527</v>
      </c>
      <c r="EX83" s="92">
        <v>0</v>
      </c>
      <c r="EY83" s="92">
        <v>0</v>
      </c>
      <c r="EZ83" s="92">
        <v>0</v>
      </c>
      <c r="FA83" s="92">
        <v>6876959</v>
      </c>
      <c r="FB83" s="92">
        <v>172073</v>
      </c>
      <c r="FC83" s="92">
        <v>226746</v>
      </c>
      <c r="FD83" s="92">
        <v>313136</v>
      </c>
      <c r="FE83" s="92">
        <v>0</v>
      </c>
      <c r="FF83" s="92">
        <v>0</v>
      </c>
      <c r="FG83" s="92">
        <v>0</v>
      </c>
      <c r="FH83" s="92">
        <v>0</v>
      </c>
      <c r="FI83" s="92">
        <v>0</v>
      </c>
      <c r="FJ83" s="92">
        <v>0</v>
      </c>
      <c r="FK83" s="92">
        <v>0</v>
      </c>
      <c r="FL83" s="92">
        <v>0</v>
      </c>
      <c r="FM83" s="92">
        <v>0</v>
      </c>
      <c r="FN83" s="92">
        <v>0</v>
      </c>
      <c r="FO83" s="92">
        <v>0</v>
      </c>
      <c r="FP83" s="92">
        <v>0</v>
      </c>
      <c r="FQ83" s="92">
        <v>0</v>
      </c>
      <c r="FR83" s="92">
        <v>0</v>
      </c>
      <c r="FS83" s="92">
        <v>0</v>
      </c>
      <c r="FT83" s="92">
        <v>0</v>
      </c>
      <c r="FU83" s="92">
        <v>0</v>
      </c>
      <c r="FV83" s="92">
        <v>0</v>
      </c>
      <c r="FW83" s="92">
        <v>0</v>
      </c>
      <c r="FX83" s="92">
        <v>0</v>
      </c>
      <c r="FY83" s="92">
        <v>0</v>
      </c>
      <c r="FZ83" s="92">
        <v>0</v>
      </c>
      <c r="GA83" s="92">
        <v>0</v>
      </c>
      <c r="GB83" s="92">
        <v>0</v>
      </c>
      <c r="GC83" s="92" t="s">
        <v>553</v>
      </c>
      <c r="GD83" s="92" t="s">
        <v>553</v>
      </c>
      <c r="GE83" s="92" t="s">
        <v>553</v>
      </c>
      <c r="GF83" s="92" t="s">
        <v>553</v>
      </c>
      <c r="GG83" s="47" t="s">
        <v>509</v>
      </c>
      <c r="GH83" s="47" t="s">
        <v>568</v>
      </c>
      <c r="GI83" s="93" t="s">
        <v>1010</v>
      </c>
      <c r="GJ83" s="47" t="s">
        <v>569</v>
      </c>
      <c r="GK83" s="47" t="s">
        <v>570</v>
      </c>
      <c r="GL83" s="47" t="s">
        <v>571</v>
      </c>
      <c r="GM83" s="93" t="s">
        <v>1010</v>
      </c>
      <c r="GN83" s="47" t="s">
        <v>572</v>
      </c>
      <c r="GO83" s="92" t="str" cm="1">
        <f t="array" ref="GO83">IFERROR(_xlfn.IFS(ResearchInput[[#This Row],[Type]]="HRI",SUMIFS('FTSE | FTFE'!$P$8:$P$77,'FTSE | FTFE'!$H$8:$H$77,A83),ResearchInput[[#This Row],[Type]]="UNIV",SUMIFS('FTSE | FTFE'!$P$104:$P$139,'FTSE | FTFE'!$H$104:$H$139,A83),OR(ResearchInput[[#This Row],[Type]]="TSTC",ResearchInput[[#This Row],[Type]]="LSC"),SUMIFS('FTSE | FTFE'!$O$88:$O$96,'FTSE | FTFE'!$H$88:$H$96,A83),ResearchInput[[#This Row],[Type]]="AHM",SUMIFS(Hidden!$H$43:$H$46,Hidden!$G$42:$G$45,A83)),"N/A")</f>
        <v>N/A</v>
      </c>
      <c r="GP83" s="92" t="str" cm="1">
        <f t="array" ref="GP83">IFERROR(_xlfn.IFS(ResearchInput[[#This Row],[Type]]="HRI",SUMIFS('FTSE | FTFE'!$Q$8:$Q$77,'FTSE | FTFE'!$H$8:$H$77,A83),ResearchInput[[#This Row],[Type]]="UNIV",SUMIFS('FTSE | FTFE'!$Q$104:$Q$139,'FTSE | FTFE'!$H$104:$H$139,A83),OR(ResearchInput[[#This Row],[Type]]="TSTC",ResearchInput[[#This Row],[Type]]="LSC"),SUMIFS('FTSE | FTFE'!$P$88:$P$96,'FTSE | FTFE'!$H$88:$H$96,A83)),"N/A")</f>
        <v>N/A</v>
      </c>
      <c r="GQ83" s="92">
        <v>0</v>
      </c>
      <c r="GR83" s="92">
        <f>SUM(ResearchInput[[#This Row],[Fed.Comp]],ResearchInput[[#This Row],[Fed.Eng]],ResearchInput[[#This Row],[Fed.Geo]],ResearchInput[[#This Row],[Fed.Life]],ResearchInput[[#This Row],[Fed.Math]],ResearchInput[[#This Row],[Fed.Phys]],ResearchInput[[#This Row],[Fed.Psyc]],ResearchInput[[#This Row],[Fed.Soc]],ResearchInput[[#This Row],[Fed.Othr]],ResearchInput[[#This Row],[Fed.Non]])</f>
        <v>29360535</v>
      </c>
      <c r="GS83" s="92">
        <f>SUM(ResearchInput[[#This Row],[St.Comp]],ResearchInput[[#This Row],[St.Eng]],ResearchInput[[#This Row],[St.Geo]],ResearchInput[[#This Row],[St.Life]],ResearchInput[[#This Row],[St.Math]],ResearchInput[[#This Row],[St.Phys]],ResearchInput[[#This Row],[St.Psyc]],ResearchInput[[#This Row],[St.Soc]],ResearchInput[[#This Row],[St.Othr]],ResearchInput[[#This Row],[St.Non]])</f>
        <v>1972822</v>
      </c>
      <c r="GT83" s="92">
        <f>SUM(ResearchInput[[#This Row],[St.C&amp;G.Comp]],ResearchInput[[#This Row],[St.C&amp;G.Eng]],ResearchInput[[#This Row],[St.C&amp;G.Geo]],ResearchInput[[#This Row],[St.C&amp;G.Life]],ResearchInput[[#This Row],[St.C&amp;G.Math]],ResearchInput[[#This Row],[St.C&amp;G.Phys]],ResearchInput[[#This Row],[St.C&amp;G.Psyc]],ResearchInput[[#This Row],[St.C&amp;G.Soc]],ResearchInput[[#This Row],[St.C&amp;G.Othr]],ResearchInput[[#This Row],[St.C&amp;G.Non]])</f>
        <v>0</v>
      </c>
      <c r="GU83" s="92">
        <f>SUM(ResearchInput[[#This Row],[St.All.Comp]],ResearchInput[[#This Row],[St.All.Eng]],ResearchInput[[#This Row],[St.All.Geo]],ResearchInput[[#This Row],[St.All.Life]],ResearchInput[[#This Row],[St.All.Math]],ResearchInput[[#This Row],[St.All.Phys]],ResearchInput[[#This Row],[St.All.Psyc]],ResearchInput[[#This Row],[St.All.Soc]],ResearchInput[[#This Row],[St.All.Othr]],ResearchInput[[#This Row],[St.All.Non]])</f>
        <v>72566</v>
      </c>
      <c r="GV83" s="92">
        <f>SUM(ResearchInput[[#This Row],[Inst.Comp]],ResearchInput[[#This Row],[Inst.Eng]],ResearchInput[[#This Row],[Inst.Geo]],ResearchInput[[#This Row],[Inst.Life]],ResearchInput[[#This Row],[Inst.Math]],ResearchInput[[#This Row],[Inst.Phys]],ResearchInput[[#This Row],[Inst.Psyc]],ResearchInput[[#This Row],[Inst.Soc]],ResearchInput[[#This Row],[Inst.Othr]],ResearchInput[[#This Row],[Inst.Non]])</f>
        <v>94079432</v>
      </c>
      <c r="GW83" s="92">
        <f>SUM(ResearchInput[[#This Row],[P4P.Comp]],ResearchInput[[#This Row],[P4P.Eng]],ResearchInput[[#This Row],[P4P.Geo]],ResearchInput[[#This Row],[P4P.Life]],ResearchInput[[#This Row],[P4P.Math]],ResearchInput[[#This Row],[P4P.Phys]],ResearchInput[[#This Row],[P4P.Psyc]],ResearchInput[[#This Row],[P4P.Soc]],ResearchInput[[#This Row],[P4P.Othr]],ResearchInput[[#This Row],[P4P.Non]])</f>
        <v>546988</v>
      </c>
      <c r="GX83" s="92">
        <f>SUM(ResearchInput[[#This Row],[PNP.Comp]],ResearchInput[[#This Row],[PNP.Eng]],ResearchInput[[#This Row],[PNP.Geo]],ResearchInput[[#This Row],[PNP.Life]],ResearchInput[[#This Row],[PNP.Math]],ResearchInput[[#This Row],[PNP.Phys]],ResearchInput[[#This Row],[PNP.Psyc]],ResearchInput[[#This Row],[PNP.Soc]],ResearchInput[[#This Row],[PNP.Othr]],ResearchInput[[#This Row],[PNP.Non]])</f>
        <v>11717606</v>
      </c>
      <c r="GY83" s="92">
        <f>SUM(ResearchInput[[#This Row],[P.All.Comp]],ResearchInput[[#This Row],[P.All.Eng]],ResearchInput[[#This Row],[P.All.Geo]],ResearchInput[[#This Row],[P.All.Life]],ResearchInput[[#This Row],[P.All.Math]],ResearchInput[[#This Row],[P.All.Phys]],ResearchInput[[#This Row],[P.All.Psyc]],ResearchInput[[#This Row],[P.All.Soc]],ResearchInput[[#This Row],[P.All.Othr]],ResearchInput[[#This Row],[P.All.Non]])</f>
        <v>3489963</v>
      </c>
    </row>
    <row r="84" spans="1:207" s="47" customFormat="1" ht="27" customHeight="1" x14ac:dyDescent="0.25">
      <c r="A84" s="34" t="s">
        <v>573</v>
      </c>
      <c r="B84" s="34" t="s">
        <v>670</v>
      </c>
      <c r="C84" s="35" t="s">
        <v>553</v>
      </c>
      <c r="D84" s="35" t="s">
        <v>713</v>
      </c>
      <c r="E84" s="94">
        <v>1204</v>
      </c>
      <c r="F84" s="35" t="s">
        <v>714</v>
      </c>
      <c r="G84" s="35" t="s">
        <v>553</v>
      </c>
      <c r="H84" s="96">
        <v>3564</v>
      </c>
      <c r="I84" s="92">
        <v>0</v>
      </c>
      <c r="J84" s="92">
        <v>0</v>
      </c>
      <c r="K84" s="92">
        <v>0</v>
      </c>
      <c r="L84" s="92">
        <v>0</v>
      </c>
      <c r="M84" s="92">
        <v>0</v>
      </c>
      <c r="N84" s="92">
        <v>0</v>
      </c>
      <c r="O84" s="92">
        <v>34642</v>
      </c>
      <c r="P84" s="92">
        <v>0</v>
      </c>
      <c r="Q84" s="92">
        <v>0</v>
      </c>
      <c r="R84" s="92">
        <v>0</v>
      </c>
      <c r="S84" s="92">
        <v>0</v>
      </c>
      <c r="T84" s="92">
        <v>0</v>
      </c>
      <c r="U84" s="92">
        <v>0</v>
      </c>
      <c r="V84" s="92">
        <v>0</v>
      </c>
      <c r="W84" s="92">
        <v>0</v>
      </c>
      <c r="X84" s="92">
        <v>0</v>
      </c>
      <c r="Y84" s="92">
        <v>0</v>
      </c>
      <c r="Z84" s="92">
        <v>0</v>
      </c>
      <c r="AA84" s="92">
        <v>0</v>
      </c>
      <c r="AB84" s="92">
        <v>0</v>
      </c>
      <c r="AC84" s="92">
        <v>0</v>
      </c>
      <c r="AD84" s="92">
        <v>0</v>
      </c>
      <c r="AE84" s="92">
        <v>0</v>
      </c>
      <c r="AF84" s="92">
        <v>0</v>
      </c>
      <c r="AG84" s="92">
        <v>0</v>
      </c>
      <c r="AH84" s="92">
        <v>0</v>
      </c>
      <c r="AI84" s="92">
        <v>0</v>
      </c>
      <c r="AJ84" s="92">
        <v>0</v>
      </c>
      <c r="AK84" s="92">
        <v>0</v>
      </c>
      <c r="AL84" s="92">
        <v>0</v>
      </c>
      <c r="AM84" s="92">
        <v>0</v>
      </c>
      <c r="AN84" s="92">
        <v>0</v>
      </c>
      <c r="AO84" s="92">
        <v>0</v>
      </c>
      <c r="AP84" s="92">
        <v>0</v>
      </c>
      <c r="AQ84" s="92">
        <v>0</v>
      </c>
      <c r="AR84" s="92">
        <v>0</v>
      </c>
      <c r="AS84" s="92">
        <v>0</v>
      </c>
      <c r="AT84" s="92">
        <v>0</v>
      </c>
      <c r="AU84" s="92">
        <v>0</v>
      </c>
      <c r="AV84" s="92">
        <v>0</v>
      </c>
      <c r="AW84" s="92">
        <v>0</v>
      </c>
      <c r="AX84" s="92">
        <v>0</v>
      </c>
      <c r="AY84" s="92">
        <v>0</v>
      </c>
      <c r="AZ84" s="92">
        <v>0</v>
      </c>
      <c r="BA84" s="92">
        <v>0</v>
      </c>
      <c r="BB84" s="92">
        <v>0</v>
      </c>
      <c r="BC84" s="92">
        <v>0</v>
      </c>
      <c r="BD84" s="92">
        <v>0</v>
      </c>
      <c r="BE84" s="92">
        <v>0</v>
      </c>
      <c r="BF84" s="92">
        <v>0</v>
      </c>
      <c r="BG84" s="92">
        <v>0</v>
      </c>
      <c r="BH84" s="92">
        <v>0</v>
      </c>
      <c r="BI84" s="92">
        <v>0</v>
      </c>
      <c r="BJ84" s="92">
        <v>0</v>
      </c>
      <c r="BK84" s="92">
        <v>0</v>
      </c>
      <c r="BL84" s="92">
        <v>0</v>
      </c>
      <c r="BM84" s="92">
        <v>0</v>
      </c>
      <c r="BN84" s="92">
        <v>0</v>
      </c>
      <c r="BO84" s="92">
        <v>0</v>
      </c>
      <c r="BP84" s="92">
        <v>0</v>
      </c>
      <c r="BQ84" s="92">
        <v>0</v>
      </c>
      <c r="BR84" s="92">
        <v>0</v>
      </c>
      <c r="BS84" s="92">
        <v>0</v>
      </c>
      <c r="BT84" s="92">
        <v>0</v>
      </c>
      <c r="BU84" s="92">
        <v>0</v>
      </c>
      <c r="BV84" s="92">
        <v>0</v>
      </c>
      <c r="BW84" s="92">
        <v>0</v>
      </c>
      <c r="BX84" s="92">
        <v>0</v>
      </c>
      <c r="BY84" s="92">
        <v>0</v>
      </c>
      <c r="BZ84" s="92">
        <v>0</v>
      </c>
      <c r="CA84" s="92">
        <v>0</v>
      </c>
      <c r="CB84" s="92">
        <v>0</v>
      </c>
      <c r="CC84" s="92">
        <v>0</v>
      </c>
      <c r="CD84" s="92">
        <v>0</v>
      </c>
      <c r="CE84" s="92">
        <v>0</v>
      </c>
      <c r="CF84" s="92">
        <v>0</v>
      </c>
      <c r="CG84" s="92">
        <v>0</v>
      </c>
      <c r="CH84" s="92">
        <v>0</v>
      </c>
      <c r="CI84" s="92">
        <v>0</v>
      </c>
      <c r="CJ84" s="92">
        <v>0</v>
      </c>
      <c r="CK84" s="92">
        <v>0</v>
      </c>
      <c r="CL84" s="92">
        <v>0</v>
      </c>
      <c r="CM84" s="92">
        <v>0</v>
      </c>
      <c r="CN84" s="92">
        <v>0</v>
      </c>
      <c r="CO84" s="92">
        <v>0</v>
      </c>
      <c r="CP84" s="92">
        <v>0</v>
      </c>
      <c r="CQ84" s="92">
        <v>0</v>
      </c>
      <c r="CR84" s="92">
        <v>0</v>
      </c>
      <c r="CS84" s="92">
        <v>0</v>
      </c>
      <c r="CT84" s="92">
        <v>0</v>
      </c>
      <c r="CU84" s="92">
        <v>0</v>
      </c>
      <c r="CV84" s="92">
        <v>0</v>
      </c>
      <c r="CW84" s="92">
        <v>0</v>
      </c>
      <c r="CX84" s="92">
        <v>0</v>
      </c>
      <c r="CY84" s="92">
        <v>0</v>
      </c>
      <c r="CZ84" s="92">
        <v>0</v>
      </c>
      <c r="DA84" s="92">
        <v>0</v>
      </c>
      <c r="DB84" s="92">
        <v>0</v>
      </c>
      <c r="DC84" s="92">
        <v>0</v>
      </c>
      <c r="DD84" s="92">
        <v>0</v>
      </c>
      <c r="DE84" s="92">
        <v>0</v>
      </c>
      <c r="DF84" s="92">
        <v>0</v>
      </c>
      <c r="DG84" s="92">
        <v>0</v>
      </c>
      <c r="DH84" s="92">
        <v>0</v>
      </c>
      <c r="DI84" s="92">
        <v>0</v>
      </c>
      <c r="DJ84" s="92">
        <v>0</v>
      </c>
      <c r="DK84" s="92">
        <v>0</v>
      </c>
      <c r="DL84" s="92">
        <v>0</v>
      </c>
      <c r="DM84" s="92">
        <v>0</v>
      </c>
      <c r="DN84" s="92">
        <v>0</v>
      </c>
      <c r="DO84" s="92">
        <v>34642</v>
      </c>
      <c r="DP84" s="92">
        <v>0</v>
      </c>
      <c r="DQ84" s="92">
        <v>0</v>
      </c>
      <c r="DR84" s="92">
        <v>0</v>
      </c>
      <c r="DS84" s="92">
        <v>0</v>
      </c>
      <c r="DT84" s="92">
        <v>0</v>
      </c>
      <c r="DU84" s="92">
        <v>0</v>
      </c>
      <c r="DV84" s="92">
        <v>0</v>
      </c>
      <c r="DW84" s="92">
        <v>0</v>
      </c>
      <c r="DX84" s="92">
        <v>0</v>
      </c>
      <c r="DY84" s="92">
        <v>0</v>
      </c>
      <c r="DZ84" s="92">
        <v>0</v>
      </c>
      <c r="EA84" s="92">
        <v>0</v>
      </c>
      <c r="EB84" s="92">
        <v>0</v>
      </c>
      <c r="EC84" s="92">
        <v>0</v>
      </c>
      <c r="ED84" s="92">
        <v>0</v>
      </c>
      <c r="EE84" s="92">
        <v>0</v>
      </c>
      <c r="EF84" s="92">
        <v>0</v>
      </c>
      <c r="EG84" s="92">
        <v>0</v>
      </c>
      <c r="EH84" s="92">
        <v>0</v>
      </c>
      <c r="EI84" s="92">
        <v>0</v>
      </c>
      <c r="EJ84" s="92">
        <v>0</v>
      </c>
      <c r="EK84" s="92">
        <v>0</v>
      </c>
      <c r="EL84" s="92">
        <v>0</v>
      </c>
      <c r="EM84" s="92">
        <v>0</v>
      </c>
      <c r="EN84" s="92">
        <v>0</v>
      </c>
      <c r="EO84" s="92">
        <v>0</v>
      </c>
      <c r="EP84" s="92">
        <v>0</v>
      </c>
      <c r="EQ84" s="92">
        <v>0</v>
      </c>
      <c r="ER84" s="92">
        <v>0</v>
      </c>
      <c r="ES84" s="92">
        <v>0</v>
      </c>
      <c r="ET84" s="92">
        <v>0</v>
      </c>
      <c r="EU84" s="92">
        <v>0</v>
      </c>
      <c r="EV84" s="92">
        <v>0</v>
      </c>
      <c r="EW84" s="92">
        <v>0</v>
      </c>
      <c r="EX84" s="92">
        <v>0</v>
      </c>
      <c r="EY84" s="92">
        <v>0</v>
      </c>
      <c r="EZ84" s="92">
        <v>0</v>
      </c>
      <c r="FA84" s="92">
        <v>0</v>
      </c>
      <c r="FB84" s="92">
        <v>0</v>
      </c>
      <c r="FC84" s="92">
        <v>0</v>
      </c>
      <c r="FD84" s="92">
        <v>0</v>
      </c>
      <c r="FE84" s="92">
        <v>0</v>
      </c>
      <c r="FF84" s="92">
        <v>0</v>
      </c>
      <c r="FG84" s="92">
        <v>0</v>
      </c>
      <c r="FH84" s="92">
        <v>0</v>
      </c>
      <c r="FI84" s="92">
        <v>0</v>
      </c>
      <c r="FJ84" s="92">
        <v>0</v>
      </c>
      <c r="FK84" s="92">
        <v>0</v>
      </c>
      <c r="FL84" s="92">
        <v>0</v>
      </c>
      <c r="FM84" s="92">
        <v>0</v>
      </c>
      <c r="FN84" s="92">
        <v>0</v>
      </c>
      <c r="FO84" s="92">
        <v>0</v>
      </c>
      <c r="FP84" s="92">
        <v>0</v>
      </c>
      <c r="FQ84" s="92">
        <v>0</v>
      </c>
      <c r="FR84" s="92">
        <v>0</v>
      </c>
      <c r="FS84" s="92">
        <v>0</v>
      </c>
      <c r="FT84" s="92">
        <v>0</v>
      </c>
      <c r="FU84" s="92">
        <v>0</v>
      </c>
      <c r="FV84" s="92">
        <v>0</v>
      </c>
      <c r="FW84" s="92">
        <v>0</v>
      </c>
      <c r="FX84" s="92">
        <v>0</v>
      </c>
      <c r="FY84" s="92">
        <v>0</v>
      </c>
      <c r="FZ84" s="92">
        <v>0</v>
      </c>
      <c r="GA84" s="92">
        <v>0</v>
      </c>
      <c r="GB84" s="92">
        <v>0</v>
      </c>
      <c r="GC84" s="92" t="s">
        <v>553</v>
      </c>
      <c r="GD84" s="92" t="s">
        <v>553</v>
      </c>
      <c r="GE84" s="92" t="s">
        <v>553</v>
      </c>
      <c r="GF84" s="92" t="s">
        <v>553</v>
      </c>
      <c r="GG84" s="47" t="s">
        <v>574</v>
      </c>
      <c r="GH84" s="47" t="s">
        <v>575</v>
      </c>
      <c r="GI84" s="93" t="s">
        <v>1010</v>
      </c>
      <c r="GJ84" s="47" t="s">
        <v>576</v>
      </c>
      <c r="GK84" s="47" t="s">
        <v>577</v>
      </c>
      <c r="GL84" s="47" t="s">
        <v>578</v>
      </c>
      <c r="GM84" s="93" t="s">
        <v>1010</v>
      </c>
      <c r="GN84" s="47" t="s">
        <v>579</v>
      </c>
      <c r="GO84" s="92" t="str" cm="1">
        <f t="array" ref="GO84">IFERROR(_xlfn.IFS(ResearchInput[[#This Row],[Type]]="HRI",SUMIFS('FTSE | FTFE'!$P$8:$P$77,'FTSE | FTFE'!$H$8:$H$77,A84),ResearchInput[[#This Row],[Type]]="UNIV",SUMIFS('FTSE | FTFE'!$P$104:$P$139,'FTSE | FTFE'!$H$104:$H$139,A84),OR(ResearchInput[[#This Row],[Type]]="TSTC",ResearchInput[[#This Row],[Type]]="LSC"),SUMIFS('FTSE | FTFE'!$O$88:$O$96,'FTSE | FTFE'!$H$88:$H$96,A84),ResearchInput[[#This Row],[Type]]="AHM",SUMIFS(Hidden!$H$43:$H$46,Hidden!$G$42:$G$45,A84)),"N/A")</f>
        <v>N/A</v>
      </c>
      <c r="GP84" s="92" t="str" cm="1">
        <f t="array" ref="GP84">IFERROR(_xlfn.IFS(ResearchInput[[#This Row],[Type]]="HRI",SUMIFS('FTSE | FTFE'!$Q$8:$Q$77,'FTSE | FTFE'!$H$8:$H$77,A84),ResearchInput[[#This Row],[Type]]="UNIV",SUMIFS('FTSE | FTFE'!$Q$104:$Q$139,'FTSE | FTFE'!$H$104:$H$139,A84),OR(ResearchInput[[#This Row],[Type]]="TSTC",ResearchInput[[#This Row],[Type]]="LSC"),SUMIFS('FTSE | FTFE'!$P$88:$P$96,'FTSE | FTFE'!$H$88:$H$96,A84)),"N/A")</f>
        <v>N/A</v>
      </c>
      <c r="GQ84" s="92">
        <v>0</v>
      </c>
      <c r="GR84" s="92">
        <f>SUM(ResearchInput[[#This Row],[Fed.Comp]],ResearchInput[[#This Row],[Fed.Eng]],ResearchInput[[#This Row],[Fed.Geo]],ResearchInput[[#This Row],[Fed.Life]],ResearchInput[[#This Row],[Fed.Math]],ResearchInput[[#This Row],[Fed.Phys]],ResearchInput[[#This Row],[Fed.Psyc]],ResearchInput[[#This Row],[Fed.Soc]],ResearchInput[[#This Row],[Fed.Othr]],ResearchInput[[#This Row],[Fed.Non]])</f>
        <v>0</v>
      </c>
      <c r="GS84" s="92">
        <f>SUM(ResearchInput[[#This Row],[St.Comp]],ResearchInput[[#This Row],[St.Eng]],ResearchInput[[#This Row],[St.Geo]],ResearchInput[[#This Row],[St.Life]],ResearchInput[[#This Row],[St.Math]],ResearchInput[[#This Row],[St.Phys]],ResearchInput[[#This Row],[St.Psyc]],ResearchInput[[#This Row],[St.Soc]],ResearchInput[[#This Row],[St.Othr]],ResearchInput[[#This Row],[St.Non]])</f>
        <v>0</v>
      </c>
      <c r="GT84" s="92">
        <f>SUM(ResearchInput[[#This Row],[St.C&amp;G.Comp]],ResearchInput[[#This Row],[St.C&amp;G.Eng]],ResearchInput[[#This Row],[St.C&amp;G.Geo]],ResearchInput[[#This Row],[St.C&amp;G.Life]],ResearchInput[[#This Row],[St.C&amp;G.Math]],ResearchInput[[#This Row],[St.C&amp;G.Phys]],ResearchInput[[#This Row],[St.C&amp;G.Psyc]],ResearchInput[[#This Row],[St.C&amp;G.Soc]],ResearchInput[[#This Row],[St.C&amp;G.Othr]],ResearchInput[[#This Row],[St.C&amp;G.Non]])</f>
        <v>0</v>
      </c>
      <c r="GU84" s="92">
        <f>SUM(ResearchInput[[#This Row],[St.All.Comp]],ResearchInput[[#This Row],[St.All.Eng]],ResearchInput[[#This Row],[St.All.Geo]],ResearchInput[[#This Row],[St.All.Life]],ResearchInput[[#This Row],[St.All.Math]],ResearchInput[[#This Row],[St.All.Phys]],ResearchInput[[#This Row],[St.All.Psyc]],ResearchInput[[#This Row],[St.All.Soc]],ResearchInput[[#This Row],[St.All.Othr]],ResearchInput[[#This Row],[St.All.Non]])</f>
        <v>0</v>
      </c>
      <c r="GV84" s="92">
        <f>SUM(ResearchInput[[#This Row],[Inst.Comp]],ResearchInput[[#This Row],[Inst.Eng]],ResearchInput[[#This Row],[Inst.Geo]],ResearchInput[[#This Row],[Inst.Life]],ResearchInput[[#This Row],[Inst.Math]],ResearchInput[[#This Row],[Inst.Phys]],ResearchInput[[#This Row],[Inst.Psyc]],ResearchInput[[#This Row],[Inst.Soc]],ResearchInput[[#This Row],[Inst.Othr]],ResearchInput[[#This Row],[Inst.Non]])</f>
        <v>0</v>
      </c>
      <c r="GW84" s="92">
        <f>SUM(ResearchInput[[#This Row],[P4P.Comp]],ResearchInput[[#This Row],[P4P.Eng]],ResearchInput[[#This Row],[P4P.Geo]],ResearchInput[[#This Row],[P4P.Life]],ResearchInput[[#This Row],[P4P.Math]],ResearchInput[[#This Row],[P4P.Phys]],ResearchInput[[#This Row],[P4P.Psyc]],ResearchInput[[#This Row],[P4P.Soc]],ResearchInput[[#This Row],[P4P.Othr]],ResearchInput[[#This Row],[P4P.Non]])</f>
        <v>0</v>
      </c>
      <c r="GX84" s="92">
        <f>SUM(ResearchInput[[#This Row],[PNP.Comp]],ResearchInput[[#This Row],[PNP.Eng]],ResearchInput[[#This Row],[PNP.Geo]],ResearchInput[[#This Row],[PNP.Life]],ResearchInput[[#This Row],[PNP.Math]],ResearchInput[[#This Row],[PNP.Phys]],ResearchInput[[#This Row],[PNP.Psyc]],ResearchInput[[#This Row],[PNP.Soc]],ResearchInput[[#This Row],[PNP.Othr]],ResearchInput[[#This Row],[PNP.Non]])</f>
        <v>34642</v>
      </c>
      <c r="GY84" s="92">
        <f>SUM(ResearchInput[[#This Row],[P.All.Comp]],ResearchInput[[#This Row],[P.All.Eng]],ResearchInput[[#This Row],[P.All.Geo]],ResearchInput[[#This Row],[P.All.Life]],ResearchInput[[#This Row],[P.All.Math]],ResearchInput[[#This Row],[P.All.Phys]],ResearchInput[[#This Row],[P.All.Psyc]],ResearchInput[[#This Row],[P.All.Soc]],ResearchInput[[#This Row],[P.All.Othr]],ResearchInput[[#This Row],[P.All.Non]])</f>
        <v>0</v>
      </c>
    </row>
    <row r="85" spans="1:207" s="47" customFormat="1" ht="27" customHeight="1" x14ac:dyDescent="0.25">
      <c r="A85" s="34" t="s">
        <v>580</v>
      </c>
      <c r="B85" s="34" t="s">
        <v>670</v>
      </c>
      <c r="C85" s="35" t="s">
        <v>553</v>
      </c>
      <c r="D85" s="35" t="s">
        <v>713</v>
      </c>
      <c r="E85" s="94">
        <v>1205</v>
      </c>
      <c r="F85" s="35" t="s">
        <v>714</v>
      </c>
      <c r="G85" s="35" t="s">
        <v>553</v>
      </c>
      <c r="H85" s="96">
        <v>3576</v>
      </c>
      <c r="I85" s="92">
        <v>90532</v>
      </c>
      <c r="J85" s="92">
        <v>0</v>
      </c>
      <c r="K85" s="92">
        <v>0</v>
      </c>
      <c r="L85" s="92">
        <v>0</v>
      </c>
      <c r="M85" s="92">
        <v>0</v>
      </c>
      <c r="N85" s="92">
        <v>0</v>
      </c>
      <c r="O85" s="92">
        <v>0</v>
      </c>
      <c r="P85" s="92">
        <v>0</v>
      </c>
      <c r="Q85" s="92">
        <v>0</v>
      </c>
      <c r="R85" s="92">
        <v>0</v>
      </c>
      <c r="S85" s="92">
        <v>0</v>
      </c>
      <c r="T85" s="92">
        <v>0</v>
      </c>
      <c r="U85" s="92">
        <v>0</v>
      </c>
      <c r="V85" s="92">
        <v>0</v>
      </c>
      <c r="W85" s="92">
        <v>0</v>
      </c>
      <c r="X85" s="92">
        <v>0</v>
      </c>
      <c r="Y85" s="92">
        <v>0</v>
      </c>
      <c r="Z85" s="92">
        <v>0</v>
      </c>
      <c r="AA85" s="92">
        <v>0</v>
      </c>
      <c r="AB85" s="92">
        <v>0</v>
      </c>
      <c r="AC85" s="92">
        <v>0</v>
      </c>
      <c r="AD85" s="92">
        <v>0</v>
      </c>
      <c r="AE85" s="92">
        <v>0</v>
      </c>
      <c r="AF85" s="92">
        <v>0</v>
      </c>
      <c r="AG85" s="92">
        <v>34402</v>
      </c>
      <c r="AH85" s="92">
        <v>0</v>
      </c>
      <c r="AI85" s="92">
        <v>0</v>
      </c>
      <c r="AJ85" s="92">
        <v>0</v>
      </c>
      <c r="AK85" s="92">
        <v>0</v>
      </c>
      <c r="AL85" s="92">
        <v>0</v>
      </c>
      <c r="AM85" s="92">
        <v>0</v>
      </c>
      <c r="AN85" s="92">
        <v>0</v>
      </c>
      <c r="AO85" s="92">
        <v>0</v>
      </c>
      <c r="AP85" s="92">
        <v>0</v>
      </c>
      <c r="AQ85" s="92">
        <v>0</v>
      </c>
      <c r="AR85" s="92">
        <v>0</v>
      </c>
      <c r="AS85" s="92">
        <v>0</v>
      </c>
      <c r="AT85" s="92">
        <v>0</v>
      </c>
      <c r="AU85" s="92">
        <v>0</v>
      </c>
      <c r="AV85" s="92">
        <v>0</v>
      </c>
      <c r="AW85" s="92">
        <v>0</v>
      </c>
      <c r="AX85" s="92">
        <v>0</v>
      </c>
      <c r="AY85" s="92">
        <v>0</v>
      </c>
      <c r="AZ85" s="92">
        <v>0</v>
      </c>
      <c r="BA85" s="92">
        <v>0</v>
      </c>
      <c r="BB85" s="92">
        <v>0</v>
      </c>
      <c r="BC85" s="92">
        <v>0</v>
      </c>
      <c r="BD85" s="92">
        <v>0</v>
      </c>
      <c r="BE85" s="92">
        <v>0</v>
      </c>
      <c r="BF85" s="92">
        <v>0</v>
      </c>
      <c r="BG85" s="92">
        <v>0</v>
      </c>
      <c r="BH85" s="92">
        <v>0</v>
      </c>
      <c r="BI85" s="92">
        <v>0</v>
      </c>
      <c r="BJ85" s="92">
        <v>0</v>
      </c>
      <c r="BK85" s="92">
        <v>0</v>
      </c>
      <c r="BL85" s="92">
        <v>0</v>
      </c>
      <c r="BM85" s="92">
        <v>0</v>
      </c>
      <c r="BN85" s="92">
        <v>0</v>
      </c>
      <c r="BO85" s="92">
        <v>0</v>
      </c>
      <c r="BP85" s="92">
        <v>0</v>
      </c>
      <c r="BQ85" s="92">
        <v>0</v>
      </c>
      <c r="BR85" s="92">
        <v>0</v>
      </c>
      <c r="BS85" s="92">
        <v>0</v>
      </c>
      <c r="BT85" s="92">
        <v>0</v>
      </c>
      <c r="BU85" s="92">
        <v>0</v>
      </c>
      <c r="BV85" s="92">
        <v>0</v>
      </c>
      <c r="BW85" s="92">
        <v>0</v>
      </c>
      <c r="BX85" s="92">
        <v>0</v>
      </c>
      <c r="BY85" s="92">
        <v>0</v>
      </c>
      <c r="BZ85" s="92">
        <v>0</v>
      </c>
      <c r="CA85" s="92">
        <v>0</v>
      </c>
      <c r="CB85" s="92">
        <v>0</v>
      </c>
      <c r="CC85" s="92">
        <v>0</v>
      </c>
      <c r="CD85" s="92">
        <v>0</v>
      </c>
      <c r="CE85" s="92">
        <v>0</v>
      </c>
      <c r="CF85" s="92">
        <v>0</v>
      </c>
      <c r="CG85" s="92">
        <v>0</v>
      </c>
      <c r="CH85" s="92">
        <v>0</v>
      </c>
      <c r="CI85" s="92">
        <v>0</v>
      </c>
      <c r="CJ85" s="92">
        <v>0</v>
      </c>
      <c r="CK85" s="92">
        <v>0</v>
      </c>
      <c r="CL85" s="92">
        <v>0</v>
      </c>
      <c r="CM85" s="92">
        <v>0</v>
      </c>
      <c r="CN85" s="92">
        <v>0</v>
      </c>
      <c r="CO85" s="92">
        <v>0</v>
      </c>
      <c r="CP85" s="92">
        <v>0</v>
      </c>
      <c r="CQ85" s="92">
        <v>0</v>
      </c>
      <c r="CR85" s="92">
        <v>0</v>
      </c>
      <c r="CS85" s="92">
        <v>124934</v>
      </c>
      <c r="CT85" s="92">
        <v>0</v>
      </c>
      <c r="CU85" s="92">
        <v>0</v>
      </c>
      <c r="CV85" s="92">
        <v>0</v>
      </c>
      <c r="CW85" s="92">
        <v>0</v>
      </c>
      <c r="CX85" s="92">
        <v>0</v>
      </c>
      <c r="CY85" s="92">
        <v>0</v>
      </c>
      <c r="CZ85" s="92">
        <v>0</v>
      </c>
      <c r="DA85" s="92">
        <v>0</v>
      </c>
      <c r="DB85" s="92">
        <v>0</v>
      </c>
      <c r="DC85" s="92">
        <v>0</v>
      </c>
      <c r="DD85" s="92">
        <v>0</v>
      </c>
      <c r="DE85" s="92">
        <v>0</v>
      </c>
      <c r="DF85" s="92">
        <v>0</v>
      </c>
      <c r="DG85" s="92">
        <v>0</v>
      </c>
      <c r="DH85" s="92">
        <v>0</v>
      </c>
      <c r="DI85" s="92">
        <v>0</v>
      </c>
      <c r="DJ85" s="92">
        <v>0</v>
      </c>
      <c r="DK85" s="92">
        <v>0</v>
      </c>
      <c r="DL85" s="92">
        <v>0</v>
      </c>
      <c r="DM85" s="92">
        <v>0</v>
      </c>
      <c r="DN85" s="92">
        <v>0</v>
      </c>
      <c r="DO85" s="92">
        <v>0</v>
      </c>
      <c r="DP85" s="92">
        <v>0</v>
      </c>
      <c r="DQ85" s="92">
        <v>0</v>
      </c>
      <c r="DR85" s="92">
        <v>0</v>
      </c>
      <c r="DS85" s="92">
        <v>0</v>
      </c>
      <c r="DT85" s="92">
        <v>0</v>
      </c>
      <c r="DU85" s="92">
        <v>0</v>
      </c>
      <c r="DV85" s="92">
        <v>0</v>
      </c>
      <c r="DW85" s="92">
        <v>0</v>
      </c>
      <c r="DX85" s="92">
        <v>0</v>
      </c>
      <c r="DY85" s="92">
        <v>0</v>
      </c>
      <c r="DZ85" s="92">
        <v>0</v>
      </c>
      <c r="EA85" s="92">
        <v>0</v>
      </c>
      <c r="EB85" s="92">
        <v>0</v>
      </c>
      <c r="EC85" s="92">
        <v>0</v>
      </c>
      <c r="ED85" s="92">
        <v>0</v>
      </c>
      <c r="EE85" s="92">
        <v>0</v>
      </c>
      <c r="EF85" s="92">
        <v>0</v>
      </c>
      <c r="EG85" s="92">
        <v>0</v>
      </c>
      <c r="EH85" s="92">
        <v>0</v>
      </c>
      <c r="EI85" s="92">
        <v>0</v>
      </c>
      <c r="EJ85" s="92">
        <v>0</v>
      </c>
      <c r="EK85" s="92">
        <v>0</v>
      </c>
      <c r="EL85" s="92">
        <v>0</v>
      </c>
      <c r="EM85" s="92">
        <v>0</v>
      </c>
      <c r="EN85" s="92">
        <v>0</v>
      </c>
      <c r="EO85" s="92">
        <v>0</v>
      </c>
      <c r="EP85" s="92">
        <v>0</v>
      </c>
      <c r="EQ85" s="92">
        <v>0</v>
      </c>
      <c r="ER85" s="92">
        <v>0</v>
      </c>
      <c r="ES85" s="92">
        <v>0</v>
      </c>
      <c r="ET85" s="92">
        <v>0</v>
      </c>
      <c r="EU85" s="92">
        <v>0</v>
      </c>
      <c r="EV85" s="92">
        <v>0</v>
      </c>
      <c r="EW85" s="92">
        <v>0</v>
      </c>
      <c r="EX85" s="92">
        <v>0</v>
      </c>
      <c r="EY85" s="92">
        <v>0</v>
      </c>
      <c r="EZ85" s="92">
        <v>0</v>
      </c>
      <c r="FA85" s="92">
        <v>0</v>
      </c>
      <c r="FB85" s="92">
        <v>0</v>
      </c>
      <c r="FC85" s="92">
        <v>0</v>
      </c>
      <c r="FD85" s="92">
        <v>0</v>
      </c>
      <c r="FE85" s="92">
        <v>0</v>
      </c>
      <c r="FF85" s="92">
        <v>0</v>
      </c>
      <c r="FG85" s="92">
        <v>0</v>
      </c>
      <c r="FH85" s="92">
        <v>0</v>
      </c>
      <c r="FI85" s="92">
        <v>0</v>
      </c>
      <c r="FJ85" s="92">
        <v>0</v>
      </c>
      <c r="FK85" s="92">
        <v>0</v>
      </c>
      <c r="FL85" s="92">
        <v>0</v>
      </c>
      <c r="FM85" s="92">
        <v>0</v>
      </c>
      <c r="FN85" s="92">
        <v>0</v>
      </c>
      <c r="FO85" s="92">
        <v>0</v>
      </c>
      <c r="FP85" s="92">
        <v>0</v>
      </c>
      <c r="FQ85" s="92">
        <v>0</v>
      </c>
      <c r="FR85" s="92">
        <v>0</v>
      </c>
      <c r="FS85" s="92">
        <v>0</v>
      </c>
      <c r="FT85" s="92">
        <v>0</v>
      </c>
      <c r="FU85" s="92">
        <v>0</v>
      </c>
      <c r="FV85" s="92">
        <v>0</v>
      </c>
      <c r="FW85" s="92">
        <v>0</v>
      </c>
      <c r="FX85" s="92">
        <v>0</v>
      </c>
      <c r="FY85" s="92">
        <v>0</v>
      </c>
      <c r="FZ85" s="92">
        <v>0</v>
      </c>
      <c r="GA85" s="92">
        <v>0</v>
      </c>
      <c r="GB85" s="92">
        <v>0</v>
      </c>
      <c r="GC85" s="92" t="s">
        <v>553</v>
      </c>
      <c r="GD85" s="92" t="s">
        <v>553</v>
      </c>
      <c r="GE85" s="92" t="s">
        <v>553</v>
      </c>
      <c r="GF85" s="92" t="s">
        <v>553</v>
      </c>
      <c r="GG85" s="47" t="s">
        <v>581</v>
      </c>
      <c r="GH85" s="47" t="s">
        <v>582</v>
      </c>
      <c r="GI85" s="93" t="s">
        <v>1010</v>
      </c>
      <c r="GJ85" s="47" t="s">
        <v>583</v>
      </c>
      <c r="GK85" s="47" t="s">
        <v>584</v>
      </c>
      <c r="GL85" s="47" t="s">
        <v>585</v>
      </c>
      <c r="GM85" s="93" t="s">
        <v>1010</v>
      </c>
      <c r="GN85" s="47" t="s">
        <v>586</v>
      </c>
      <c r="GO85" s="92" t="str" cm="1">
        <f t="array" ref="GO85">IFERROR(_xlfn.IFS(ResearchInput[[#This Row],[Type]]="HRI",SUMIFS('FTSE | FTFE'!$P$8:$P$77,'FTSE | FTFE'!$H$8:$H$77,A85),ResearchInput[[#This Row],[Type]]="UNIV",SUMIFS('FTSE | FTFE'!$P$104:$P$139,'FTSE | FTFE'!$H$104:$H$139,A85),OR(ResearchInput[[#This Row],[Type]]="TSTC",ResearchInput[[#This Row],[Type]]="LSC"),SUMIFS('FTSE | FTFE'!$O$88:$O$96,'FTSE | FTFE'!$H$88:$H$96,A85),ResearchInput[[#This Row],[Type]]="AHM",SUMIFS(Hidden!$H$43:$H$46,Hidden!$G$42:$G$45,A85)),"N/A")</f>
        <v>N/A</v>
      </c>
      <c r="GP85" s="92" t="str" cm="1">
        <f t="array" ref="GP85">IFERROR(_xlfn.IFS(ResearchInput[[#This Row],[Type]]="HRI",SUMIFS('FTSE | FTFE'!$Q$8:$Q$77,'FTSE | FTFE'!$H$8:$H$77,A85),ResearchInput[[#This Row],[Type]]="UNIV",SUMIFS('FTSE | FTFE'!$Q$104:$Q$139,'FTSE | FTFE'!$H$104:$H$139,A85),OR(ResearchInput[[#This Row],[Type]]="TSTC",ResearchInput[[#This Row],[Type]]="LSC"),SUMIFS('FTSE | FTFE'!$P$88:$P$96,'FTSE | FTFE'!$H$88:$H$96,A85)),"N/A")</f>
        <v>N/A</v>
      </c>
      <c r="GQ85" s="92">
        <v>0</v>
      </c>
      <c r="GR85" s="92">
        <f>SUM(ResearchInput[[#This Row],[Fed.Comp]],ResearchInput[[#This Row],[Fed.Eng]],ResearchInput[[#This Row],[Fed.Geo]],ResearchInput[[#This Row],[Fed.Life]],ResearchInput[[#This Row],[Fed.Math]],ResearchInput[[#This Row],[Fed.Phys]],ResearchInput[[#This Row],[Fed.Psyc]],ResearchInput[[#This Row],[Fed.Soc]],ResearchInput[[#This Row],[Fed.Othr]],ResearchInput[[#This Row],[Fed.Non]])</f>
        <v>124934</v>
      </c>
      <c r="GS85" s="92">
        <f>SUM(ResearchInput[[#This Row],[St.Comp]],ResearchInput[[#This Row],[St.Eng]],ResearchInput[[#This Row],[St.Geo]],ResearchInput[[#This Row],[St.Life]],ResearchInput[[#This Row],[St.Math]],ResearchInput[[#This Row],[St.Phys]],ResearchInput[[#This Row],[St.Psyc]],ResearchInput[[#This Row],[St.Soc]],ResearchInput[[#This Row],[St.Othr]],ResearchInput[[#This Row],[St.Non]])</f>
        <v>0</v>
      </c>
      <c r="GT85" s="92">
        <f>SUM(ResearchInput[[#This Row],[St.C&amp;G.Comp]],ResearchInput[[#This Row],[St.C&amp;G.Eng]],ResearchInput[[#This Row],[St.C&amp;G.Geo]],ResearchInput[[#This Row],[St.C&amp;G.Life]],ResearchInput[[#This Row],[St.C&amp;G.Math]],ResearchInput[[#This Row],[St.C&amp;G.Phys]],ResearchInput[[#This Row],[St.C&amp;G.Psyc]],ResearchInput[[#This Row],[St.C&amp;G.Soc]],ResearchInput[[#This Row],[St.C&amp;G.Othr]],ResearchInput[[#This Row],[St.C&amp;G.Non]])</f>
        <v>0</v>
      </c>
      <c r="GU85" s="92">
        <f>SUM(ResearchInput[[#This Row],[St.All.Comp]],ResearchInput[[#This Row],[St.All.Eng]],ResearchInput[[#This Row],[St.All.Geo]],ResearchInput[[#This Row],[St.All.Life]],ResearchInput[[#This Row],[St.All.Math]],ResearchInput[[#This Row],[St.All.Phys]],ResearchInput[[#This Row],[St.All.Psyc]],ResearchInput[[#This Row],[St.All.Soc]],ResearchInput[[#This Row],[St.All.Othr]],ResearchInput[[#This Row],[St.All.Non]])</f>
        <v>0</v>
      </c>
      <c r="GV85" s="92">
        <f>SUM(ResearchInput[[#This Row],[Inst.Comp]],ResearchInput[[#This Row],[Inst.Eng]],ResearchInput[[#This Row],[Inst.Geo]],ResearchInput[[#This Row],[Inst.Life]],ResearchInput[[#This Row],[Inst.Math]],ResearchInput[[#This Row],[Inst.Phys]],ResearchInput[[#This Row],[Inst.Psyc]],ResearchInput[[#This Row],[Inst.Soc]],ResearchInput[[#This Row],[Inst.Othr]],ResearchInput[[#This Row],[Inst.Non]])</f>
        <v>0</v>
      </c>
      <c r="GW85" s="92">
        <f>SUM(ResearchInput[[#This Row],[P4P.Comp]],ResearchInput[[#This Row],[P4P.Eng]],ResearchInput[[#This Row],[P4P.Geo]],ResearchInput[[#This Row],[P4P.Life]],ResearchInput[[#This Row],[P4P.Math]],ResearchInput[[#This Row],[P4P.Phys]],ResearchInput[[#This Row],[P4P.Psyc]],ResearchInput[[#This Row],[P4P.Soc]],ResearchInput[[#This Row],[P4P.Othr]],ResearchInput[[#This Row],[P4P.Non]])</f>
        <v>0</v>
      </c>
      <c r="GX85" s="92">
        <f>SUM(ResearchInput[[#This Row],[PNP.Comp]],ResearchInput[[#This Row],[PNP.Eng]],ResearchInput[[#This Row],[PNP.Geo]],ResearchInput[[#This Row],[PNP.Life]],ResearchInput[[#This Row],[PNP.Math]],ResearchInput[[#This Row],[PNP.Phys]],ResearchInput[[#This Row],[PNP.Psyc]],ResearchInput[[#This Row],[PNP.Soc]],ResearchInput[[#This Row],[PNP.Othr]],ResearchInput[[#This Row],[PNP.Non]])</f>
        <v>0</v>
      </c>
      <c r="GY85" s="92">
        <f>SUM(ResearchInput[[#This Row],[P.All.Comp]],ResearchInput[[#This Row],[P.All.Eng]],ResearchInput[[#This Row],[P.All.Geo]],ResearchInput[[#This Row],[P.All.Life]],ResearchInput[[#This Row],[P.All.Math]],ResearchInput[[#This Row],[P.All.Phys]],ResearchInput[[#This Row],[P.All.Psyc]],ResearchInput[[#This Row],[P.All.Soc]],ResearchInput[[#This Row],[P.All.Othr]],ResearchInput[[#This Row],[P.All.Non]])</f>
        <v>0</v>
      </c>
    </row>
    <row r="86" spans="1:207" s="47" customFormat="1" ht="27" customHeight="1" x14ac:dyDescent="0.25">
      <c r="A86" s="34" t="s">
        <v>900</v>
      </c>
      <c r="B86" s="34" t="s">
        <v>670</v>
      </c>
      <c r="C86" s="35" t="s">
        <v>553</v>
      </c>
      <c r="D86" s="35" t="s">
        <v>713</v>
      </c>
      <c r="E86" s="94">
        <v>1206</v>
      </c>
      <c r="F86" s="35" t="s">
        <v>714</v>
      </c>
      <c r="G86" s="35" t="s">
        <v>553</v>
      </c>
      <c r="H86" s="96">
        <v>3591</v>
      </c>
      <c r="I86" s="92">
        <v>22155</v>
      </c>
      <c r="J86" s="92">
        <v>0</v>
      </c>
      <c r="K86" s="92">
        <v>0</v>
      </c>
      <c r="L86" s="92">
        <v>0</v>
      </c>
      <c r="M86" s="92">
        <v>0</v>
      </c>
      <c r="N86" s="92">
        <v>0</v>
      </c>
      <c r="O86" s="92">
        <v>49964</v>
      </c>
      <c r="P86" s="92">
        <v>0</v>
      </c>
      <c r="Q86" s="92">
        <v>0</v>
      </c>
      <c r="R86" s="92">
        <v>0</v>
      </c>
      <c r="S86" s="92">
        <v>0</v>
      </c>
      <c r="T86" s="92">
        <v>0</v>
      </c>
      <c r="U86" s="92">
        <v>0</v>
      </c>
      <c r="V86" s="92">
        <v>0</v>
      </c>
      <c r="W86" s="92">
        <v>0</v>
      </c>
      <c r="X86" s="92">
        <v>0</v>
      </c>
      <c r="Y86" s="92">
        <v>0</v>
      </c>
      <c r="Z86" s="92">
        <v>0</v>
      </c>
      <c r="AA86" s="92">
        <v>0</v>
      </c>
      <c r="AB86" s="92">
        <v>0</v>
      </c>
      <c r="AC86" s="92">
        <v>0</v>
      </c>
      <c r="AD86" s="92">
        <v>0</v>
      </c>
      <c r="AE86" s="92">
        <v>0</v>
      </c>
      <c r="AF86" s="92">
        <v>0</v>
      </c>
      <c r="AG86" s="92">
        <v>0</v>
      </c>
      <c r="AH86" s="92">
        <v>0</v>
      </c>
      <c r="AI86" s="92">
        <v>0</v>
      </c>
      <c r="AJ86" s="92">
        <v>0</v>
      </c>
      <c r="AK86" s="92">
        <v>0</v>
      </c>
      <c r="AL86" s="92">
        <v>0</v>
      </c>
      <c r="AM86" s="92">
        <v>0</v>
      </c>
      <c r="AN86" s="92">
        <v>0</v>
      </c>
      <c r="AO86" s="92">
        <v>22155</v>
      </c>
      <c r="AP86" s="92">
        <v>0</v>
      </c>
      <c r="AQ86" s="92">
        <v>0</v>
      </c>
      <c r="AR86" s="92">
        <v>0</v>
      </c>
      <c r="AS86" s="92">
        <v>0</v>
      </c>
      <c r="AT86" s="92">
        <v>0</v>
      </c>
      <c r="AU86" s="92">
        <v>0</v>
      </c>
      <c r="AV86" s="92">
        <v>0</v>
      </c>
      <c r="AW86" s="92">
        <v>0</v>
      </c>
      <c r="AX86" s="92">
        <v>0</v>
      </c>
      <c r="AY86" s="92">
        <v>0</v>
      </c>
      <c r="AZ86" s="92">
        <v>0</v>
      </c>
      <c r="BA86" s="92">
        <v>0</v>
      </c>
      <c r="BB86" s="92">
        <v>0</v>
      </c>
      <c r="BC86" s="92">
        <v>0</v>
      </c>
      <c r="BD86" s="92">
        <v>0</v>
      </c>
      <c r="BE86" s="92">
        <v>0</v>
      </c>
      <c r="BF86" s="92">
        <v>0</v>
      </c>
      <c r="BG86" s="92">
        <v>0</v>
      </c>
      <c r="BH86" s="92">
        <v>0</v>
      </c>
      <c r="BI86" s="92">
        <v>0</v>
      </c>
      <c r="BJ86" s="92">
        <v>0</v>
      </c>
      <c r="BK86" s="92">
        <v>0</v>
      </c>
      <c r="BL86" s="92">
        <v>0</v>
      </c>
      <c r="BM86" s="92">
        <v>0</v>
      </c>
      <c r="BN86" s="92">
        <v>0</v>
      </c>
      <c r="BO86" s="92">
        <v>0</v>
      </c>
      <c r="BP86" s="92">
        <v>0</v>
      </c>
      <c r="BQ86" s="92">
        <v>0</v>
      </c>
      <c r="BR86" s="92">
        <v>0</v>
      </c>
      <c r="BS86" s="92">
        <v>0</v>
      </c>
      <c r="BT86" s="92">
        <v>0</v>
      </c>
      <c r="BU86" s="92">
        <v>0</v>
      </c>
      <c r="BV86" s="92">
        <v>0</v>
      </c>
      <c r="BW86" s="92">
        <v>0</v>
      </c>
      <c r="BX86" s="92">
        <v>0</v>
      </c>
      <c r="BY86" s="92">
        <v>0</v>
      </c>
      <c r="BZ86" s="92">
        <v>0</v>
      </c>
      <c r="CA86" s="92">
        <v>0</v>
      </c>
      <c r="CB86" s="92">
        <v>0</v>
      </c>
      <c r="CC86" s="92">
        <v>44310</v>
      </c>
      <c r="CD86" s="92">
        <v>0</v>
      </c>
      <c r="CE86" s="92">
        <v>0</v>
      </c>
      <c r="CF86" s="92">
        <v>0</v>
      </c>
      <c r="CG86" s="92">
        <v>0</v>
      </c>
      <c r="CH86" s="92">
        <v>0</v>
      </c>
      <c r="CI86" s="92">
        <v>0</v>
      </c>
      <c r="CJ86" s="92">
        <v>0</v>
      </c>
      <c r="CK86" s="92">
        <v>0</v>
      </c>
      <c r="CL86" s="92">
        <v>0</v>
      </c>
      <c r="CM86" s="92">
        <v>0</v>
      </c>
      <c r="CN86" s="92">
        <v>0</v>
      </c>
      <c r="CO86" s="92">
        <v>0</v>
      </c>
      <c r="CP86" s="92">
        <v>0</v>
      </c>
      <c r="CQ86" s="92">
        <v>0</v>
      </c>
      <c r="CR86" s="92">
        <v>0</v>
      </c>
      <c r="CS86" s="92">
        <v>0</v>
      </c>
      <c r="CT86" s="92">
        <v>0</v>
      </c>
      <c r="CU86" s="92">
        <v>0</v>
      </c>
      <c r="CV86" s="92">
        <v>0</v>
      </c>
      <c r="CW86" s="92">
        <v>0</v>
      </c>
      <c r="CX86" s="92">
        <v>0</v>
      </c>
      <c r="CY86" s="92">
        <v>5135</v>
      </c>
      <c r="CZ86" s="92">
        <v>0</v>
      </c>
      <c r="DA86" s="92">
        <v>0</v>
      </c>
      <c r="DB86" s="92">
        <v>0</v>
      </c>
      <c r="DC86" s="92">
        <v>0</v>
      </c>
      <c r="DD86" s="92">
        <v>0</v>
      </c>
      <c r="DE86" s="92">
        <v>0</v>
      </c>
      <c r="DF86" s="92">
        <v>0</v>
      </c>
      <c r="DG86" s="92">
        <v>0</v>
      </c>
      <c r="DH86" s="92">
        <v>0</v>
      </c>
      <c r="DI86" s="92">
        <v>0</v>
      </c>
      <c r="DJ86" s="92">
        <v>0</v>
      </c>
      <c r="DK86" s="92">
        <v>0</v>
      </c>
      <c r="DL86" s="92">
        <v>0</v>
      </c>
      <c r="DM86" s="92">
        <v>0</v>
      </c>
      <c r="DN86" s="92">
        <v>0</v>
      </c>
      <c r="DO86" s="92">
        <v>43427</v>
      </c>
      <c r="DP86" s="92">
        <v>0</v>
      </c>
      <c r="DQ86" s="92">
        <v>0</v>
      </c>
      <c r="DR86" s="92">
        <v>0</v>
      </c>
      <c r="DS86" s="92">
        <v>0</v>
      </c>
      <c r="DT86" s="92">
        <v>0</v>
      </c>
      <c r="DU86" s="92">
        <v>0</v>
      </c>
      <c r="DV86" s="92">
        <v>0</v>
      </c>
      <c r="DW86" s="92">
        <v>0</v>
      </c>
      <c r="DX86" s="92">
        <v>0</v>
      </c>
      <c r="DY86" s="92">
        <v>0</v>
      </c>
      <c r="DZ86" s="92">
        <v>0</v>
      </c>
      <c r="EA86" s="92">
        <v>0</v>
      </c>
      <c r="EB86" s="92">
        <v>0</v>
      </c>
      <c r="EC86" s="92">
        <v>0</v>
      </c>
      <c r="ED86" s="92">
        <v>0</v>
      </c>
      <c r="EE86" s="92">
        <v>1402</v>
      </c>
      <c r="EF86" s="92">
        <v>0</v>
      </c>
      <c r="EG86" s="92">
        <v>0</v>
      </c>
      <c r="EH86" s="92">
        <v>0</v>
      </c>
      <c r="EI86" s="92">
        <v>0</v>
      </c>
      <c r="EJ86" s="92">
        <v>0</v>
      </c>
      <c r="EK86" s="92">
        <v>0</v>
      </c>
      <c r="EL86" s="92">
        <v>0</v>
      </c>
      <c r="EM86" s="92">
        <v>0</v>
      </c>
      <c r="EN86" s="92">
        <v>0</v>
      </c>
      <c r="EO86" s="92">
        <v>0</v>
      </c>
      <c r="EP86" s="92">
        <v>0</v>
      </c>
      <c r="EQ86" s="92">
        <v>0</v>
      </c>
      <c r="ER86" s="92">
        <v>0</v>
      </c>
      <c r="ES86" s="92">
        <v>0</v>
      </c>
      <c r="ET86" s="92">
        <v>0</v>
      </c>
      <c r="EU86" s="92">
        <v>0</v>
      </c>
      <c r="EV86" s="92">
        <v>0</v>
      </c>
      <c r="EW86" s="92">
        <v>0</v>
      </c>
      <c r="EX86" s="92">
        <v>0</v>
      </c>
      <c r="EY86" s="92">
        <v>0</v>
      </c>
      <c r="EZ86" s="92">
        <v>0</v>
      </c>
      <c r="FA86" s="92">
        <v>0</v>
      </c>
      <c r="FB86" s="92">
        <v>0</v>
      </c>
      <c r="FC86" s="92">
        <v>0</v>
      </c>
      <c r="FD86" s="92">
        <v>0</v>
      </c>
      <c r="FE86" s="92">
        <v>0</v>
      </c>
      <c r="FF86" s="92">
        <v>0</v>
      </c>
      <c r="FG86" s="92">
        <v>0</v>
      </c>
      <c r="FH86" s="92">
        <v>0</v>
      </c>
      <c r="FI86" s="92">
        <v>0</v>
      </c>
      <c r="FJ86" s="92">
        <v>0</v>
      </c>
      <c r="FK86" s="92">
        <v>0</v>
      </c>
      <c r="FL86" s="92">
        <v>0</v>
      </c>
      <c r="FM86" s="92">
        <v>0</v>
      </c>
      <c r="FN86" s="92">
        <v>0</v>
      </c>
      <c r="FO86" s="92">
        <v>0</v>
      </c>
      <c r="FP86" s="92">
        <v>0</v>
      </c>
      <c r="FQ86" s="92">
        <v>0</v>
      </c>
      <c r="FR86" s="92">
        <v>0</v>
      </c>
      <c r="FS86" s="92">
        <v>0</v>
      </c>
      <c r="FT86" s="92">
        <v>0</v>
      </c>
      <c r="FU86" s="92">
        <v>0</v>
      </c>
      <c r="FV86" s="92">
        <v>0</v>
      </c>
      <c r="FW86" s="92">
        <v>0</v>
      </c>
      <c r="FX86" s="92">
        <v>0</v>
      </c>
      <c r="FY86" s="92">
        <v>0</v>
      </c>
      <c r="FZ86" s="92">
        <v>0</v>
      </c>
      <c r="GA86" s="92">
        <v>0</v>
      </c>
      <c r="GB86" s="92">
        <v>0</v>
      </c>
      <c r="GC86" s="92" t="s">
        <v>553</v>
      </c>
      <c r="GD86" s="92" t="s">
        <v>553</v>
      </c>
      <c r="GE86" s="92" t="s">
        <v>553</v>
      </c>
      <c r="GF86" s="92" t="s">
        <v>553</v>
      </c>
      <c r="GG86" s="47" t="s">
        <v>320</v>
      </c>
      <c r="GH86" s="47" t="s">
        <v>588</v>
      </c>
      <c r="GI86" s="93" t="s">
        <v>1010</v>
      </c>
      <c r="GJ86" s="47" t="s">
        <v>589</v>
      </c>
      <c r="GK86" s="47" t="s">
        <v>590</v>
      </c>
      <c r="GL86" s="47" t="s">
        <v>449</v>
      </c>
      <c r="GM86" s="93" t="s">
        <v>1010</v>
      </c>
      <c r="GN86" s="47" t="s">
        <v>591</v>
      </c>
      <c r="GO86" s="92" t="str" cm="1">
        <f t="array" ref="GO86">IFERROR(_xlfn.IFS(ResearchInput[[#This Row],[Type]]="HRI",SUMIFS('FTSE | FTFE'!$P$8:$P$77,'FTSE | FTFE'!$H$8:$H$77,A86),ResearchInput[[#This Row],[Type]]="UNIV",SUMIFS('FTSE | FTFE'!$P$104:$P$139,'FTSE | FTFE'!$H$104:$H$139,A86),OR(ResearchInput[[#This Row],[Type]]="TSTC",ResearchInput[[#This Row],[Type]]="LSC"),SUMIFS('FTSE | FTFE'!$O$88:$O$96,'FTSE | FTFE'!$H$88:$H$96,A86),ResearchInput[[#This Row],[Type]]="AHM",SUMIFS(Hidden!$H$43:$H$46,Hidden!$G$42:$G$45,A86)),"N/A")</f>
        <v>N/A</v>
      </c>
      <c r="GP86" s="92" t="str" cm="1">
        <f t="array" ref="GP86">IFERROR(_xlfn.IFS(ResearchInput[[#This Row],[Type]]="HRI",SUMIFS('FTSE | FTFE'!$Q$8:$Q$77,'FTSE | FTFE'!$H$8:$H$77,A86),ResearchInput[[#This Row],[Type]]="UNIV",SUMIFS('FTSE | FTFE'!$Q$104:$Q$139,'FTSE | FTFE'!$H$104:$H$139,A86),OR(ResearchInput[[#This Row],[Type]]="TSTC",ResearchInput[[#This Row],[Type]]="LSC"),SUMIFS('FTSE | FTFE'!$P$88:$P$96,'FTSE | FTFE'!$H$88:$H$96,A86)),"N/A")</f>
        <v>N/A</v>
      </c>
      <c r="GQ86" s="92">
        <v>0</v>
      </c>
      <c r="GR86" s="92">
        <f>SUM(ResearchInput[[#This Row],[Fed.Comp]],ResearchInput[[#This Row],[Fed.Eng]],ResearchInput[[#This Row],[Fed.Geo]],ResearchInput[[#This Row],[Fed.Life]],ResearchInput[[#This Row],[Fed.Math]],ResearchInput[[#This Row],[Fed.Phys]],ResearchInput[[#This Row],[Fed.Psyc]],ResearchInput[[#This Row],[Fed.Soc]],ResearchInput[[#This Row],[Fed.Othr]],ResearchInput[[#This Row],[Fed.Non]])</f>
        <v>44310</v>
      </c>
      <c r="GS86" s="92">
        <f>SUM(ResearchInput[[#This Row],[St.Comp]],ResearchInput[[#This Row],[St.Eng]],ResearchInput[[#This Row],[St.Geo]],ResearchInput[[#This Row],[St.Life]],ResearchInput[[#This Row],[St.Math]],ResearchInput[[#This Row],[St.Phys]],ResearchInput[[#This Row],[St.Psyc]],ResearchInput[[#This Row],[St.Soc]],ResearchInput[[#This Row],[St.Othr]],ResearchInput[[#This Row],[St.Non]])</f>
        <v>0</v>
      </c>
      <c r="GT86" s="92">
        <f>SUM(ResearchInput[[#This Row],[St.C&amp;G.Comp]],ResearchInput[[#This Row],[St.C&amp;G.Eng]],ResearchInput[[#This Row],[St.C&amp;G.Geo]],ResearchInput[[#This Row],[St.C&amp;G.Life]],ResearchInput[[#This Row],[St.C&amp;G.Math]],ResearchInput[[#This Row],[St.C&amp;G.Phys]],ResearchInput[[#This Row],[St.C&amp;G.Psyc]],ResearchInput[[#This Row],[St.C&amp;G.Soc]],ResearchInput[[#This Row],[St.C&amp;G.Othr]],ResearchInput[[#This Row],[St.C&amp;G.Non]])</f>
        <v>0</v>
      </c>
      <c r="GU86" s="92">
        <f>SUM(ResearchInput[[#This Row],[St.All.Comp]],ResearchInput[[#This Row],[St.All.Eng]],ResearchInput[[#This Row],[St.All.Geo]],ResearchInput[[#This Row],[St.All.Life]],ResearchInput[[#This Row],[St.All.Math]],ResearchInput[[#This Row],[St.All.Phys]],ResearchInput[[#This Row],[St.All.Psyc]],ResearchInput[[#This Row],[St.All.Soc]],ResearchInput[[#This Row],[St.All.Othr]],ResearchInput[[#This Row],[St.All.Non]])</f>
        <v>0</v>
      </c>
      <c r="GV86" s="92">
        <f>SUM(ResearchInput[[#This Row],[Inst.Comp]],ResearchInput[[#This Row],[Inst.Eng]],ResearchInput[[#This Row],[Inst.Geo]],ResearchInput[[#This Row],[Inst.Life]],ResearchInput[[#This Row],[Inst.Math]],ResearchInput[[#This Row],[Inst.Phys]],ResearchInput[[#This Row],[Inst.Psyc]],ResearchInput[[#This Row],[Inst.Soc]],ResearchInput[[#This Row],[Inst.Othr]],ResearchInput[[#This Row],[Inst.Non]])</f>
        <v>0</v>
      </c>
      <c r="GW86" s="92">
        <f>SUM(ResearchInput[[#This Row],[P4P.Comp]],ResearchInput[[#This Row],[P4P.Eng]],ResearchInput[[#This Row],[P4P.Geo]],ResearchInput[[#This Row],[P4P.Life]],ResearchInput[[#This Row],[P4P.Math]],ResearchInput[[#This Row],[P4P.Phys]],ResearchInput[[#This Row],[P4P.Psyc]],ResearchInput[[#This Row],[P4P.Soc]],ResearchInput[[#This Row],[P4P.Othr]],ResearchInput[[#This Row],[P4P.Non]])</f>
        <v>0</v>
      </c>
      <c r="GX86" s="92">
        <f>SUM(ResearchInput[[#This Row],[PNP.Comp]],ResearchInput[[#This Row],[PNP.Eng]],ResearchInput[[#This Row],[PNP.Geo]],ResearchInput[[#This Row],[PNP.Life]],ResearchInput[[#This Row],[PNP.Math]],ResearchInput[[#This Row],[PNP.Phys]],ResearchInput[[#This Row],[PNP.Psyc]],ResearchInput[[#This Row],[PNP.Soc]],ResearchInput[[#This Row],[PNP.Othr]],ResearchInput[[#This Row],[PNP.Non]])</f>
        <v>49964</v>
      </c>
      <c r="GY86" s="92">
        <f>SUM(ResearchInput[[#This Row],[P.All.Comp]],ResearchInput[[#This Row],[P.All.Eng]],ResearchInput[[#This Row],[P.All.Geo]],ResearchInput[[#This Row],[P.All.Life]],ResearchInput[[#This Row],[P.All.Math]],ResearchInput[[#This Row],[P.All.Phys]],ResearchInput[[#This Row],[P.All.Psyc]],ResearchInput[[#This Row],[P.All.Soc]],ResearchInput[[#This Row],[P.All.Othr]],ResearchInput[[#This Row],[P.All.Non]])</f>
        <v>0</v>
      </c>
    </row>
    <row r="87" spans="1:207" s="47" customFormat="1" ht="27" customHeight="1" x14ac:dyDescent="0.25">
      <c r="A87" s="34" t="s">
        <v>592</v>
      </c>
      <c r="B87" s="34" t="s">
        <v>670</v>
      </c>
      <c r="C87" s="35" t="s">
        <v>553</v>
      </c>
      <c r="D87" s="35" t="s">
        <v>713</v>
      </c>
      <c r="E87" s="94">
        <v>1207</v>
      </c>
      <c r="F87" s="35" t="s">
        <v>714</v>
      </c>
      <c r="G87" s="35" t="s">
        <v>553</v>
      </c>
      <c r="H87" s="96">
        <v>3598</v>
      </c>
      <c r="I87" s="92">
        <v>4743428</v>
      </c>
      <c r="J87" s="92">
        <v>0</v>
      </c>
      <c r="K87" s="92">
        <v>0</v>
      </c>
      <c r="L87" s="92">
        <v>0</v>
      </c>
      <c r="M87" s="92">
        <v>0</v>
      </c>
      <c r="N87" s="92">
        <v>0</v>
      </c>
      <c r="O87" s="92">
        <v>0</v>
      </c>
      <c r="P87" s="92">
        <v>0</v>
      </c>
      <c r="Q87" s="92">
        <v>-4306697</v>
      </c>
      <c r="R87" s="92">
        <v>0</v>
      </c>
      <c r="S87" s="92">
        <v>0</v>
      </c>
      <c r="T87" s="92">
        <v>0</v>
      </c>
      <c r="U87" s="92">
        <v>0</v>
      </c>
      <c r="V87" s="92">
        <v>0</v>
      </c>
      <c r="W87" s="92">
        <v>0</v>
      </c>
      <c r="X87" s="92">
        <v>0</v>
      </c>
      <c r="Y87" s="92">
        <v>0</v>
      </c>
      <c r="Z87" s="92">
        <v>0</v>
      </c>
      <c r="AA87" s="92">
        <v>0</v>
      </c>
      <c r="AB87" s="92">
        <v>0</v>
      </c>
      <c r="AC87" s="92">
        <v>0</v>
      </c>
      <c r="AD87" s="92">
        <v>0</v>
      </c>
      <c r="AE87" s="92">
        <v>0</v>
      </c>
      <c r="AF87" s="92">
        <v>0</v>
      </c>
      <c r="AG87" s="92">
        <v>0</v>
      </c>
      <c r="AH87" s="92">
        <v>0</v>
      </c>
      <c r="AI87" s="92">
        <v>0</v>
      </c>
      <c r="AJ87" s="92">
        <v>0</v>
      </c>
      <c r="AK87" s="92">
        <v>0</v>
      </c>
      <c r="AL87" s="92">
        <v>0</v>
      </c>
      <c r="AM87" s="92">
        <v>0</v>
      </c>
      <c r="AN87" s="92">
        <v>0</v>
      </c>
      <c r="AO87" s="92">
        <v>0</v>
      </c>
      <c r="AP87" s="92">
        <v>0</v>
      </c>
      <c r="AQ87" s="92">
        <v>0</v>
      </c>
      <c r="AR87" s="92">
        <v>0</v>
      </c>
      <c r="AS87" s="92">
        <v>0</v>
      </c>
      <c r="AT87" s="92">
        <v>0</v>
      </c>
      <c r="AU87" s="92">
        <v>0</v>
      </c>
      <c r="AV87" s="92">
        <v>0</v>
      </c>
      <c r="AW87" s="92">
        <v>0</v>
      </c>
      <c r="AX87" s="92">
        <v>0</v>
      </c>
      <c r="AY87" s="92">
        <v>0</v>
      </c>
      <c r="AZ87" s="92">
        <v>0</v>
      </c>
      <c r="BA87" s="92">
        <v>0</v>
      </c>
      <c r="BB87" s="92">
        <v>0</v>
      </c>
      <c r="BC87" s="92">
        <v>0</v>
      </c>
      <c r="BD87" s="92">
        <v>0</v>
      </c>
      <c r="BE87" s="92">
        <v>0</v>
      </c>
      <c r="BF87" s="92">
        <v>0</v>
      </c>
      <c r="BG87" s="92">
        <v>0</v>
      </c>
      <c r="BH87" s="92">
        <v>0</v>
      </c>
      <c r="BI87" s="92">
        <v>0</v>
      </c>
      <c r="BJ87" s="92">
        <v>0</v>
      </c>
      <c r="BK87" s="92">
        <v>0</v>
      </c>
      <c r="BL87" s="92">
        <v>0</v>
      </c>
      <c r="BM87" s="92">
        <v>0</v>
      </c>
      <c r="BN87" s="92">
        <v>0</v>
      </c>
      <c r="BO87" s="92">
        <v>0</v>
      </c>
      <c r="BP87" s="92">
        <v>0</v>
      </c>
      <c r="BQ87" s="92">
        <v>0</v>
      </c>
      <c r="BR87" s="92">
        <v>0</v>
      </c>
      <c r="BS87" s="92">
        <v>0</v>
      </c>
      <c r="BT87" s="92">
        <v>0</v>
      </c>
      <c r="BU87" s="92">
        <v>3261</v>
      </c>
      <c r="BV87" s="92">
        <v>0</v>
      </c>
      <c r="BW87" s="92">
        <v>0</v>
      </c>
      <c r="BX87" s="92">
        <v>0</v>
      </c>
      <c r="BY87" s="92">
        <v>0</v>
      </c>
      <c r="BZ87" s="92">
        <v>0</v>
      </c>
      <c r="CA87" s="92">
        <v>0</v>
      </c>
      <c r="CB87" s="92">
        <v>0</v>
      </c>
      <c r="CC87" s="92">
        <v>0</v>
      </c>
      <c r="CD87" s="92">
        <v>0</v>
      </c>
      <c r="CE87" s="92">
        <v>0</v>
      </c>
      <c r="CF87" s="92">
        <v>0</v>
      </c>
      <c r="CG87" s="92">
        <v>0</v>
      </c>
      <c r="CH87" s="92">
        <v>0</v>
      </c>
      <c r="CI87" s="92">
        <v>0</v>
      </c>
      <c r="CJ87" s="92">
        <v>0</v>
      </c>
      <c r="CK87" s="92">
        <v>0</v>
      </c>
      <c r="CL87" s="92">
        <v>0</v>
      </c>
      <c r="CM87" s="92">
        <v>0</v>
      </c>
      <c r="CN87" s="92">
        <v>0</v>
      </c>
      <c r="CO87" s="92">
        <v>0</v>
      </c>
      <c r="CP87" s="92">
        <v>0</v>
      </c>
      <c r="CQ87" s="92">
        <v>0</v>
      </c>
      <c r="CR87" s="92">
        <v>0</v>
      </c>
      <c r="CS87" s="92">
        <v>421587</v>
      </c>
      <c r="CT87" s="92">
        <v>0</v>
      </c>
      <c r="CU87" s="92">
        <v>0</v>
      </c>
      <c r="CV87" s="92">
        <v>0</v>
      </c>
      <c r="CW87" s="92">
        <v>0</v>
      </c>
      <c r="CX87" s="92">
        <v>0</v>
      </c>
      <c r="CY87" s="92">
        <v>0</v>
      </c>
      <c r="CZ87" s="92">
        <v>0</v>
      </c>
      <c r="DA87" s="92">
        <v>0</v>
      </c>
      <c r="DB87" s="92">
        <v>0</v>
      </c>
      <c r="DC87" s="92">
        <v>0</v>
      </c>
      <c r="DD87" s="92">
        <v>0</v>
      </c>
      <c r="DE87" s="92">
        <v>0</v>
      </c>
      <c r="DF87" s="92">
        <v>0</v>
      </c>
      <c r="DG87" s="92">
        <v>0</v>
      </c>
      <c r="DH87" s="92">
        <v>0</v>
      </c>
      <c r="DI87" s="92">
        <v>0</v>
      </c>
      <c r="DJ87" s="92">
        <v>0</v>
      </c>
      <c r="DK87" s="92">
        <v>0</v>
      </c>
      <c r="DL87" s="92">
        <v>0</v>
      </c>
      <c r="DM87" s="92">
        <v>0</v>
      </c>
      <c r="DN87" s="92">
        <v>0</v>
      </c>
      <c r="DO87" s="92">
        <v>0</v>
      </c>
      <c r="DP87" s="92">
        <v>0</v>
      </c>
      <c r="DQ87" s="92">
        <v>0</v>
      </c>
      <c r="DR87" s="92">
        <v>0</v>
      </c>
      <c r="DS87" s="92">
        <v>0</v>
      </c>
      <c r="DT87" s="92">
        <v>0</v>
      </c>
      <c r="DU87" s="92">
        <v>0</v>
      </c>
      <c r="DV87" s="92">
        <v>0</v>
      </c>
      <c r="DW87" s="92">
        <v>0</v>
      </c>
      <c r="DX87" s="92">
        <v>0</v>
      </c>
      <c r="DY87" s="92">
        <v>11883</v>
      </c>
      <c r="DZ87" s="92">
        <v>0</v>
      </c>
      <c r="EA87" s="92">
        <v>0</v>
      </c>
      <c r="EB87" s="92">
        <v>0</v>
      </c>
      <c r="EC87" s="92">
        <v>0</v>
      </c>
      <c r="ED87" s="92">
        <v>0</v>
      </c>
      <c r="EE87" s="92">
        <v>0</v>
      </c>
      <c r="EF87" s="92">
        <v>0</v>
      </c>
      <c r="EG87" s="92">
        <v>0</v>
      </c>
      <c r="EH87" s="92">
        <v>0</v>
      </c>
      <c r="EI87" s="92">
        <v>0</v>
      </c>
      <c r="EJ87" s="92">
        <v>0</v>
      </c>
      <c r="EK87" s="92">
        <v>0</v>
      </c>
      <c r="EL87" s="92">
        <v>0</v>
      </c>
      <c r="EM87" s="92">
        <v>0</v>
      </c>
      <c r="EN87" s="92">
        <v>0</v>
      </c>
      <c r="EO87" s="92">
        <v>0</v>
      </c>
      <c r="EP87" s="92">
        <v>0</v>
      </c>
      <c r="EQ87" s="92">
        <v>0</v>
      </c>
      <c r="ER87" s="92">
        <v>0</v>
      </c>
      <c r="ES87" s="92">
        <v>0</v>
      </c>
      <c r="ET87" s="92">
        <v>0</v>
      </c>
      <c r="EU87" s="92">
        <v>0</v>
      </c>
      <c r="EV87" s="92">
        <v>0</v>
      </c>
      <c r="EW87" s="92">
        <v>0</v>
      </c>
      <c r="EX87" s="92">
        <v>0</v>
      </c>
      <c r="EY87" s="92">
        <v>0</v>
      </c>
      <c r="EZ87" s="92">
        <v>0</v>
      </c>
      <c r="FA87" s="92">
        <v>0</v>
      </c>
      <c r="FB87" s="92">
        <v>0</v>
      </c>
      <c r="FC87" s="92">
        <v>0</v>
      </c>
      <c r="FD87" s="92">
        <v>0</v>
      </c>
      <c r="FE87" s="92">
        <v>0</v>
      </c>
      <c r="FF87" s="92">
        <v>0</v>
      </c>
      <c r="FG87" s="92">
        <v>0</v>
      </c>
      <c r="FH87" s="92">
        <v>0</v>
      </c>
      <c r="FI87" s="92">
        <v>0</v>
      </c>
      <c r="FJ87" s="92">
        <v>0</v>
      </c>
      <c r="FK87" s="92">
        <v>0</v>
      </c>
      <c r="FL87" s="92">
        <v>0</v>
      </c>
      <c r="FM87" s="92">
        <v>0</v>
      </c>
      <c r="FN87" s="92">
        <v>0</v>
      </c>
      <c r="FO87" s="92">
        <v>0</v>
      </c>
      <c r="FP87" s="92">
        <v>0</v>
      </c>
      <c r="FQ87" s="92">
        <v>0</v>
      </c>
      <c r="FR87" s="92">
        <v>0</v>
      </c>
      <c r="FS87" s="92">
        <v>0</v>
      </c>
      <c r="FT87" s="92">
        <v>0</v>
      </c>
      <c r="FU87" s="92">
        <v>0</v>
      </c>
      <c r="FV87" s="92">
        <v>0</v>
      </c>
      <c r="FW87" s="92">
        <v>0</v>
      </c>
      <c r="FX87" s="92">
        <v>0</v>
      </c>
      <c r="FY87" s="92">
        <v>0</v>
      </c>
      <c r="FZ87" s="92">
        <v>0</v>
      </c>
      <c r="GA87" s="92">
        <v>0</v>
      </c>
      <c r="GB87" s="92">
        <v>0</v>
      </c>
      <c r="GC87" s="92" t="s">
        <v>553</v>
      </c>
      <c r="GD87" s="92" t="s">
        <v>553</v>
      </c>
      <c r="GE87" s="92" t="s">
        <v>553</v>
      </c>
      <c r="GF87" s="92" t="s">
        <v>553</v>
      </c>
      <c r="GG87" s="47" t="s">
        <v>593</v>
      </c>
      <c r="GH87" s="47" t="s">
        <v>594</v>
      </c>
      <c r="GI87" s="93" t="s">
        <v>1010</v>
      </c>
      <c r="GJ87" s="47" t="s">
        <v>595</v>
      </c>
      <c r="GK87" s="47" t="s">
        <v>596</v>
      </c>
      <c r="GL87" s="47" t="s">
        <v>597</v>
      </c>
      <c r="GM87" s="93" t="s">
        <v>1010</v>
      </c>
      <c r="GN87" s="47" t="s">
        <v>598</v>
      </c>
      <c r="GO87" s="92" t="str" cm="1">
        <f t="array" ref="GO87">IFERROR(_xlfn.IFS(ResearchInput[[#This Row],[Type]]="HRI",SUMIFS('FTSE | FTFE'!$P$8:$P$77,'FTSE | FTFE'!$H$8:$H$77,A87),ResearchInput[[#This Row],[Type]]="UNIV",SUMIFS('FTSE | FTFE'!$P$104:$P$139,'FTSE | FTFE'!$H$104:$H$139,A87),OR(ResearchInput[[#This Row],[Type]]="TSTC",ResearchInput[[#This Row],[Type]]="LSC"),SUMIFS('FTSE | FTFE'!$O$88:$O$96,'FTSE | FTFE'!$H$88:$H$96,A87),ResearchInput[[#This Row],[Type]]="AHM",SUMIFS(Hidden!$H$43:$H$46,Hidden!$G$42:$G$45,A87)),"N/A")</f>
        <v>N/A</v>
      </c>
      <c r="GP87" s="92" t="str" cm="1">
        <f t="array" ref="GP87">IFERROR(_xlfn.IFS(ResearchInput[[#This Row],[Type]]="HRI",SUMIFS('FTSE | FTFE'!$Q$8:$Q$77,'FTSE | FTFE'!$H$8:$H$77,A87),ResearchInput[[#This Row],[Type]]="UNIV",SUMIFS('FTSE | FTFE'!$Q$104:$Q$139,'FTSE | FTFE'!$H$104:$H$139,A87),OR(ResearchInput[[#This Row],[Type]]="TSTC",ResearchInput[[#This Row],[Type]]="LSC"),SUMIFS('FTSE | FTFE'!$P$88:$P$96,'FTSE | FTFE'!$H$88:$H$96,A87)),"N/A")</f>
        <v>N/A</v>
      </c>
      <c r="GQ87" s="92">
        <v>0</v>
      </c>
      <c r="GR87" s="92">
        <f>SUM(ResearchInput[[#This Row],[Fed.Comp]],ResearchInput[[#This Row],[Fed.Eng]],ResearchInput[[#This Row],[Fed.Geo]],ResearchInput[[#This Row],[Fed.Life]],ResearchInput[[#This Row],[Fed.Math]],ResearchInput[[#This Row],[Fed.Phys]],ResearchInput[[#This Row],[Fed.Psyc]],ResearchInput[[#This Row],[Fed.Soc]],ResearchInput[[#This Row],[Fed.Othr]],ResearchInput[[#This Row],[Fed.Non]])</f>
        <v>436731</v>
      </c>
      <c r="GS87" s="92">
        <f>SUM(ResearchInput[[#This Row],[St.Comp]],ResearchInput[[#This Row],[St.Eng]],ResearchInput[[#This Row],[St.Geo]],ResearchInput[[#This Row],[St.Life]],ResearchInput[[#This Row],[St.Math]],ResearchInput[[#This Row],[St.Phys]],ResearchInput[[#This Row],[St.Psyc]],ResearchInput[[#This Row],[St.Soc]],ResearchInput[[#This Row],[St.Othr]],ResearchInput[[#This Row],[St.Non]])</f>
        <v>0</v>
      </c>
      <c r="GT87" s="92">
        <f>SUM(ResearchInput[[#This Row],[St.C&amp;G.Comp]],ResearchInput[[#This Row],[St.C&amp;G.Eng]],ResearchInput[[#This Row],[St.C&amp;G.Geo]],ResearchInput[[#This Row],[St.C&amp;G.Life]],ResearchInput[[#This Row],[St.C&amp;G.Math]],ResearchInput[[#This Row],[St.C&amp;G.Phys]],ResearchInput[[#This Row],[St.C&amp;G.Psyc]],ResearchInput[[#This Row],[St.C&amp;G.Soc]],ResearchInput[[#This Row],[St.C&amp;G.Othr]],ResearchInput[[#This Row],[St.C&amp;G.Non]])</f>
        <v>0</v>
      </c>
      <c r="GU87" s="92">
        <f>SUM(ResearchInput[[#This Row],[St.All.Comp]],ResearchInput[[#This Row],[St.All.Eng]],ResearchInput[[#This Row],[St.All.Geo]],ResearchInput[[#This Row],[St.All.Life]],ResearchInput[[#This Row],[St.All.Math]],ResearchInput[[#This Row],[St.All.Phys]],ResearchInput[[#This Row],[St.All.Psyc]],ResearchInput[[#This Row],[St.All.Soc]],ResearchInput[[#This Row],[St.All.Othr]],ResearchInput[[#This Row],[St.All.Non]])</f>
        <v>0</v>
      </c>
      <c r="GV87" s="92">
        <f>SUM(ResearchInput[[#This Row],[Inst.Comp]],ResearchInput[[#This Row],[Inst.Eng]],ResearchInput[[#This Row],[Inst.Geo]],ResearchInput[[#This Row],[Inst.Life]],ResearchInput[[#This Row],[Inst.Math]],ResearchInput[[#This Row],[Inst.Phys]],ResearchInput[[#This Row],[Inst.Psyc]],ResearchInput[[#This Row],[Inst.Soc]],ResearchInput[[#This Row],[Inst.Othr]],ResearchInput[[#This Row],[Inst.Non]])</f>
        <v>0</v>
      </c>
      <c r="GW87" s="92">
        <f>SUM(ResearchInput[[#This Row],[P4P.Comp]],ResearchInput[[#This Row],[P4P.Eng]],ResearchInput[[#This Row],[P4P.Geo]],ResearchInput[[#This Row],[P4P.Life]],ResearchInput[[#This Row],[P4P.Math]],ResearchInput[[#This Row],[P4P.Phys]],ResearchInput[[#This Row],[P4P.Psyc]],ResearchInput[[#This Row],[P4P.Soc]],ResearchInput[[#This Row],[P4P.Othr]],ResearchInput[[#This Row],[P4P.Non]])</f>
        <v>0</v>
      </c>
      <c r="GX87" s="92">
        <f>SUM(ResearchInput[[#This Row],[PNP.Comp]],ResearchInput[[#This Row],[PNP.Eng]],ResearchInput[[#This Row],[PNP.Geo]],ResearchInput[[#This Row],[PNP.Life]],ResearchInput[[#This Row],[PNP.Math]],ResearchInput[[#This Row],[PNP.Phys]],ResearchInput[[#This Row],[PNP.Psyc]],ResearchInput[[#This Row],[PNP.Soc]],ResearchInput[[#This Row],[PNP.Othr]],ResearchInput[[#This Row],[PNP.Non]])</f>
        <v>0</v>
      </c>
      <c r="GY87" s="92">
        <f>SUM(ResearchInput[[#This Row],[P.All.Comp]],ResearchInput[[#This Row],[P.All.Eng]],ResearchInput[[#This Row],[P.All.Geo]],ResearchInput[[#This Row],[P.All.Life]],ResearchInput[[#This Row],[P.All.Math]],ResearchInput[[#This Row],[P.All.Phys]],ResearchInput[[#This Row],[P.All.Psyc]],ResearchInput[[#This Row],[P.All.Soc]],ResearchInput[[#This Row],[P.All.Othr]],ResearchInput[[#This Row],[P.All.Non]])</f>
        <v>0</v>
      </c>
    </row>
    <row r="88" spans="1:207" s="47" customFormat="1" ht="27" customHeight="1" x14ac:dyDescent="0.25">
      <c r="A88" s="34" t="s">
        <v>599</v>
      </c>
      <c r="B88" s="34" t="s">
        <v>670</v>
      </c>
      <c r="C88" s="35" t="s">
        <v>553</v>
      </c>
      <c r="D88" s="35" t="s">
        <v>713</v>
      </c>
      <c r="E88" s="94">
        <v>1208</v>
      </c>
      <c r="F88" s="35" t="s">
        <v>714</v>
      </c>
      <c r="G88" s="35" t="s">
        <v>553</v>
      </c>
      <c r="H88" s="96">
        <v>23053</v>
      </c>
      <c r="I88" s="92">
        <v>0</v>
      </c>
      <c r="J88" s="92">
        <v>0</v>
      </c>
      <c r="K88" s="92">
        <v>0</v>
      </c>
      <c r="L88" s="92">
        <v>0</v>
      </c>
      <c r="M88" s="92">
        <v>0</v>
      </c>
      <c r="N88" s="92">
        <v>0</v>
      </c>
      <c r="O88" s="92">
        <v>22291</v>
      </c>
      <c r="P88" s="92">
        <v>0</v>
      </c>
      <c r="Q88" s="92">
        <v>0</v>
      </c>
      <c r="R88" s="92">
        <v>0</v>
      </c>
      <c r="S88" s="92">
        <v>0</v>
      </c>
      <c r="T88" s="92">
        <v>0</v>
      </c>
      <c r="U88" s="92">
        <v>0</v>
      </c>
      <c r="V88" s="92">
        <v>0</v>
      </c>
      <c r="W88" s="92">
        <v>0</v>
      </c>
      <c r="X88" s="92">
        <v>0</v>
      </c>
      <c r="Y88" s="92">
        <v>0</v>
      </c>
      <c r="Z88" s="92">
        <v>0</v>
      </c>
      <c r="AA88" s="92">
        <v>0</v>
      </c>
      <c r="AB88" s="92">
        <v>0</v>
      </c>
      <c r="AC88" s="92">
        <v>0</v>
      </c>
      <c r="AD88" s="92">
        <v>0</v>
      </c>
      <c r="AE88" s="92">
        <v>0</v>
      </c>
      <c r="AF88" s="92">
        <v>0</v>
      </c>
      <c r="AG88" s="92">
        <v>0</v>
      </c>
      <c r="AH88" s="92">
        <v>0</v>
      </c>
      <c r="AI88" s="92">
        <v>0</v>
      </c>
      <c r="AJ88" s="92">
        <v>0</v>
      </c>
      <c r="AK88" s="92">
        <v>0</v>
      </c>
      <c r="AL88" s="92">
        <v>0</v>
      </c>
      <c r="AM88" s="92">
        <v>0</v>
      </c>
      <c r="AN88" s="92">
        <v>0</v>
      </c>
      <c r="AO88" s="92">
        <v>0</v>
      </c>
      <c r="AP88" s="92">
        <v>0</v>
      </c>
      <c r="AQ88" s="92">
        <v>0</v>
      </c>
      <c r="AR88" s="92">
        <v>0</v>
      </c>
      <c r="AS88" s="92">
        <v>0</v>
      </c>
      <c r="AT88" s="92">
        <v>0</v>
      </c>
      <c r="AU88" s="92">
        <v>0</v>
      </c>
      <c r="AV88" s="92">
        <v>0</v>
      </c>
      <c r="AW88" s="92">
        <v>0</v>
      </c>
      <c r="AX88" s="92">
        <v>0</v>
      </c>
      <c r="AY88" s="92">
        <v>0</v>
      </c>
      <c r="AZ88" s="92">
        <v>0</v>
      </c>
      <c r="BA88" s="92">
        <v>0</v>
      </c>
      <c r="BB88" s="92">
        <v>0</v>
      </c>
      <c r="BC88" s="92">
        <v>0</v>
      </c>
      <c r="BD88" s="92">
        <v>0</v>
      </c>
      <c r="BE88" s="92">
        <v>0</v>
      </c>
      <c r="BF88" s="92">
        <v>0</v>
      </c>
      <c r="BG88" s="92">
        <v>0</v>
      </c>
      <c r="BH88" s="92">
        <v>0</v>
      </c>
      <c r="BI88" s="92">
        <v>0</v>
      </c>
      <c r="BJ88" s="92">
        <v>0</v>
      </c>
      <c r="BK88" s="92">
        <v>0</v>
      </c>
      <c r="BL88" s="92">
        <v>0</v>
      </c>
      <c r="BM88" s="92">
        <v>0</v>
      </c>
      <c r="BN88" s="92">
        <v>0</v>
      </c>
      <c r="BO88" s="92">
        <v>0</v>
      </c>
      <c r="BP88" s="92">
        <v>0</v>
      </c>
      <c r="BQ88" s="92">
        <v>0</v>
      </c>
      <c r="BR88" s="92">
        <v>0</v>
      </c>
      <c r="BS88" s="92">
        <v>0</v>
      </c>
      <c r="BT88" s="92">
        <v>0</v>
      </c>
      <c r="BU88" s="92">
        <v>0</v>
      </c>
      <c r="BV88" s="92">
        <v>0</v>
      </c>
      <c r="BW88" s="92">
        <v>0</v>
      </c>
      <c r="BX88" s="92">
        <v>0</v>
      </c>
      <c r="BY88" s="92">
        <v>0</v>
      </c>
      <c r="BZ88" s="92">
        <v>0</v>
      </c>
      <c r="CA88" s="92">
        <v>0</v>
      </c>
      <c r="CB88" s="92">
        <v>0</v>
      </c>
      <c r="CC88" s="92">
        <v>0</v>
      </c>
      <c r="CD88" s="92">
        <v>0</v>
      </c>
      <c r="CE88" s="92">
        <v>0</v>
      </c>
      <c r="CF88" s="92">
        <v>0</v>
      </c>
      <c r="CG88" s="92">
        <v>0</v>
      </c>
      <c r="CH88" s="92">
        <v>0</v>
      </c>
      <c r="CI88" s="92">
        <v>0</v>
      </c>
      <c r="CJ88" s="92">
        <v>0</v>
      </c>
      <c r="CK88" s="92">
        <v>0</v>
      </c>
      <c r="CL88" s="92">
        <v>0</v>
      </c>
      <c r="CM88" s="92">
        <v>0</v>
      </c>
      <c r="CN88" s="92">
        <v>0</v>
      </c>
      <c r="CO88" s="92">
        <v>0</v>
      </c>
      <c r="CP88" s="92">
        <v>0</v>
      </c>
      <c r="CQ88" s="92">
        <v>0</v>
      </c>
      <c r="CR88" s="92">
        <v>0</v>
      </c>
      <c r="CS88" s="92">
        <v>0</v>
      </c>
      <c r="CT88" s="92">
        <v>0</v>
      </c>
      <c r="CU88" s="92">
        <v>0</v>
      </c>
      <c r="CV88" s="92">
        <v>0</v>
      </c>
      <c r="CW88" s="92">
        <v>0</v>
      </c>
      <c r="CX88" s="92">
        <v>0</v>
      </c>
      <c r="CY88" s="92">
        <v>0</v>
      </c>
      <c r="CZ88" s="92">
        <v>0</v>
      </c>
      <c r="DA88" s="92">
        <v>0</v>
      </c>
      <c r="DB88" s="92">
        <v>0</v>
      </c>
      <c r="DC88" s="92">
        <v>0</v>
      </c>
      <c r="DD88" s="92">
        <v>0</v>
      </c>
      <c r="DE88" s="92">
        <v>0</v>
      </c>
      <c r="DF88" s="92">
        <v>0</v>
      </c>
      <c r="DG88" s="92">
        <v>0</v>
      </c>
      <c r="DH88" s="92">
        <v>0</v>
      </c>
      <c r="DI88" s="92">
        <v>0</v>
      </c>
      <c r="DJ88" s="92">
        <v>0</v>
      </c>
      <c r="DK88" s="92">
        <v>0</v>
      </c>
      <c r="DL88" s="92">
        <v>0</v>
      </c>
      <c r="DM88" s="92">
        <v>0</v>
      </c>
      <c r="DN88" s="92">
        <v>0</v>
      </c>
      <c r="DO88" s="92">
        <v>0</v>
      </c>
      <c r="DP88" s="92">
        <v>0</v>
      </c>
      <c r="DQ88" s="92">
        <v>0</v>
      </c>
      <c r="DR88" s="92">
        <v>0</v>
      </c>
      <c r="DS88" s="92">
        <v>0</v>
      </c>
      <c r="DT88" s="92">
        <v>0</v>
      </c>
      <c r="DU88" s="92">
        <v>0</v>
      </c>
      <c r="DV88" s="92">
        <v>0</v>
      </c>
      <c r="DW88" s="92">
        <v>0</v>
      </c>
      <c r="DX88" s="92">
        <v>0</v>
      </c>
      <c r="DY88" s="92">
        <v>0</v>
      </c>
      <c r="DZ88" s="92">
        <v>0</v>
      </c>
      <c r="EA88" s="92">
        <v>0</v>
      </c>
      <c r="EB88" s="92">
        <v>0</v>
      </c>
      <c r="EC88" s="92">
        <v>0</v>
      </c>
      <c r="ED88" s="92">
        <v>0</v>
      </c>
      <c r="EE88" s="92">
        <v>0</v>
      </c>
      <c r="EF88" s="92">
        <v>0</v>
      </c>
      <c r="EG88" s="92">
        <v>0</v>
      </c>
      <c r="EH88" s="92">
        <v>0</v>
      </c>
      <c r="EI88" s="92">
        <v>0</v>
      </c>
      <c r="EJ88" s="92">
        <v>0</v>
      </c>
      <c r="EK88" s="92">
        <v>0</v>
      </c>
      <c r="EL88" s="92">
        <v>0</v>
      </c>
      <c r="EM88" s="92">
        <v>22291</v>
      </c>
      <c r="EN88" s="92">
        <v>0</v>
      </c>
      <c r="EO88" s="92">
        <v>0</v>
      </c>
      <c r="EP88" s="92">
        <v>0</v>
      </c>
      <c r="EQ88" s="92">
        <v>0</v>
      </c>
      <c r="ER88" s="92">
        <v>0</v>
      </c>
      <c r="ES88" s="92">
        <v>0</v>
      </c>
      <c r="ET88" s="92">
        <v>0</v>
      </c>
      <c r="EU88" s="92">
        <v>0</v>
      </c>
      <c r="EV88" s="92">
        <v>0</v>
      </c>
      <c r="EW88" s="92">
        <v>0</v>
      </c>
      <c r="EX88" s="92">
        <v>0</v>
      </c>
      <c r="EY88" s="92">
        <v>0</v>
      </c>
      <c r="EZ88" s="92">
        <v>0</v>
      </c>
      <c r="FA88" s="92">
        <v>0</v>
      </c>
      <c r="FB88" s="92">
        <v>0</v>
      </c>
      <c r="FC88" s="92">
        <v>0</v>
      </c>
      <c r="FD88" s="92">
        <v>0</v>
      </c>
      <c r="FE88" s="92">
        <v>0</v>
      </c>
      <c r="FF88" s="92">
        <v>0</v>
      </c>
      <c r="FG88" s="92">
        <v>0</v>
      </c>
      <c r="FH88" s="92">
        <v>0</v>
      </c>
      <c r="FI88" s="92">
        <v>0</v>
      </c>
      <c r="FJ88" s="92">
        <v>0</v>
      </c>
      <c r="FK88" s="92">
        <v>0</v>
      </c>
      <c r="FL88" s="92">
        <v>0</v>
      </c>
      <c r="FM88" s="92">
        <v>0</v>
      </c>
      <c r="FN88" s="92">
        <v>0</v>
      </c>
      <c r="FO88" s="92">
        <v>0</v>
      </c>
      <c r="FP88" s="92">
        <v>0</v>
      </c>
      <c r="FQ88" s="92">
        <v>0</v>
      </c>
      <c r="FR88" s="92">
        <v>0</v>
      </c>
      <c r="FS88" s="92">
        <v>0</v>
      </c>
      <c r="FT88" s="92">
        <v>0</v>
      </c>
      <c r="FU88" s="92">
        <v>0</v>
      </c>
      <c r="FV88" s="92">
        <v>0</v>
      </c>
      <c r="FW88" s="92">
        <v>0</v>
      </c>
      <c r="FX88" s="92">
        <v>0</v>
      </c>
      <c r="FY88" s="92">
        <v>0</v>
      </c>
      <c r="FZ88" s="92">
        <v>0</v>
      </c>
      <c r="GA88" s="92">
        <v>0</v>
      </c>
      <c r="GB88" s="92">
        <v>0</v>
      </c>
      <c r="GC88" s="92" t="s">
        <v>553</v>
      </c>
      <c r="GD88" s="92" t="s">
        <v>553</v>
      </c>
      <c r="GE88" s="92" t="s">
        <v>553</v>
      </c>
      <c r="GF88" s="92" t="s">
        <v>553</v>
      </c>
      <c r="GG88" s="47" t="s">
        <v>600</v>
      </c>
      <c r="GH88" s="47" t="s">
        <v>601</v>
      </c>
      <c r="GI88" s="93">
        <v>2149022429</v>
      </c>
      <c r="GJ88" s="47" t="s">
        <v>602</v>
      </c>
      <c r="GK88" s="47" t="s">
        <v>603</v>
      </c>
      <c r="GL88" s="47" t="s">
        <v>604</v>
      </c>
      <c r="GM88" s="93">
        <v>2149022429</v>
      </c>
      <c r="GN88" s="47" t="s">
        <v>605</v>
      </c>
      <c r="GO88" s="92" t="str" cm="1">
        <f t="array" ref="GO88">IFERROR(_xlfn.IFS(ResearchInput[[#This Row],[Type]]="HRI",SUMIFS('FTSE | FTFE'!$P$8:$P$77,'FTSE | FTFE'!$H$8:$H$77,A88),ResearchInput[[#This Row],[Type]]="UNIV",SUMIFS('FTSE | FTFE'!$P$104:$P$139,'FTSE | FTFE'!$H$104:$H$139,A88),OR(ResearchInput[[#This Row],[Type]]="TSTC",ResearchInput[[#This Row],[Type]]="LSC"),SUMIFS('FTSE | FTFE'!$O$88:$O$96,'FTSE | FTFE'!$H$88:$H$96,A88),ResearchInput[[#This Row],[Type]]="AHM",SUMIFS(Hidden!$H$43:$H$46,Hidden!$G$42:$G$45,A88)),"N/A")</f>
        <v>N/A</v>
      </c>
      <c r="GP88" s="92" t="str" cm="1">
        <f t="array" ref="GP88">IFERROR(_xlfn.IFS(ResearchInput[[#This Row],[Type]]="HRI",SUMIFS('FTSE | FTFE'!$Q$8:$Q$77,'FTSE | FTFE'!$H$8:$H$77,A88),ResearchInput[[#This Row],[Type]]="UNIV",SUMIFS('FTSE | FTFE'!$Q$104:$Q$139,'FTSE | FTFE'!$H$104:$H$139,A88),OR(ResearchInput[[#This Row],[Type]]="TSTC",ResearchInput[[#This Row],[Type]]="LSC"),SUMIFS('FTSE | FTFE'!$P$88:$P$96,'FTSE | FTFE'!$H$88:$H$96,A88)),"N/A")</f>
        <v>N/A</v>
      </c>
      <c r="GQ88" s="92">
        <v>0</v>
      </c>
      <c r="GR88" s="92">
        <f>SUM(ResearchInput[[#This Row],[Fed.Comp]],ResearchInput[[#This Row],[Fed.Eng]],ResearchInput[[#This Row],[Fed.Geo]],ResearchInput[[#This Row],[Fed.Life]],ResearchInput[[#This Row],[Fed.Math]],ResearchInput[[#This Row],[Fed.Phys]],ResearchInput[[#This Row],[Fed.Psyc]],ResearchInput[[#This Row],[Fed.Soc]],ResearchInput[[#This Row],[Fed.Othr]],ResearchInput[[#This Row],[Fed.Non]])</f>
        <v>0</v>
      </c>
      <c r="GS88" s="92">
        <f>SUM(ResearchInput[[#This Row],[St.Comp]],ResearchInput[[#This Row],[St.Eng]],ResearchInput[[#This Row],[St.Geo]],ResearchInput[[#This Row],[St.Life]],ResearchInput[[#This Row],[St.Math]],ResearchInput[[#This Row],[St.Phys]],ResearchInput[[#This Row],[St.Psyc]],ResearchInput[[#This Row],[St.Soc]],ResearchInput[[#This Row],[St.Othr]],ResearchInput[[#This Row],[St.Non]])</f>
        <v>0</v>
      </c>
      <c r="GT88" s="92">
        <f>SUM(ResearchInput[[#This Row],[St.C&amp;G.Comp]],ResearchInput[[#This Row],[St.C&amp;G.Eng]],ResearchInput[[#This Row],[St.C&amp;G.Geo]],ResearchInput[[#This Row],[St.C&amp;G.Life]],ResearchInput[[#This Row],[St.C&amp;G.Math]],ResearchInput[[#This Row],[St.C&amp;G.Phys]],ResearchInput[[#This Row],[St.C&amp;G.Psyc]],ResearchInput[[#This Row],[St.C&amp;G.Soc]],ResearchInput[[#This Row],[St.C&amp;G.Othr]],ResearchInput[[#This Row],[St.C&amp;G.Non]])</f>
        <v>0</v>
      </c>
      <c r="GU88" s="92">
        <f>SUM(ResearchInput[[#This Row],[St.All.Comp]],ResearchInput[[#This Row],[St.All.Eng]],ResearchInput[[#This Row],[St.All.Geo]],ResearchInput[[#This Row],[St.All.Life]],ResearchInput[[#This Row],[St.All.Math]],ResearchInput[[#This Row],[St.All.Phys]],ResearchInput[[#This Row],[St.All.Psyc]],ResearchInput[[#This Row],[St.All.Soc]],ResearchInput[[#This Row],[St.All.Othr]],ResearchInput[[#This Row],[St.All.Non]])</f>
        <v>0</v>
      </c>
      <c r="GV88" s="92">
        <f>SUM(ResearchInput[[#This Row],[Inst.Comp]],ResearchInput[[#This Row],[Inst.Eng]],ResearchInput[[#This Row],[Inst.Geo]],ResearchInput[[#This Row],[Inst.Life]],ResearchInput[[#This Row],[Inst.Math]],ResearchInput[[#This Row],[Inst.Phys]],ResearchInput[[#This Row],[Inst.Psyc]],ResearchInput[[#This Row],[Inst.Soc]],ResearchInput[[#This Row],[Inst.Othr]],ResearchInput[[#This Row],[Inst.Non]])</f>
        <v>0</v>
      </c>
      <c r="GW88" s="92">
        <f>SUM(ResearchInput[[#This Row],[P4P.Comp]],ResearchInput[[#This Row],[P4P.Eng]],ResearchInput[[#This Row],[P4P.Geo]],ResearchInput[[#This Row],[P4P.Life]],ResearchInput[[#This Row],[P4P.Math]],ResearchInput[[#This Row],[P4P.Phys]],ResearchInput[[#This Row],[P4P.Psyc]],ResearchInput[[#This Row],[P4P.Soc]],ResearchInput[[#This Row],[P4P.Othr]],ResearchInput[[#This Row],[P4P.Non]])</f>
        <v>0</v>
      </c>
      <c r="GX88" s="92">
        <f>SUM(ResearchInput[[#This Row],[PNP.Comp]],ResearchInput[[#This Row],[PNP.Eng]],ResearchInput[[#This Row],[PNP.Geo]],ResearchInput[[#This Row],[PNP.Life]],ResearchInput[[#This Row],[PNP.Math]],ResearchInput[[#This Row],[PNP.Phys]],ResearchInput[[#This Row],[PNP.Psyc]],ResearchInput[[#This Row],[PNP.Soc]],ResearchInput[[#This Row],[PNP.Othr]],ResearchInput[[#This Row],[PNP.Non]])</f>
        <v>22291</v>
      </c>
      <c r="GY88" s="92">
        <f>SUM(ResearchInput[[#This Row],[P.All.Comp]],ResearchInput[[#This Row],[P.All.Eng]],ResearchInput[[#This Row],[P.All.Geo]],ResearchInput[[#This Row],[P.All.Life]],ResearchInput[[#This Row],[P.All.Math]],ResearchInput[[#This Row],[P.All.Phys]],ResearchInput[[#This Row],[P.All.Psyc]],ResearchInput[[#This Row],[P.All.Soc]],ResearchInput[[#This Row],[P.All.Othr]],ResearchInput[[#This Row],[P.All.Non]])</f>
        <v>0</v>
      </c>
    </row>
    <row r="89" spans="1:207" s="47" customFormat="1" ht="27" customHeight="1" x14ac:dyDescent="0.25">
      <c r="A89" s="34" t="s">
        <v>629</v>
      </c>
      <c r="B89" s="34" t="s">
        <v>670</v>
      </c>
      <c r="C89" s="35" t="s">
        <v>553</v>
      </c>
      <c r="D89" s="35" t="s">
        <v>713</v>
      </c>
      <c r="E89" s="94">
        <v>1209</v>
      </c>
      <c r="F89" s="35" t="s">
        <v>714</v>
      </c>
      <c r="G89" s="35" t="s">
        <v>553</v>
      </c>
      <c r="H89" s="96">
        <v>3620</v>
      </c>
      <c r="I89" s="92">
        <v>393622</v>
      </c>
      <c r="J89" s="92">
        <v>0</v>
      </c>
      <c r="K89" s="92">
        <v>0</v>
      </c>
      <c r="L89" s="92">
        <v>0</v>
      </c>
      <c r="M89" s="92">
        <v>0</v>
      </c>
      <c r="N89" s="92">
        <v>0</v>
      </c>
      <c r="O89" s="92">
        <v>479555</v>
      </c>
      <c r="P89" s="92">
        <v>0</v>
      </c>
      <c r="Q89" s="92">
        <v>-379566</v>
      </c>
      <c r="R89" s="92">
        <v>0</v>
      </c>
      <c r="S89" s="92">
        <v>0</v>
      </c>
      <c r="T89" s="92">
        <v>0</v>
      </c>
      <c r="U89" s="92">
        <v>0</v>
      </c>
      <c r="V89" s="92">
        <v>0</v>
      </c>
      <c r="W89" s="92">
        <v>-446311</v>
      </c>
      <c r="X89" s="92">
        <v>0</v>
      </c>
      <c r="Y89" s="92">
        <v>0</v>
      </c>
      <c r="Z89" s="92">
        <v>0</v>
      </c>
      <c r="AA89" s="92">
        <v>0</v>
      </c>
      <c r="AB89" s="92">
        <v>0</v>
      </c>
      <c r="AC89" s="92">
        <v>0</v>
      </c>
      <c r="AD89" s="92">
        <v>0</v>
      </c>
      <c r="AE89" s="92">
        <v>0</v>
      </c>
      <c r="AF89" s="92">
        <v>0</v>
      </c>
      <c r="AG89" s="92">
        <v>9179</v>
      </c>
      <c r="AH89" s="92">
        <v>0</v>
      </c>
      <c r="AI89" s="92">
        <v>0</v>
      </c>
      <c r="AJ89" s="92">
        <v>0</v>
      </c>
      <c r="AK89" s="92">
        <v>0</v>
      </c>
      <c r="AL89" s="92">
        <v>0</v>
      </c>
      <c r="AM89" s="92">
        <v>0</v>
      </c>
      <c r="AN89" s="92">
        <v>0</v>
      </c>
      <c r="AO89" s="92">
        <v>0</v>
      </c>
      <c r="AP89" s="92">
        <v>0</v>
      </c>
      <c r="AQ89" s="92">
        <v>0</v>
      </c>
      <c r="AR89" s="92">
        <v>0</v>
      </c>
      <c r="AS89" s="92">
        <v>0</v>
      </c>
      <c r="AT89" s="92">
        <v>0</v>
      </c>
      <c r="AU89" s="92">
        <v>75000</v>
      </c>
      <c r="AV89" s="92">
        <v>0</v>
      </c>
      <c r="AW89" s="92">
        <v>0</v>
      </c>
      <c r="AX89" s="92">
        <v>0</v>
      </c>
      <c r="AY89" s="92">
        <v>0</v>
      </c>
      <c r="AZ89" s="92">
        <v>0</v>
      </c>
      <c r="BA89" s="92">
        <v>0</v>
      </c>
      <c r="BB89" s="92">
        <v>0</v>
      </c>
      <c r="BC89" s="92">
        <v>0</v>
      </c>
      <c r="BD89" s="92">
        <v>0</v>
      </c>
      <c r="BE89" s="92">
        <v>0</v>
      </c>
      <c r="BF89" s="92">
        <v>0</v>
      </c>
      <c r="BG89" s="92">
        <v>0</v>
      </c>
      <c r="BH89" s="92">
        <v>0</v>
      </c>
      <c r="BI89" s="92">
        <v>0</v>
      </c>
      <c r="BJ89" s="92">
        <v>0</v>
      </c>
      <c r="BK89" s="92">
        <v>0</v>
      </c>
      <c r="BL89" s="92">
        <v>0</v>
      </c>
      <c r="BM89" s="92">
        <v>0</v>
      </c>
      <c r="BN89" s="92">
        <v>0</v>
      </c>
      <c r="BO89" s="92">
        <v>0</v>
      </c>
      <c r="BP89" s="92">
        <v>0</v>
      </c>
      <c r="BQ89" s="92">
        <v>0</v>
      </c>
      <c r="BR89" s="92">
        <v>0</v>
      </c>
      <c r="BS89" s="92">
        <v>0</v>
      </c>
      <c r="BT89" s="92">
        <v>0</v>
      </c>
      <c r="BU89" s="92">
        <v>0</v>
      </c>
      <c r="BV89" s="92">
        <v>0</v>
      </c>
      <c r="BW89" s="92">
        <v>0</v>
      </c>
      <c r="BX89" s="92">
        <v>0</v>
      </c>
      <c r="BY89" s="92">
        <v>0</v>
      </c>
      <c r="BZ89" s="92">
        <v>0</v>
      </c>
      <c r="CA89" s="92">
        <v>1406</v>
      </c>
      <c r="CB89" s="92">
        <v>0</v>
      </c>
      <c r="CC89" s="92">
        <v>0</v>
      </c>
      <c r="CD89" s="92">
        <v>0</v>
      </c>
      <c r="CE89" s="92">
        <v>0</v>
      </c>
      <c r="CF89" s="92">
        <v>0</v>
      </c>
      <c r="CG89" s="92">
        <v>0</v>
      </c>
      <c r="CH89" s="92">
        <v>0</v>
      </c>
      <c r="CI89" s="92">
        <v>0</v>
      </c>
      <c r="CJ89" s="92">
        <v>0</v>
      </c>
      <c r="CK89" s="92">
        <v>0</v>
      </c>
      <c r="CL89" s="92">
        <v>0</v>
      </c>
      <c r="CM89" s="92">
        <v>0</v>
      </c>
      <c r="CN89" s="92">
        <v>0</v>
      </c>
      <c r="CO89" s="92">
        <v>0</v>
      </c>
      <c r="CP89" s="92">
        <v>0</v>
      </c>
      <c r="CQ89" s="92">
        <v>0</v>
      </c>
      <c r="CR89" s="92">
        <v>0</v>
      </c>
      <c r="CS89" s="92">
        <v>0</v>
      </c>
      <c r="CT89" s="92">
        <v>0</v>
      </c>
      <c r="CU89" s="92">
        <v>0</v>
      </c>
      <c r="CV89" s="92">
        <v>0</v>
      </c>
      <c r="CW89" s="92">
        <v>0</v>
      </c>
      <c r="CX89" s="92">
        <v>0</v>
      </c>
      <c r="CY89" s="92">
        <v>4243</v>
      </c>
      <c r="CZ89" s="92">
        <v>0</v>
      </c>
      <c r="DA89" s="92">
        <v>23235</v>
      </c>
      <c r="DB89" s="92">
        <v>0</v>
      </c>
      <c r="DC89" s="92">
        <v>0</v>
      </c>
      <c r="DD89" s="92">
        <v>0</v>
      </c>
      <c r="DE89" s="92">
        <v>0</v>
      </c>
      <c r="DF89" s="92">
        <v>0</v>
      </c>
      <c r="DG89" s="92">
        <v>0</v>
      </c>
      <c r="DH89" s="92">
        <v>0</v>
      </c>
      <c r="DI89" s="92">
        <v>0</v>
      </c>
      <c r="DJ89" s="92">
        <v>0</v>
      </c>
      <c r="DK89" s="92">
        <v>0</v>
      </c>
      <c r="DL89" s="92">
        <v>0</v>
      </c>
      <c r="DM89" s="92">
        <v>0</v>
      </c>
      <c r="DN89" s="92">
        <v>0</v>
      </c>
      <c r="DO89" s="92">
        <v>98825</v>
      </c>
      <c r="DP89" s="92">
        <v>0</v>
      </c>
      <c r="DQ89" s="92">
        <v>0</v>
      </c>
      <c r="DR89" s="92">
        <v>0</v>
      </c>
      <c r="DS89" s="92">
        <v>0</v>
      </c>
      <c r="DT89" s="92">
        <v>0</v>
      </c>
      <c r="DU89" s="92">
        <v>0</v>
      </c>
      <c r="DV89" s="92">
        <v>0</v>
      </c>
      <c r="DW89" s="92">
        <v>0</v>
      </c>
      <c r="DX89" s="92">
        <v>0</v>
      </c>
      <c r="DY89" s="92">
        <v>0</v>
      </c>
      <c r="DZ89" s="92">
        <v>0</v>
      </c>
      <c r="EA89" s="92">
        <v>0</v>
      </c>
      <c r="EB89" s="92">
        <v>0</v>
      </c>
      <c r="EC89" s="92">
        <v>0</v>
      </c>
      <c r="ED89" s="92">
        <v>0</v>
      </c>
      <c r="EE89" s="92">
        <v>0</v>
      </c>
      <c r="EF89" s="92">
        <v>0</v>
      </c>
      <c r="EG89" s="92">
        <v>0</v>
      </c>
      <c r="EH89" s="92">
        <v>0</v>
      </c>
      <c r="EI89" s="92">
        <v>0</v>
      </c>
      <c r="EJ89" s="92">
        <v>0</v>
      </c>
      <c r="EK89" s="92">
        <v>0</v>
      </c>
      <c r="EL89" s="92">
        <v>0</v>
      </c>
      <c r="EM89" s="92">
        <v>0</v>
      </c>
      <c r="EN89" s="92">
        <v>0</v>
      </c>
      <c r="EO89" s="92">
        <v>0</v>
      </c>
      <c r="EP89" s="92">
        <v>0</v>
      </c>
      <c r="EQ89" s="92">
        <v>0</v>
      </c>
      <c r="ER89" s="92">
        <v>0</v>
      </c>
      <c r="ES89" s="92">
        <v>0</v>
      </c>
      <c r="ET89" s="92">
        <v>0</v>
      </c>
      <c r="EU89" s="92">
        <v>3770</v>
      </c>
      <c r="EV89" s="92">
        <v>0</v>
      </c>
      <c r="EW89" s="92">
        <v>0</v>
      </c>
      <c r="EX89" s="92">
        <v>0</v>
      </c>
      <c r="EY89" s="92">
        <v>0</v>
      </c>
      <c r="EZ89" s="92">
        <v>0</v>
      </c>
      <c r="FA89" s="92">
        <v>0</v>
      </c>
      <c r="FB89" s="92">
        <v>0</v>
      </c>
      <c r="FC89" s="92">
        <v>0</v>
      </c>
      <c r="FD89" s="92">
        <v>0</v>
      </c>
      <c r="FE89" s="92">
        <v>0</v>
      </c>
      <c r="FF89" s="92">
        <v>0</v>
      </c>
      <c r="FG89" s="92">
        <v>0</v>
      </c>
      <c r="FH89" s="92">
        <v>0</v>
      </c>
      <c r="FI89" s="92">
        <v>0</v>
      </c>
      <c r="FJ89" s="92">
        <v>0</v>
      </c>
      <c r="FK89" s="92">
        <v>0</v>
      </c>
      <c r="FL89" s="92">
        <v>0</v>
      </c>
      <c r="FM89" s="92">
        <v>0</v>
      </c>
      <c r="FN89" s="92">
        <v>0</v>
      </c>
      <c r="FO89" s="92">
        <v>0</v>
      </c>
      <c r="FP89" s="92">
        <v>0</v>
      </c>
      <c r="FQ89" s="92">
        <v>0</v>
      </c>
      <c r="FR89" s="92">
        <v>0</v>
      </c>
      <c r="FS89" s="92">
        <v>0</v>
      </c>
      <c r="FT89" s="92">
        <v>0</v>
      </c>
      <c r="FU89" s="92">
        <v>0</v>
      </c>
      <c r="FV89" s="92">
        <v>0</v>
      </c>
      <c r="FW89" s="92">
        <v>0</v>
      </c>
      <c r="FX89" s="92">
        <v>0</v>
      </c>
      <c r="FY89" s="92">
        <v>0</v>
      </c>
      <c r="FZ89" s="92">
        <v>0</v>
      </c>
      <c r="GA89" s="92">
        <v>0</v>
      </c>
      <c r="GB89" s="92">
        <v>0</v>
      </c>
      <c r="GC89" s="92" t="s">
        <v>553</v>
      </c>
      <c r="GD89" s="92" t="s">
        <v>553</v>
      </c>
      <c r="GE89" s="92" t="s">
        <v>553</v>
      </c>
      <c r="GF89" s="92" t="s">
        <v>553</v>
      </c>
      <c r="GG89" s="47" t="s">
        <v>630</v>
      </c>
      <c r="GH89" s="47" t="s">
        <v>631</v>
      </c>
      <c r="GI89" s="93">
        <v>5128631203</v>
      </c>
      <c r="GJ89" s="47" t="s">
        <v>632</v>
      </c>
      <c r="GK89" s="47" t="s">
        <v>633</v>
      </c>
      <c r="GL89" s="47" t="s">
        <v>634</v>
      </c>
      <c r="GM89" s="93">
        <v>5128631233</v>
      </c>
      <c r="GN89" s="47" t="s">
        <v>635</v>
      </c>
      <c r="GO89" s="92" t="str" cm="1">
        <f t="array" ref="GO89">IFERROR(_xlfn.IFS(ResearchInput[[#This Row],[Type]]="HRI",SUMIFS('FTSE | FTFE'!$P$8:$P$77,'FTSE | FTFE'!$H$8:$H$77,A89),ResearchInput[[#This Row],[Type]]="UNIV",SUMIFS('FTSE | FTFE'!$P$104:$P$139,'FTSE | FTFE'!$H$104:$H$139,A89),OR(ResearchInput[[#This Row],[Type]]="TSTC",ResearchInput[[#This Row],[Type]]="LSC"),SUMIFS('FTSE | FTFE'!$O$88:$O$96,'FTSE | FTFE'!$H$88:$H$96,A89),ResearchInput[[#This Row],[Type]]="AHM",SUMIFS(Hidden!$H$43:$H$46,Hidden!$G$42:$G$45,A89)),"N/A")</f>
        <v>N/A</v>
      </c>
      <c r="GP89" s="92" t="str" cm="1">
        <f t="array" ref="GP89">IFERROR(_xlfn.IFS(ResearchInput[[#This Row],[Type]]="HRI",SUMIFS('FTSE | FTFE'!$Q$8:$Q$77,'FTSE | FTFE'!$H$8:$H$77,A89),ResearchInput[[#This Row],[Type]]="UNIV",SUMIFS('FTSE | FTFE'!$Q$104:$Q$139,'FTSE | FTFE'!$H$104:$H$139,A89),OR(ResearchInput[[#This Row],[Type]]="TSTC",ResearchInput[[#This Row],[Type]]="LSC"),SUMIFS('FTSE | FTFE'!$P$88:$P$96,'FTSE | FTFE'!$H$88:$H$96,A89)),"N/A")</f>
        <v>N/A</v>
      </c>
      <c r="GQ89" s="92">
        <v>0</v>
      </c>
      <c r="GR89" s="92">
        <f>SUM(ResearchInput[[#This Row],[Fed.Comp]],ResearchInput[[#This Row],[Fed.Eng]],ResearchInput[[#This Row],[Fed.Geo]],ResearchInput[[#This Row],[Fed.Life]],ResearchInput[[#This Row],[Fed.Math]],ResearchInput[[#This Row],[Fed.Phys]],ResearchInput[[#This Row],[Fed.Psyc]],ResearchInput[[#This Row],[Fed.Soc]],ResearchInput[[#This Row],[Fed.Othr]],ResearchInput[[#This Row],[Fed.Non]])</f>
        <v>23235</v>
      </c>
      <c r="GS89" s="92">
        <f>SUM(ResearchInput[[#This Row],[St.Comp]],ResearchInput[[#This Row],[St.Eng]],ResearchInput[[#This Row],[St.Geo]],ResearchInput[[#This Row],[St.Life]],ResearchInput[[#This Row],[St.Math]],ResearchInput[[#This Row],[St.Phys]],ResearchInput[[#This Row],[St.Psyc]],ResearchInput[[#This Row],[St.Soc]],ResearchInput[[#This Row],[St.Othr]],ResearchInput[[#This Row],[St.Non]])</f>
        <v>0</v>
      </c>
      <c r="GT89" s="92">
        <f>SUM(ResearchInput[[#This Row],[St.C&amp;G.Comp]],ResearchInput[[#This Row],[St.C&amp;G.Eng]],ResearchInput[[#This Row],[St.C&amp;G.Geo]],ResearchInput[[#This Row],[St.C&amp;G.Life]],ResearchInput[[#This Row],[St.C&amp;G.Math]],ResearchInput[[#This Row],[St.C&amp;G.Phys]],ResearchInput[[#This Row],[St.C&amp;G.Psyc]],ResearchInput[[#This Row],[St.C&amp;G.Soc]],ResearchInput[[#This Row],[St.C&amp;G.Othr]],ResearchInput[[#This Row],[St.C&amp;G.Non]])</f>
        <v>0</v>
      </c>
      <c r="GU89" s="92">
        <f>SUM(ResearchInput[[#This Row],[St.All.Comp]],ResearchInput[[#This Row],[St.All.Eng]],ResearchInput[[#This Row],[St.All.Geo]],ResearchInput[[#This Row],[St.All.Life]],ResearchInput[[#This Row],[St.All.Math]],ResearchInput[[#This Row],[St.All.Phys]],ResearchInput[[#This Row],[St.All.Psyc]],ResearchInput[[#This Row],[St.All.Soc]],ResearchInput[[#This Row],[St.All.Othr]],ResearchInput[[#This Row],[St.All.Non]])</f>
        <v>0</v>
      </c>
      <c r="GV89" s="92">
        <f>SUM(ResearchInput[[#This Row],[Inst.Comp]],ResearchInput[[#This Row],[Inst.Eng]],ResearchInput[[#This Row],[Inst.Geo]],ResearchInput[[#This Row],[Inst.Life]],ResearchInput[[#This Row],[Inst.Math]],ResearchInput[[#This Row],[Inst.Phys]],ResearchInput[[#This Row],[Inst.Psyc]],ResearchInput[[#This Row],[Inst.Soc]],ResearchInput[[#This Row],[Inst.Othr]],ResearchInput[[#This Row],[Inst.Non]])</f>
        <v>0</v>
      </c>
      <c r="GW89" s="92">
        <f>SUM(ResearchInput[[#This Row],[P4P.Comp]],ResearchInput[[#This Row],[P4P.Eng]],ResearchInput[[#This Row],[P4P.Geo]],ResearchInput[[#This Row],[P4P.Life]],ResearchInput[[#This Row],[P4P.Math]],ResearchInput[[#This Row],[P4P.Phys]],ResearchInput[[#This Row],[P4P.Psyc]],ResearchInput[[#This Row],[P4P.Soc]],ResearchInput[[#This Row],[P4P.Othr]],ResearchInput[[#This Row],[P4P.Non]])</f>
        <v>0</v>
      </c>
      <c r="GX89" s="92">
        <f>SUM(ResearchInput[[#This Row],[PNP.Comp]],ResearchInput[[#This Row],[PNP.Eng]],ResearchInput[[#This Row],[PNP.Geo]],ResearchInput[[#This Row],[PNP.Life]],ResearchInput[[#This Row],[PNP.Math]],ResearchInput[[#This Row],[PNP.Phys]],ResearchInput[[#This Row],[PNP.Psyc]],ResearchInput[[#This Row],[PNP.Soc]],ResearchInput[[#This Row],[PNP.Othr]],ResearchInput[[#This Row],[PNP.Non]])</f>
        <v>108244</v>
      </c>
      <c r="GY89" s="92">
        <f>SUM(ResearchInput[[#This Row],[P.All.Comp]],ResearchInput[[#This Row],[P.All.Eng]],ResearchInput[[#This Row],[P.All.Geo]],ResearchInput[[#This Row],[P.All.Life]],ResearchInput[[#This Row],[P.All.Math]],ResearchInput[[#This Row],[P.All.Phys]],ResearchInput[[#This Row],[P.All.Psyc]],ResearchInput[[#This Row],[P.All.Soc]],ResearchInput[[#This Row],[P.All.Othr]],ResearchInput[[#This Row],[P.All.Non]])</f>
        <v>0</v>
      </c>
    </row>
    <row r="90" spans="1:207" s="47" customFormat="1" ht="27" customHeight="1" x14ac:dyDescent="0.25">
      <c r="A90" s="34" t="s">
        <v>636</v>
      </c>
      <c r="B90" s="34" t="s">
        <v>670</v>
      </c>
      <c r="C90" s="35" t="s">
        <v>553</v>
      </c>
      <c r="D90" s="35" t="s">
        <v>713</v>
      </c>
      <c r="E90" s="94">
        <v>1210</v>
      </c>
      <c r="F90" s="35" t="s">
        <v>714</v>
      </c>
      <c r="G90" s="35" t="s">
        <v>553</v>
      </c>
      <c r="H90" s="96">
        <v>3636</v>
      </c>
      <c r="I90" s="92">
        <v>7481868</v>
      </c>
      <c r="J90" s="92">
        <v>0</v>
      </c>
      <c r="K90" s="92">
        <v>633804</v>
      </c>
      <c r="L90" s="92">
        <v>0</v>
      </c>
      <c r="M90" s="92">
        <v>4412183</v>
      </c>
      <c r="N90" s="92">
        <v>205041</v>
      </c>
      <c r="O90" s="92">
        <v>4349889</v>
      </c>
      <c r="P90" s="92">
        <v>0</v>
      </c>
      <c r="Q90" s="92">
        <v>-1623853</v>
      </c>
      <c r="R90" s="92">
        <v>0</v>
      </c>
      <c r="S90" s="92">
        <v>0</v>
      </c>
      <c r="T90" s="92">
        <v>0</v>
      </c>
      <c r="U90" s="92">
        <v>0</v>
      </c>
      <c r="V90" s="92">
        <v>-21521</v>
      </c>
      <c r="W90" s="92">
        <v>-2023810</v>
      </c>
      <c r="X90" s="92">
        <v>0</v>
      </c>
      <c r="Y90" s="92">
        <v>0</v>
      </c>
      <c r="Z90" s="92">
        <v>0</v>
      </c>
      <c r="AA90" s="92">
        <v>0</v>
      </c>
      <c r="AB90" s="92">
        <v>0</v>
      </c>
      <c r="AC90" s="92">
        <v>0</v>
      </c>
      <c r="AD90" s="92">
        <v>0</v>
      </c>
      <c r="AE90" s="92">
        <v>0</v>
      </c>
      <c r="AF90" s="92">
        <v>0</v>
      </c>
      <c r="AG90" s="92">
        <v>1836605</v>
      </c>
      <c r="AH90" s="92">
        <v>0</v>
      </c>
      <c r="AI90" s="92">
        <v>0</v>
      </c>
      <c r="AJ90" s="92">
        <v>0</v>
      </c>
      <c r="AK90" s="92">
        <v>0</v>
      </c>
      <c r="AL90" s="92">
        <v>9668</v>
      </c>
      <c r="AM90" s="92">
        <v>14677</v>
      </c>
      <c r="AN90" s="92">
        <v>0</v>
      </c>
      <c r="AO90" s="92">
        <v>0</v>
      </c>
      <c r="AP90" s="92">
        <v>0</v>
      </c>
      <c r="AQ90" s="92">
        <v>0</v>
      </c>
      <c r="AR90" s="92">
        <v>0</v>
      </c>
      <c r="AS90" s="92">
        <v>0</v>
      </c>
      <c r="AT90" s="92">
        <v>0</v>
      </c>
      <c r="AU90" s="92">
        <v>0</v>
      </c>
      <c r="AV90" s="92">
        <v>0</v>
      </c>
      <c r="AW90" s="92">
        <v>0</v>
      </c>
      <c r="AX90" s="92">
        <v>0</v>
      </c>
      <c r="AY90" s="92">
        <v>0</v>
      </c>
      <c r="AZ90" s="92">
        <v>0</v>
      </c>
      <c r="BA90" s="92">
        <v>0</v>
      </c>
      <c r="BB90" s="92">
        <v>0</v>
      </c>
      <c r="BC90" s="92">
        <v>0</v>
      </c>
      <c r="BD90" s="92">
        <v>0</v>
      </c>
      <c r="BE90" s="92">
        <v>0</v>
      </c>
      <c r="BF90" s="92">
        <v>0</v>
      </c>
      <c r="BG90" s="92">
        <v>0</v>
      </c>
      <c r="BH90" s="92">
        <v>0</v>
      </c>
      <c r="BI90" s="92">
        <v>0</v>
      </c>
      <c r="BJ90" s="92">
        <v>0</v>
      </c>
      <c r="BK90" s="92">
        <v>0</v>
      </c>
      <c r="BL90" s="92">
        <v>0</v>
      </c>
      <c r="BM90" s="92">
        <v>0</v>
      </c>
      <c r="BN90" s="92">
        <v>0</v>
      </c>
      <c r="BO90" s="92">
        <v>0</v>
      </c>
      <c r="BP90" s="92">
        <v>0</v>
      </c>
      <c r="BQ90" s="92">
        <v>0</v>
      </c>
      <c r="BR90" s="92">
        <v>0</v>
      </c>
      <c r="BS90" s="92">
        <v>0</v>
      </c>
      <c r="BT90" s="92">
        <v>0</v>
      </c>
      <c r="BU90" s="92">
        <v>41461</v>
      </c>
      <c r="BV90" s="92">
        <v>0</v>
      </c>
      <c r="BW90" s="92">
        <v>0</v>
      </c>
      <c r="BX90" s="92">
        <v>0</v>
      </c>
      <c r="BY90" s="92">
        <v>2246</v>
      </c>
      <c r="BZ90" s="92">
        <v>0</v>
      </c>
      <c r="CA90" s="92">
        <v>0</v>
      </c>
      <c r="CB90" s="92">
        <v>0</v>
      </c>
      <c r="CC90" s="92">
        <v>12689</v>
      </c>
      <c r="CD90" s="92">
        <v>0</v>
      </c>
      <c r="CE90" s="92">
        <v>0</v>
      </c>
      <c r="CF90" s="92">
        <v>0</v>
      </c>
      <c r="CG90" s="92">
        <v>729</v>
      </c>
      <c r="CH90" s="92">
        <v>44146</v>
      </c>
      <c r="CI90" s="92">
        <v>400</v>
      </c>
      <c r="CJ90" s="92">
        <v>0</v>
      </c>
      <c r="CK90" s="92">
        <v>198878</v>
      </c>
      <c r="CL90" s="92">
        <v>0</v>
      </c>
      <c r="CM90" s="92">
        <v>0</v>
      </c>
      <c r="CN90" s="92">
        <v>0</v>
      </c>
      <c r="CO90" s="92">
        <v>5535</v>
      </c>
      <c r="CP90" s="92">
        <v>0</v>
      </c>
      <c r="CQ90" s="92">
        <v>0</v>
      </c>
      <c r="CR90" s="92">
        <v>0</v>
      </c>
      <c r="CS90" s="92">
        <v>15259</v>
      </c>
      <c r="CT90" s="92">
        <v>0</v>
      </c>
      <c r="CU90" s="92">
        <v>0</v>
      </c>
      <c r="CV90" s="92">
        <v>0</v>
      </c>
      <c r="CW90" s="92">
        <v>953734</v>
      </c>
      <c r="CX90" s="92">
        <v>13557</v>
      </c>
      <c r="CY90" s="92">
        <v>792443</v>
      </c>
      <c r="CZ90" s="92">
        <v>0</v>
      </c>
      <c r="DA90" s="92">
        <v>4244</v>
      </c>
      <c r="DB90" s="92">
        <v>0</v>
      </c>
      <c r="DC90" s="92">
        <v>0</v>
      </c>
      <c r="DD90" s="92">
        <v>0</v>
      </c>
      <c r="DE90" s="92">
        <v>0</v>
      </c>
      <c r="DF90" s="92">
        <v>0</v>
      </c>
      <c r="DG90" s="92">
        <v>0</v>
      </c>
      <c r="DH90" s="92">
        <v>0</v>
      </c>
      <c r="DI90" s="92">
        <v>833537</v>
      </c>
      <c r="DJ90" s="92">
        <v>0</v>
      </c>
      <c r="DK90" s="92">
        <v>15152</v>
      </c>
      <c r="DL90" s="92">
        <v>0</v>
      </c>
      <c r="DM90" s="92">
        <v>60589</v>
      </c>
      <c r="DN90" s="92">
        <v>109081</v>
      </c>
      <c r="DO90" s="92">
        <v>414011</v>
      </c>
      <c r="DP90" s="92">
        <v>0</v>
      </c>
      <c r="DQ90" s="92">
        <v>210017</v>
      </c>
      <c r="DR90" s="92">
        <v>0</v>
      </c>
      <c r="DS90" s="92">
        <v>155012</v>
      </c>
      <c r="DT90" s="92">
        <v>0</v>
      </c>
      <c r="DU90" s="92">
        <v>540626</v>
      </c>
      <c r="DV90" s="92">
        <v>0</v>
      </c>
      <c r="DW90" s="92">
        <v>84645</v>
      </c>
      <c r="DX90" s="92">
        <v>0</v>
      </c>
      <c r="DY90" s="92">
        <v>5760027</v>
      </c>
      <c r="DZ90" s="92">
        <v>0</v>
      </c>
      <c r="EA90" s="92">
        <v>0</v>
      </c>
      <c r="EB90" s="92">
        <v>0</v>
      </c>
      <c r="EC90" s="92">
        <v>132445</v>
      </c>
      <c r="ED90" s="92">
        <v>10135</v>
      </c>
      <c r="EE90" s="92">
        <v>39653</v>
      </c>
      <c r="EF90" s="92">
        <v>0</v>
      </c>
      <c r="EG90" s="92">
        <v>1288</v>
      </c>
      <c r="EH90" s="92">
        <v>0</v>
      </c>
      <c r="EI90" s="92">
        <v>0</v>
      </c>
      <c r="EJ90" s="92">
        <v>0</v>
      </c>
      <c r="EK90" s="92">
        <v>1992506</v>
      </c>
      <c r="EL90" s="92">
        <v>0</v>
      </c>
      <c r="EM90" s="92">
        <v>0</v>
      </c>
      <c r="EN90" s="92">
        <v>0</v>
      </c>
      <c r="EO90" s="92">
        <v>617220</v>
      </c>
      <c r="EP90" s="92">
        <v>0</v>
      </c>
      <c r="EQ90" s="92">
        <v>463640</v>
      </c>
      <c r="ER90" s="92">
        <v>0</v>
      </c>
      <c r="ES90" s="92">
        <v>723773</v>
      </c>
      <c r="ET90" s="92">
        <v>16269</v>
      </c>
      <c r="EU90" s="92">
        <v>1009604</v>
      </c>
      <c r="EV90" s="92">
        <v>0</v>
      </c>
      <c r="EW90" s="92">
        <v>8685</v>
      </c>
      <c r="EX90" s="92">
        <v>0</v>
      </c>
      <c r="EY90" s="92">
        <v>0</v>
      </c>
      <c r="EZ90" s="92">
        <v>0</v>
      </c>
      <c r="FA90" s="92">
        <v>0</v>
      </c>
      <c r="FB90" s="92">
        <v>13557</v>
      </c>
      <c r="FC90" s="92">
        <v>790598</v>
      </c>
      <c r="FD90" s="92">
        <v>0</v>
      </c>
      <c r="FE90" s="92">
        <v>0</v>
      </c>
      <c r="FF90" s="92">
        <v>0</v>
      </c>
      <c r="FG90" s="92">
        <v>0</v>
      </c>
      <c r="FH90" s="92">
        <v>0</v>
      </c>
      <c r="FI90" s="92">
        <v>0</v>
      </c>
      <c r="FJ90" s="92">
        <v>0</v>
      </c>
      <c r="FK90" s="92">
        <v>0</v>
      </c>
      <c r="FL90" s="92">
        <v>0</v>
      </c>
      <c r="FM90" s="92">
        <v>0</v>
      </c>
      <c r="FN90" s="92">
        <v>0</v>
      </c>
      <c r="FO90" s="92">
        <v>0</v>
      </c>
      <c r="FP90" s="92">
        <v>0</v>
      </c>
      <c r="FQ90" s="92">
        <v>0</v>
      </c>
      <c r="FR90" s="92">
        <v>0</v>
      </c>
      <c r="FS90" s="92">
        <v>0</v>
      </c>
      <c r="FT90" s="92">
        <v>0</v>
      </c>
      <c r="FU90" s="92">
        <v>0</v>
      </c>
      <c r="FV90" s="92">
        <v>0</v>
      </c>
      <c r="FW90" s="92">
        <v>0</v>
      </c>
      <c r="FX90" s="92">
        <v>0</v>
      </c>
      <c r="FY90" s="92">
        <v>0</v>
      </c>
      <c r="FZ90" s="92">
        <v>0</v>
      </c>
      <c r="GA90" s="92">
        <v>0</v>
      </c>
      <c r="GB90" s="92">
        <v>0</v>
      </c>
      <c r="GC90" s="92" t="s">
        <v>553</v>
      </c>
      <c r="GD90" s="92" t="s">
        <v>553</v>
      </c>
      <c r="GE90" s="92" t="s">
        <v>553</v>
      </c>
      <c r="GF90" s="92" t="s">
        <v>553</v>
      </c>
      <c r="GG90" s="47" t="s">
        <v>637</v>
      </c>
      <c r="GH90" s="47" t="s">
        <v>638</v>
      </c>
      <c r="GI90" s="93">
        <v>8172575023</v>
      </c>
      <c r="GJ90" s="47" t="s">
        <v>639</v>
      </c>
      <c r="GK90" s="47" t="s">
        <v>640</v>
      </c>
      <c r="GL90" s="47" t="s">
        <v>641</v>
      </c>
      <c r="GM90" s="93">
        <v>8172575025</v>
      </c>
      <c r="GN90" s="47" t="s">
        <v>642</v>
      </c>
      <c r="GO90" s="92" t="str" cm="1">
        <f t="array" ref="GO90">IFERROR(_xlfn.IFS(ResearchInput[[#This Row],[Type]]="HRI",SUMIFS('FTSE | FTFE'!$P$8:$P$77,'FTSE | FTFE'!$H$8:$H$77,A90),ResearchInput[[#This Row],[Type]]="UNIV",SUMIFS('FTSE | FTFE'!$P$104:$P$139,'FTSE | FTFE'!$H$104:$H$139,A90),OR(ResearchInput[[#This Row],[Type]]="TSTC",ResearchInput[[#This Row],[Type]]="LSC"),SUMIFS('FTSE | FTFE'!$O$88:$O$96,'FTSE | FTFE'!$H$88:$H$96,A90),ResearchInput[[#This Row],[Type]]="AHM",SUMIFS(Hidden!$H$43:$H$46,Hidden!$G$42:$G$45,A90)),"N/A")</f>
        <v>N/A</v>
      </c>
      <c r="GP90" s="92" t="str" cm="1">
        <f t="array" ref="GP90">IFERROR(_xlfn.IFS(ResearchInput[[#This Row],[Type]]="HRI",SUMIFS('FTSE | FTFE'!$Q$8:$Q$77,'FTSE | FTFE'!$H$8:$H$77,A90),ResearchInput[[#This Row],[Type]]="UNIV",SUMIFS('FTSE | FTFE'!$Q$104:$Q$139,'FTSE | FTFE'!$H$104:$H$139,A90),OR(ResearchInput[[#This Row],[Type]]="TSTC",ResearchInput[[#This Row],[Type]]="LSC"),SUMIFS('FTSE | FTFE'!$P$88:$P$96,'FTSE | FTFE'!$H$88:$H$96,A90)),"N/A")</f>
        <v>N/A</v>
      </c>
      <c r="GQ90" s="92">
        <v>0</v>
      </c>
      <c r="GR90" s="92">
        <f>SUM(ResearchInput[[#This Row],[Fed.Comp]],ResearchInput[[#This Row],[Fed.Eng]],ResearchInput[[#This Row],[Fed.Geo]],ResearchInput[[#This Row],[Fed.Life]],ResearchInput[[#This Row],[Fed.Math]],ResearchInput[[#This Row],[Fed.Phys]],ResearchInput[[#This Row],[Fed.Psyc]],ResearchInput[[#This Row],[Fed.Soc]],ResearchInput[[#This Row],[Fed.Othr]],ResearchInput[[#This Row],[Fed.Non]])</f>
        <v>7694620</v>
      </c>
      <c r="GS90" s="92">
        <f>SUM(ResearchInput[[#This Row],[St.Comp]],ResearchInput[[#This Row],[St.Eng]],ResearchInput[[#This Row],[St.Geo]],ResearchInput[[#This Row],[St.Life]],ResearchInput[[#This Row],[St.Math]],ResearchInput[[#This Row],[St.Phys]],ResearchInput[[#This Row],[St.Psyc]],ResearchInput[[#This Row],[St.Soc]],ResearchInput[[#This Row],[St.Othr]],ResearchInput[[#This Row],[St.Non]])</f>
        <v>0</v>
      </c>
      <c r="GT90" s="92">
        <f>SUM(ResearchInput[[#This Row],[St.C&amp;G.Comp]],ResearchInput[[#This Row],[St.C&amp;G.Eng]],ResearchInput[[#This Row],[St.C&amp;G.Geo]],ResearchInput[[#This Row],[St.C&amp;G.Life]],ResearchInput[[#This Row],[St.C&amp;G.Math]],ResearchInput[[#This Row],[St.C&amp;G.Phys]],ResearchInput[[#This Row],[St.C&amp;G.Psyc]],ResearchInput[[#This Row],[St.C&amp;G.Soc]],ResearchInput[[#This Row],[St.C&amp;G.Othr]],ResearchInput[[#This Row],[St.C&amp;G.Non]])</f>
        <v>633804</v>
      </c>
      <c r="GU90" s="92">
        <f>SUM(ResearchInput[[#This Row],[St.All.Comp]],ResearchInput[[#This Row],[St.All.Eng]],ResearchInput[[#This Row],[St.All.Geo]],ResearchInput[[#This Row],[St.All.Life]],ResearchInput[[#This Row],[St.All.Math]],ResearchInput[[#This Row],[St.All.Phys]],ResearchInput[[#This Row],[St.All.Psyc]],ResearchInput[[#This Row],[St.All.Soc]],ResearchInput[[#This Row],[St.All.Othr]],ResearchInput[[#This Row],[St.All.Non]])</f>
        <v>0</v>
      </c>
      <c r="GV90" s="92">
        <f>SUM(ResearchInput[[#This Row],[Inst.Comp]],ResearchInput[[#This Row],[Inst.Eng]],ResearchInput[[#This Row],[Inst.Geo]],ResearchInput[[#This Row],[Inst.Life]],ResearchInput[[#This Row],[Inst.Math]],ResearchInput[[#This Row],[Inst.Phys]],ResearchInput[[#This Row],[Inst.Psyc]],ResearchInput[[#This Row],[Inst.Soc]],ResearchInput[[#This Row],[Inst.Othr]],ResearchInput[[#This Row],[Inst.Non]])</f>
        <v>4412183</v>
      </c>
      <c r="GW90" s="92">
        <f>SUM(ResearchInput[[#This Row],[P4P.Comp]],ResearchInput[[#This Row],[P4P.Eng]],ResearchInput[[#This Row],[P4P.Geo]],ResearchInput[[#This Row],[P4P.Life]],ResearchInput[[#This Row],[P4P.Math]],ResearchInput[[#This Row],[P4P.Phys]],ResearchInput[[#This Row],[P4P.Psyc]],ResearchInput[[#This Row],[P4P.Soc]],ResearchInput[[#This Row],[P4P.Othr]],ResearchInput[[#This Row],[P4P.Non]])</f>
        <v>193188</v>
      </c>
      <c r="GX90" s="92">
        <f>SUM(ResearchInput[[#This Row],[PNP.Comp]],ResearchInput[[#This Row],[PNP.Eng]],ResearchInput[[#This Row],[PNP.Geo]],ResearchInput[[#This Row],[PNP.Life]],ResearchInput[[#This Row],[PNP.Math]],ResearchInput[[#This Row],[PNP.Phys]],ResearchInput[[#This Row],[PNP.Psyc]],ResearchInput[[#This Row],[PNP.Soc]],ResearchInput[[#This Row],[PNP.Othr]],ResearchInput[[#This Row],[PNP.Non]])</f>
        <v>2340756</v>
      </c>
      <c r="GY90" s="92">
        <f>SUM(ResearchInput[[#This Row],[P.All.Comp]],ResearchInput[[#This Row],[P.All.Eng]],ResearchInput[[#This Row],[P.All.Geo]],ResearchInput[[#This Row],[P.All.Life]],ResearchInput[[#This Row],[P.All.Math]],ResearchInput[[#This Row],[P.All.Phys]],ResearchInput[[#This Row],[P.All.Psyc]],ResearchInput[[#This Row],[P.All.Soc]],ResearchInput[[#This Row],[P.All.Othr]],ResearchInput[[#This Row],[P.All.Non]])</f>
        <v>0</v>
      </c>
    </row>
    <row r="91" spans="1:207" s="47" customFormat="1" ht="27" customHeight="1" x14ac:dyDescent="0.25">
      <c r="A91" s="34" t="s">
        <v>643</v>
      </c>
      <c r="B91" s="34" t="s">
        <v>670</v>
      </c>
      <c r="C91" s="35" t="s">
        <v>553</v>
      </c>
      <c r="D91" s="35" t="s">
        <v>713</v>
      </c>
      <c r="E91" s="94">
        <v>1211</v>
      </c>
      <c r="F91" s="35" t="s">
        <v>714</v>
      </c>
      <c r="G91" s="35" t="s">
        <v>553</v>
      </c>
      <c r="H91" s="96">
        <v>3641</v>
      </c>
      <c r="I91" s="92">
        <v>381127</v>
      </c>
      <c r="J91" s="92">
        <v>0</v>
      </c>
      <c r="K91" s="92">
        <v>0</v>
      </c>
      <c r="L91" s="92">
        <v>0</v>
      </c>
      <c r="M91" s="92">
        <v>32930</v>
      </c>
      <c r="N91" s="92">
        <v>0</v>
      </c>
      <c r="O91" s="92">
        <v>0</v>
      </c>
      <c r="P91" s="92">
        <v>0</v>
      </c>
      <c r="Q91" s="92">
        <v>0</v>
      </c>
      <c r="R91" s="92">
        <v>0</v>
      </c>
      <c r="S91" s="92">
        <v>0</v>
      </c>
      <c r="T91" s="92">
        <v>0</v>
      </c>
      <c r="U91" s="92">
        <v>0</v>
      </c>
      <c r="V91" s="92">
        <v>0</v>
      </c>
      <c r="W91" s="92">
        <v>0</v>
      </c>
      <c r="X91" s="92">
        <v>0</v>
      </c>
      <c r="Y91" s="92">
        <v>0</v>
      </c>
      <c r="Z91" s="92">
        <v>0</v>
      </c>
      <c r="AA91" s="92">
        <v>0</v>
      </c>
      <c r="AB91" s="92">
        <v>0</v>
      </c>
      <c r="AC91" s="92">
        <v>0</v>
      </c>
      <c r="AD91" s="92">
        <v>0</v>
      </c>
      <c r="AE91" s="92">
        <v>0</v>
      </c>
      <c r="AF91" s="92">
        <v>0</v>
      </c>
      <c r="AG91" s="92">
        <v>0</v>
      </c>
      <c r="AH91" s="92">
        <v>0</v>
      </c>
      <c r="AI91" s="92">
        <v>0</v>
      </c>
      <c r="AJ91" s="92">
        <v>0</v>
      </c>
      <c r="AK91" s="92">
        <v>0</v>
      </c>
      <c r="AL91" s="92">
        <v>0</v>
      </c>
      <c r="AM91" s="92">
        <v>0</v>
      </c>
      <c r="AN91" s="92">
        <v>0</v>
      </c>
      <c r="AO91" s="92">
        <v>0</v>
      </c>
      <c r="AP91" s="92">
        <v>0</v>
      </c>
      <c r="AQ91" s="92">
        <v>0</v>
      </c>
      <c r="AR91" s="92">
        <v>0</v>
      </c>
      <c r="AS91" s="92">
        <v>0</v>
      </c>
      <c r="AT91" s="92">
        <v>0</v>
      </c>
      <c r="AU91" s="92">
        <v>0</v>
      </c>
      <c r="AV91" s="92">
        <v>0</v>
      </c>
      <c r="AW91" s="92">
        <v>0</v>
      </c>
      <c r="AX91" s="92">
        <v>0</v>
      </c>
      <c r="AY91" s="92">
        <v>0</v>
      </c>
      <c r="AZ91" s="92">
        <v>0</v>
      </c>
      <c r="BA91" s="92">
        <v>0</v>
      </c>
      <c r="BB91" s="92">
        <v>0</v>
      </c>
      <c r="BC91" s="92">
        <v>0</v>
      </c>
      <c r="BD91" s="92">
        <v>0</v>
      </c>
      <c r="BE91" s="92">
        <v>0</v>
      </c>
      <c r="BF91" s="92">
        <v>0</v>
      </c>
      <c r="BG91" s="92">
        <v>0</v>
      </c>
      <c r="BH91" s="92">
        <v>0</v>
      </c>
      <c r="BI91" s="92">
        <v>0</v>
      </c>
      <c r="BJ91" s="92">
        <v>0</v>
      </c>
      <c r="BK91" s="92">
        <v>0</v>
      </c>
      <c r="BL91" s="92">
        <v>0</v>
      </c>
      <c r="BM91" s="92">
        <v>0</v>
      </c>
      <c r="BN91" s="92">
        <v>0</v>
      </c>
      <c r="BO91" s="92">
        <v>0</v>
      </c>
      <c r="BP91" s="92">
        <v>0</v>
      </c>
      <c r="BQ91" s="92">
        <v>0</v>
      </c>
      <c r="BR91" s="92">
        <v>0</v>
      </c>
      <c r="BS91" s="92">
        <v>0</v>
      </c>
      <c r="BT91" s="92">
        <v>0</v>
      </c>
      <c r="BU91" s="92">
        <v>0</v>
      </c>
      <c r="BV91" s="92">
        <v>0</v>
      </c>
      <c r="BW91" s="92">
        <v>0</v>
      </c>
      <c r="BX91" s="92">
        <v>0</v>
      </c>
      <c r="BY91" s="92">
        <v>0</v>
      </c>
      <c r="BZ91" s="92">
        <v>0</v>
      </c>
      <c r="CA91" s="92">
        <v>0</v>
      </c>
      <c r="CB91" s="92">
        <v>0</v>
      </c>
      <c r="CC91" s="92">
        <v>0</v>
      </c>
      <c r="CD91" s="92">
        <v>0</v>
      </c>
      <c r="CE91" s="92">
        <v>0</v>
      </c>
      <c r="CF91" s="92">
        <v>0</v>
      </c>
      <c r="CG91" s="92">
        <v>0</v>
      </c>
      <c r="CH91" s="92">
        <v>0</v>
      </c>
      <c r="CI91" s="92">
        <v>0</v>
      </c>
      <c r="CJ91" s="92">
        <v>0</v>
      </c>
      <c r="CK91" s="92">
        <v>0</v>
      </c>
      <c r="CL91" s="92">
        <v>0</v>
      </c>
      <c r="CM91" s="92">
        <v>0</v>
      </c>
      <c r="CN91" s="92">
        <v>0</v>
      </c>
      <c r="CO91" s="92">
        <v>0</v>
      </c>
      <c r="CP91" s="92">
        <v>0</v>
      </c>
      <c r="CQ91" s="92">
        <v>0</v>
      </c>
      <c r="CR91" s="92">
        <v>0</v>
      </c>
      <c r="CS91" s="92">
        <v>0</v>
      </c>
      <c r="CT91" s="92">
        <v>0</v>
      </c>
      <c r="CU91" s="92">
        <v>0</v>
      </c>
      <c r="CV91" s="92">
        <v>0</v>
      </c>
      <c r="CW91" s="92">
        <v>0</v>
      </c>
      <c r="CX91" s="92">
        <v>0</v>
      </c>
      <c r="CY91" s="92">
        <v>0</v>
      </c>
      <c r="CZ91" s="92">
        <v>0</v>
      </c>
      <c r="DA91" s="92">
        <v>0</v>
      </c>
      <c r="DB91" s="92">
        <v>0</v>
      </c>
      <c r="DC91" s="92">
        <v>0</v>
      </c>
      <c r="DD91" s="92">
        <v>0</v>
      </c>
      <c r="DE91" s="92">
        <v>0</v>
      </c>
      <c r="DF91" s="92">
        <v>0</v>
      </c>
      <c r="DG91" s="92">
        <v>0</v>
      </c>
      <c r="DH91" s="92">
        <v>0</v>
      </c>
      <c r="DI91" s="92">
        <v>381127</v>
      </c>
      <c r="DJ91" s="92">
        <v>0</v>
      </c>
      <c r="DK91" s="92">
        <v>0</v>
      </c>
      <c r="DL91" s="92">
        <v>0</v>
      </c>
      <c r="DM91" s="92">
        <v>32930</v>
      </c>
      <c r="DN91" s="92">
        <v>0</v>
      </c>
      <c r="DO91" s="92">
        <v>0</v>
      </c>
      <c r="DP91" s="92">
        <v>0</v>
      </c>
      <c r="DQ91" s="92">
        <v>0</v>
      </c>
      <c r="DR91" s="92">
        <v>0</v>
      </c>
      <c r="DS91" s="92">
        <v>0</v>
      </c>
      <c r="DT91" s="92">
        <v>0</v>
      </c>
      <c r="DU91" s="92">
        <v>0</v>
      </c>
      <c r="DV91" s="92">
        <v>0</v>
      </c>
      <c r="DW91" s="92">
        <v>0</v>
      </c>
      <c r="DX91" s="92">
        <v>0</v>
      </c>
      <c r="DY91" s="92">
        <v>0</v>
      </c>
      <c r="DZ91" s="92">
        <v>0</v>
      </c>
      <c r="EA91" s="92">
        <v>0</v>
      </c>
      <c r="EB91" s="92">
        <v>0</v>
      </c>
      <c r="EC91" s="92">
        <v>0</v>
      </c>
      <c r="ED91" s="92">
        <v>0</v>
      </c>
      <c r="EE91" s="92">
        <v>0</v>
      </c>
      <c r="EF91" s="92">
        <v>0</v>
      </c>
      <c r="EG91" s="92">
        <v>0</v>
      </c>
      <c r="EH91" s="92">
        <v>0</v>
      </c>
      <c r="EI91" s="92">
        <v>0</v>
      </c>
      <c r="EJ91" s="92">
        <v>0</v>
      </c>
      <c r="EK91" s="92">
        <v>0</v>
      </c>
      <c r="EL91" s="92">
        <v>0</v>
      </c>
      <c r="EM91" s="92">
        <v>0</v>
      </c>
      <c r="EN91" s="92">
        <v>0</v>
      </c>
      <c r="EO91" s="92">
        <v>0</v>
      </c>
      <c r="EP91" s="92">
        <v>0</v>
      </c>
      <c r="EQ91" s="92">
        <v>0</v>
      </c>
      <c r="ER91" s="92">
        <v>0</v>
      </c>
      <c r="ES91" s="92">
        <v>0</v>
      </c>
      <c r="ET91" s="92">
        <v>0</v>
      </c>
      <c r="EU91" s="92">
        <v>0</v>
      </c>
      <c r="EV91" s="92">
        <v>0</v>
      </c>
      <c r="EW91" s="92">
        <v>0</v>
      </c>
      <c r="EX91" s="92">
        <v>0</v>
      </c>
      <c r="EY91" s="92">
        <v>0</v>
      </c>
      <c r="EZ91" s="92">
        <v>0</v>
      </c>
      <c r="FA91" s="92">
        <v>0</v>
      </c>
      <c r="FB91" s="92">
        <v>0</v>
      </c>
      <c r="FC91" s="92">
        <v>0</v>
      </c>
      <c r="FD91" s="92">
        <v>0</v>
      </c>
      <c r="FE91" s="92">
        <v>0</v>
      </c>
      <c r="FF91" s="92">
        <v>0</v>
      </c>
      <c r="FG91" s="92">
        <v>0</v>
      </c>
      <c r="FH91" s="92">
        <v>0</v>
      </c>
      <c r="FI91" s="92">
        <v>0</v>
      </c>
      <c r="FJ91" s="92">
        <v>0</v>
      </c>
      <c r="FK91" s="92">
        <v>0</v>
      </c>
      <c r="FL91" s="92">
        <v>0</v>
      </c>
      <c r="FM91" s="92">
        <v>0</v>
      </c>
      <c r="FN91" s="92">
        <v>0</v>
      </c>
      <c r="FO91" s="92">
        <v>0</v>
      </c>
      <c r="FP91" s="92">
        <v>0</v>
      </c>
      <c r="FQ91" s="92">
        <v>0</v>
      </c>
      <c r="FR91" s="92">
        <v>0</v>
      </c>
      <c r="FS91" s="92">
        <v>0</v>
      </c>
      <c r="FT91" s="92">
        <v>0</v>
      </c>
      <c r="FU91" s="92">
        <v>0</v>
      </c>
      <c r="FV91" s="92">
        <v>0</v>
      </c>
      <c r="FW91" s="92">
        <v>0</v>
      </c>
      <c r="FX91" s="92">
        <v>0</v>
      </c>
      <c r="FY91" s="92">
        <v>0</v>
      </c>
      <c r="FZ91" s="92">
        <v>0</v>
      </c>
      <c r="GA91" s="92">
        <v>0</v>
      </c>
      <c r="GB91" s="92">
        <v>0</v>
      </c>
      <c r="GC91" s="92" t="s">
        <v>553</v>
      </c>
      <c r="GD91" s="92" t="s">
        <v>553</v>
      </c>
      <c r="GE91" s="92" t="s">
        <v>553</v>
      </c>
      <c r="GF91" s="92" t="s">
        <v>553</v>
      </c>
      <c r="GG91" s="47" t="s">
        <v>503</v>
      </c>
      <c r="GH91" s="47" t="s">
        <v>644</v>
      </c>
      <c r="GI91" s="93">
        <v>8303728014</v>
      </c>
      <c r="GJ91" s="47" t="s">
        <v>645</v>
      </c>
      <c r="GK91" s="47" t="s">
        <v>646</v>
      </c>
      <c r="GL91" s="47" t="s">
        <v>647</v>
      </c>
      <c r="GM91" s="93">
        <v>8303728020</v>
      </c>
      <c r="GN91" s="47" t="s">
        <v>648</v>
      </c>
      <c r="GO91" s="92" t="str" cm="1">
        <f t="array" ref="GO91">IFERROR(_xlfn.IFS(ResearchInput[[#This Row],[Type]]="HRI",SUMIFS('FTSE | FTFE'!$P$8:$P$77,'FTSE | FTFE'!$H$8:$H$77,A91),ResearchInput[[#This Row],[Type]]="UNIV",SUMIFS('FTSE | FTFE'!$P$104:$P$139,'FTSE | FTFE'!$H$104:$H$139,A91),OR(ResearchInput[[#This Row],[Type]]="TSTC",ResearchInput[[#This Row],[Type]]="LSC"),SUMIFS('FTSE | FTFE'!$O$88:$O$96,'FTSE | FTFE'!$H$88:$H$96,A91),ResearchInput[[#This Row],[Type]]="AHM",SUMIFS(Hidden!$H$43:$H$46,Hidden!$G$42:$G$45,A91)),"N/A")</f>
        <v>N/A</v>
      </c>
      <c r="GP91" s="92" t="str" cm="1">
        <f t="array" ref="GP91">IFERROR(_xlfn.IFS(ResearchInput[[#This Row],[Type]]="HRI",SUMIFS('FTSE | FTFE'!$Q$8:$Q$77,'FTSE | FTFE'!$H$8:$H$77,A91),ResearchInput[[#This Row],[Type]]="UNIV",SUMIFS('FTSE | FTFE'!$Q$104:$Q$139,'FTSE | FTFE'!$H$104:$H$139,A91),OR(ResearchInput[[#This Row],[Type]]="TSTC",ResearchInput[[#This Row],[Type]]="LSC"),SUMIFS('FTSE | FTFE'!$P$88:$P$96,'FTSE | FTFE'!$H$88:$H$96,A91)),"N/A")</f>
        <v>N/A</v>
      </c>
      <c r="GQ91" s="92">
        <v>0</v>
      </c>
      <c r="GR91" s="92">
        <f>SUM(ResearchInput[[#This Row],[Fed.Comp]],ResearchInput[[#This Row],[Fed.Eng]],ResearchInput[[#This Row],[Fed.Geo]],ResearchInput[[#This Row],[Fed.Life]],ResearchInput[[#This Row],[Fed.Math]],ResearchInput[[#This Row],[Fed.Phys]],ResearchInput[[#This Row],[Fed.Psyc]],ResearchInput[[#This Row],[Fed.Soc]],ResearchInput[[#This Row],[Fed.Othr]],ResearchInput[[#This Row],[Fed.Non]])</f>
        <v>381127</v>
      </c>
      <c r="GS91" s="92">
        <f>SUM(ResearchInput[[#This Row],[St.Comp]],ResearchInput[[#This Row],[St.Eng]],ResearchInput[[#This Row],[St.Geo]],ResearchInput[[#This Row],[St.Life]],ResearchInput[[#This Row],[St.Math]],ResearchInput[[#This Row],[St.Phys]],ResearchInput[[#This Row],[St.Psyc]],ResearchInput[[#This Row],[St.Soc]],ResearchInput[[#This Row],[St.Othr]],ResearchInput[[#This Row],[St.Non]])</f>
        <v>0</v>
      </c>
      <c r="GT91" s="92">
        <f>SUM(ResearchInput[[#This Row],[St.C&amp;G.Comp]],ResearchInput[[#This Row],[St.C&amp;G.Eng]],ResearchInput[[#This Row],[St.C&amp;G.Geo]],ResearchInput[[#This Row],[St.C&amp;G.Life]],ResearchInput[[#This Row],[St.C&amp;G.Math]],ResearchInput[[#This Row],[St.C&amp;G.Phys]],ResearchInput[[#This Row],[St.C&amp;G.Psyc]],ResearchInput[[#This Row],[St.C&amp;G.Soc]],ResearchInput[[#This Row],[St.C&amp;G.Othr]],ResearchInput[[#This Row],[St.C&amp;G.Non]])</f>
        <v>0</v>
      </c>
      <c r="GU91" s="92">
        <f>SUM(ResearchInput[[#This Row],[St.All.Comp]],ResearchInput[[#This Row],[St.All.Eng]],ResearchInput[[#This Row],[St.All.Geo]],ResearchInput[[#This Row],[St.All.Life]],ResearchInput[[#This Row],[St.All.Math]],ResearchInput[[#This Row],[St.All.Phys]],ResearchInput[[#This Row],[St.All.Psyc]],ResearchInput[[#This Row],[St.All.Soc]],ResearchInput[[#This Row],[St.All.Othr]],ResearchInput[[#This Row],[St.All.Non]])</f>
        <v>0</v>
      </c>
      <c r="GV91" s="92">
        <f>SUM(ResearchInput[[#This Row],[Inst.Comp]],ResearchInput[[#This Row],[Inst.Eng]],ResearchInput[[#This Row],[Inst.Geo]],ResearchInput[[#This Row],[Inst.Life]],ResearchInput[[#This Row],[Inst.Math]],ResearchInput[[#This Row],[Inst.Phys]],ResearchInput[[#This Row],[Inst.Psyc]],ResearchInput[[#This Row],[Inst.Soc]],ResearchInput[[#This Row],[Inst.Othr]],ResearchInput[[#This Row],[Inst.Non]])</f>
        <v>32930</v>
      </c>
      <c r="GW91" s="92">
        <f>SUM(ResearchInput[[#This Row],[P4P.Comp]],ResearchInput[[#This Row],[P4P.Eng]],ResearchInput[[#This Row],[P4P.Geo]],ResearchInput[[#This Row],[P4P.Life]],ResearchInput[[#This Row],[P4P.Math]],ResearchInput[[#This Row],[P4P.Phys]],ResearchInput[[#This Row],[P4P.Psyc]],ResearchInput[[#This Row],[P4P.Soc]],ResearchInput[[#This Row],[P4P.Othr]],ResearchInput[[#This Row],[P4P.Non]])</f>
        <v>0</v>
      </c>
      <c r="GX91" s="92">
        <f>SUM(ResearchInput[[#This Row],[PNP.Comp]],ResearchInput[[#This Row],[PNP.Eng]],ResearchInput[[#This Row],[PNP.Geo]],ResearchInput[[#This Row],[PNP.Life]],ResearchInput[[#This Row],[PNP.Math]],ResearchInput[[#This Row],[PNP.Phys]],ResearchInput[[#This Row],[PNP.Psyc]],ResearchInput[[#This Row],[PNP.Soc]],ResearchInput[[#This Row],[PNP.Othr]],ResearchInput[[#This Row],[PNP.Non]])</f>
        <v>0</v>
      </c>
      <c r="GY91" s="92">
        <f>SUM(ResearchInput[[#This Row],[P.All.Comp]],ResearchInput[[#This Row],[P.All.Eng]],ResearchInput[[#This Row],[P.All.Geo]],ResearchInput[[#This Row],[P.All.Life]],ResearchInput[[#This Row],[P.All.Math]],ResearchInput[[#This Row],[P.All.Phys]],ResearchInput[[#This Row],[P.All.Psyc]],ResearchInput[[#This Row],[P.All.Soc]],ResearchInput[[#This Row],[P.All.Othr]],ResearchInput[[#This Row],[P.All.Non]])</f>
        <v>0</v>
      </c>
    </row>
    <row r="92" spans="1:207" s="47" customFormat="1" ht="27" customHeight="1" x14ac:dyDescent="0.25">
      <c r="A92" s="34" t="s">
        <v>649</v>
      </c>
      <c r="B92" s="34" t="s">
        <v>670</v>
      </c>
      <c r="C92" s="35" t="s">
        <v>553</v>
      </c>
      <c r="D92" s="35" t="s">
        <v>713</v>
      </c>
      <c r="E92" s="94">
        <v>1212</v>
      </c>
      <c r="F92" s="35" t="s">
        <v>714</v>
      </c>
      <c r="G92" s="35" t="s">
        <v>553</v>
      </c>
      <c r="H92" s="96">
        <v>3647</v>
      </c>
      <c r="I92" s="92">
        <v>1763171</v>
      </c>
      <c r="J92" s="92">
        <v>0</v>
      </c>
      <c r="K92" s="92">
        <v>0</v>
      </c>
      <c r="L92" s="92">
        <v>0</v>
      </c>
      <c r="M92" s="92">
        <v>1905957</v>
      </c>
      <c r="N92" s="92">
        <v>98915</v>
      </c>
      <c r="O92" s="92">
        <v>1817138</v>
      </c>
      <c r="P92" s="92">
        <v>42960</v>
      </c>
      <c r="Q92" s="92">
        <v>0</v>
      </c>
      <c r="R92" s="92">
        <v>0</v>
      </c>
      <c r="S92" s="92">
        <v>0</v>
      </c>
      <c r="T92" s="92">
        <v>0</v>
      </c>
      <c r="U92" s="92">
        <v>0</v>
      </c>
      <c r="V92" s="92">
        <v>0</v>
      </c>
      <c r="W92" s="92">
        <v>0</v>
      </c>
      <c r="X92" s="92">
        <v>0</v>
      </c>
      <c r="Y92" s="92">
        <v>-81909</v>
      </c>
      <c r="Z92" s="92">
        <v>0</v>
      </c>
      <c r="AA92" s="92">
        <v>0</v>
      </c>
      <c r="AB92" s="92">
        <v>0</v>
      </c>
      <c r="AC92" s="92">
        <v>0</v>
      </c>
      <c r="AD92" s="92">
        <v>-45000</v>
      </c>
      <c r="AE92" s="92">
        <v>-29774</v>
      </c>
      <c r="AF92" s="92">
        <v>0</v>
      </c>
      <c r="AG92" s="92">
        <v>295203</v>
      </c>
      <c r="AH92" s="92">
        <v>0</v>
      </c>
      <c r="AI92" s="92">
        <v>0</v>
      </c>
      <c r="AJ92" s="92">
        <v>0</v>
      </c>
      <c r="AK92" s="92">
        <v>0</v>
      </c>
      <c r="AL92" s="92">
        <v>7817</v>
      </c>
      <c r="AM92" s="92">
        <v>25967</v>
      </c>
      <c r="AN92" s="92">
        <v>38783</v>
      </c>
      <c r="AO92" s="92">
        <v>193993</v>
      </c>
      <c r="AP92" s="92">
        <v>0</v>
      </c>
      <c r="AQ92" s="92">
        <v>0</v>
      </c>
      <c r="AR92" s="92">
        <v>0</v>
      </c>
      <c r="AS92" s="92">
        <v>295386</v>
      </c>
      <c r="AT92" s="92">
        <v>0</v>
      </c>
      <c r="AU92" s="92">
        <v>847332</v>
      </c>
      <c r="AV92" s="92">
        <v>0</v>
      </c>
      <c r="AW92" s="92">
        <v>0</v>
      </c>
      <c r="AX92" s="92">
        <v>0</v>
      </c>
      <c r="AY92" s="92">
        <v>0</v>
      </c>
      <c r="AZ92" s="92">
        <v>0</v>
      </c>
      <c r="BA92" s="92">
        <v>0</v>
      </c>
      <c r="BB92" s="92">
        <v>0</v>
      </c>
      <c r="BC92" s="92">
        <v>0</v>
      </c>
      <c r="BD92" s="92">
        <v>0</v>
      </c>
      <c r="BE92" s="92">
        <v>0</v>
      </c>
      <c r="BF92" s="92">
        <v>0</v>
      </c>
      <c r="BG92" s="92">
        <v>0</v>
      </c>
      <c r="BH92" s="92">
        <v>0</v>
      </c>
      <c r="BI92" s="92">
        <v>0</v>
      </c>
      <c r="BJ92" s="92">
        <v>0</v>
      </c>
      <c r="BK92" s="92">
        <v>0</v>
      </c>
      <c r="BL92" s="92">
        <v>0</v>
      </c>
      <c r="BM92" s="92">
        <v>0</v>
      </c>
      <c r="BN92" s="92">
        <v>0</v>
      </c>
      <c r="BO92" s="92">
        <v>0</v>
      </c>
      <c r="BP92" s="92">
        <v>0</v>
      </c>
      <c r="BQ92" s="92">
        <v>0</v>
      </c>
      <c r="BR92" s="92">
        <v>0</v>
      </c>
      <c r="BS92" s="92">
        <v>0</v>
      </c>
      <c r="BT92" s="92">
        <v>0</v>
      </c>
      <c r="BU92" s="92">
        <v>2500</v>
      </c>
      <c r="BV92" s="92">
        <v>0</v>
      </c>
      <c r="BW92" s="92">
        <v>0</v>
      </c>
      <c r="BX92" s="92">
        <v>0</v>
      </c>
      <c r="BY92" s="92">
        <v>258059</v>
      </c>
      <c r="BZ92" s="92">
        <v>0</v>
      </c>
      <c r="CA92" s="92">
        <v>70728</v>
      </c>
      <c r="CB92" s="92">
        <v>0</v>
      </c>
      <c r="CC92" s="92">
        <v>121657</v>
      </c>
      <c r="CD92" s="92">
        <v>0</v>
      </c>
      <c r="CE92" s="92">
        <v>0</v>
      </c>
      <c r="CF92" s="92">
        <v>0</v>
      </c>
      <c r="CG92" s="92">
        <v>106594</v>
      </c>
      <c r="CH92" s="92">
        <v>19080</v>
      </c>
      <c r="CI92" s="92">
        <v>30196</v>
      </c>
      <c r="CJ92" s="92">
        <v>33529</v>
      </c>
      <c r="CK92" s="92">
        <v>128688</v>
      </c>
      <c r="CL92" s="92">
        <v>0</v>
      </c>
      <c r="CM92" s="92">
        <v>0</v>
      </c>
      <c r="CN92" s="92">
        <v>0</v>
      </c>
      <c r="CO92" s="92">
        <v>194659</v>
      </c>
      <c r="CP92" s="92">
        <v>75</v>
      </c>
      <c r="CQ92" s="92">
        <v>32647</v>
      </c>
      <c r="CR92" s="92">
        <v>0</v>
      </c>
      <c r="CS92" s="92">
        <v>430556</v>
      </c>
      <c r="CT92" s="92">
        <v>0</v>
      </c>
      <c r="CU92" s="92">
        <v>0</v>
      </c>
      <c r="CV92" s="92">
        <v>0</v>
      </c>
      <c r="CW92" s="92">
        <v>360936</v>
      </c>
      <c r="CX92" s="92">
        <v>21123</v>
      </c>
      <c r="CY92" s="92">
        <v>384187</v>
      </c>
      <c r="CZ92" s="92">
        <v>25268</v>
      </c>
      <c r="DA92" s="92">
        <v>15784</v>
      </c>
      <c r="DB92" s="92">
        <v>0</v>
      </c>
      <c r="DC92" s="92">
        <v>0</v>
      </c>
      <c r="DD92" s="92">
        <v>0</v>
      </c>
      <c r="DE92" s="92">
        <v>39809</v>
      </c>
      <c r="DF92" s="92">
        <v>0</v>
      </c>
      <c r="DG92" s="92">
        <v>30246</v>
      </c>
      <c r="DH92" s="92">
        <v>0</v>
      </c>
      <c r="DI92" s="92">
        <v>705878</v>
      </c>
      <c r="DJ92" s="92">
        <v>0</v>
      </c>
      <c r="DK92" s="92">
        <v>0</v>
      </c>
      <c r="DL92" s="92">
        <v>0</v>
      </c>
      <c r="DM92" s="92">
        <v>455717</v>
      </c>
      <c r="DN92" s="92">
        <v>0</v>
      </c>
      <c r="DO92" s="92">
        <v>1444841</v>
      </c>
      <c r="DP92" s="92">
        <v>0</v>
      </c>
      <c r="DQ92" s="92">
        <v>416007</v>
      </c>
      <c r="DR92" s="92">
        <v>0</v>
      </c>
      <c r="DS92" s="92">
        <v>0</v>
      </c>
      <c r="DT92" s="92">
        <v>0</v>
      </c>
      <c r="DU92" s="92">
        <v>314935</v>
      </c>
      <c r="DV92" s="92">
        <v>15195</v>
      </c>
      <c r="DW92" s="92">
        <v>290277</v>
      </c>
      <c r="DX92" s="92">
        <v>15000</v>
      </c>
      <c r="DY92" s="92">
        <v>301694</v>
      </c>
      <c r="DZ92" s="92">
        <v>0</v>
      </c>
      <c r="EA92" s="92">
        <v>0</v>
      </c>
      <c r="EB92" s="92">
        <v>0</v>
      </c>
      <c r="EC92" s="92">
        <v>138813</v>
      </c>
      <c r="ED92" s="92">
        <v>0</v>
      </c>
      <c r="EE92" s="92">
        <v>101264</v>
      </c>
      <c r="EF92" s="92">
        <v>5396</v>
      </c>
      <c r="EG92" s="92">
        <v>444</v>
      </c>
      <c r="EH92" s="92">
        <v>0</v>
      </c>
      <c r="EI92" s="92">
        <v>0</v>
      </c>
      <c r="EJ92" s="92">
        <v>0</v>
      </c>
      <c r="EK92" s="92">
        <v>67652</v>
      </c>
      <c r="EL92" s="92">
        <v>1259</v>
      </c>
      <c r="EM92" s="92">
        <v>2469</v>
      </c>
      <c r="EN92" s="92">
        <v>0</v>
      </c>
      <c r="EO92" s="92">
        <v>47250</v>
      </c>
      <c r="EP92" s="92">
        <v>0</v>
      </c>
      <c r="EQ92" s="92">
        <v>0</v>
      </c>
      <c r="ER92" s="92">
        <v>0</v>
      </c>
      <c r="ES92" s="92">
        <v>264169</v>
      </c>
      <c r="ET92" s="92">
        <v>5000</v>
      </c>
      <c r="EU92" s="92">
        <v>273808</v>
      </c>
      <c r="EV92" s="92">
        <v>2550</v>
      </c>
      <c r="EW92" s="92">
        <v>0</v>
      </c>
      <c r="EX92" s="92">
        <v>0</v>
      </c>
      <c r="EY92" s="92">
        <v>0</v>
      </c>
      <c r="EZ92" s="92">
        <v>0</v>
      </c>
      <c r="FA92" s="92">
        <v>0</v>
      </c>
      <c r="FB92" s="92">
        <v>0</v>
      </c>
      <c r="FC92" s="92">
        <v>0</v>
      </c>
      <c r="FD92" s="92">
        <v>0</v>
      </c>
      <c r="FE92" s="92">
        <v>0</v>
      </c>
      <c r="FF92" s="92">
        <v>0</v>
      </c>
      <c r="FG92" s="92">
        <v>0</v>
      </c>
      <c r="FH92" s="92">
        <v>0</v>
      </c>
      <c r="FI92" s="92">
        <v>0</v>
      </c>
      <c r="FJ92" s="92">
        <v>0</v>
      </c>
      <c r="FK92" s="92">
        <v>0</v>
      </c>
      <c r="FL92" s="92">
        <v>0</v>
      </c>
      <c r="FM92" s="92">
        <v>0</v>
      </c>
      <c r="FN92" s="92">
        <v>0</v>
      </c>
      <c r="FO92" s="92">
        <v>0</v>
      </c>
      <c r="FP92" s="92">
        <v>0</v>
      </c>
      <c r="FQ92" s="92">
        <v>0</v>
      </c>
      <c r="FR92" s="92">
        <v>0</v>
      </c>
      <c r="FS92" s="92">
        <v>0</v>
      </c>
      <c r="FT92" s="92">
        <v>0</v>
      </c>
      <c r="FU92" s="92">
        <v>0</v>
      </c>
      <c r="FV92" s="92">
        <v>0</v>
      </c>
      <c r="FW92" s="92">
        <v>0</v>
      </c>
      <c r="FX92" s="92">
        <v>0</v>
      </c>
      <c r="FY92" s="92">
        <v>0</v>
      </c>
      <c r="FZ92" s="92">
        <v>0</v>
      </c>
      <c r="GA92" s="92">
        <v>0</v>
      </c>
      <c r="GB92" s="92">
        <v>0</v>
      </c>
      <c r="GC92" s="92" t="s">
        <v>553</v>
      </c>
      <c r="GD92" s="92" t="s">
        <v>553</v>
      </c>
      <c r="GE92" s="92" t="s">
        <v>553</v>
      </c>
      <c r="GF92" s="92" t="s">
        <v>553</v>
      </c>
      <c r="GG92" s="47" t="s">
        <v>320</v>
      </c>
      <c r="GH92" s="47" t="s">
        <v>650</v>
      </c>
      <c r="GI92" s="93">
        <v>2104737359</v>
      </c>
      <c r="GJ92" s="47" t="s">
        <v>651</v>
      </c>
      <c r="GK92" s="185" t="s">
        <v>1010</v>
      </c>
      <c r="GM92" s="93" t="s">
        <v>1010</v>
      </c>
      <c r="GN92" s="185" t="s">
        <v>1010</v>
      </c>
      <c r="GO92" s="92" t="str" cm="1">
        <f t="array" ref="GO92">IFERROR(_xlfn.IFS(ResearchInput[[#This Row],[Type]]="HRI",SUMIFS('FTSE | FTFE'!$P$8:$P$77,'FTSE | FTFE'!$H$8:$H$77,A92),ResearchInput[[#This Row],[Type]]="UNIV",SUMIFS('FTSE | FTFE'!$P$104:$P$139,'FTSE | FTFE'!$H$104:$H$139,A92),OR(ResearchInput[[#This Row],[Type]]="TSTC",ResearchInput[[#This Row],[Type]]="LSC"),SUMIFS('FTSE | FTFE'!$O$88:$O$96,'FTSE | FTFE'!$H$88:$H$96,A92),ResearchInput[[#This Row],[Type]]="AHM",SUMIFS(Hidden!$H$43:$H$46,Hidden!$G$42:$G$45,A92)),"N/A")</f>
        <v>N/A</v>
      </c>
      <c r="GP92" s="92" t="str" cm="1">
        <f t="array" ref="GP92">IFERROR(_xlfn.IFS(ResearchInput[[#This Row],[Type]]="HRI",SUMIFS('FTSE | FTFE'!$Q$8:$Q$77,'FTSE | FTFE'!$H$8:$H$77,A92),ResearchInput[[#This Row],[Type]]="UNIV",SUMIFS('FTSE | FTFE'!$Q$104:$Q$139,'FTSE | FTFE'!$H$104:$H$139,A92),OR(ResearchInput[[#This Row],[Type]]="TSTC",ResearchInput[[#This Row],[Type]]="LSC"),SUMIFS('FTSE | FTFE'!$P$88:$P$96,'FTSE | FTFE'!$H$88:$H$96,A92)),"N/A")</f>
        <v>N/A</v>
      </c>
      <c r="GQ92" s="92"/>
      <c r="GR92" s="92">
        <f>SUM(ResearchInput[[#This Row],[Fed.Comp]],ResearchInput[[#This Row],[Fed.Eng]],ResearchInput[[#This Row],[Fed.Geo]],ResearchInput[[#This Row],[Fed.Life]],ResearchInput[[#This Row],[Fed.Math]],ResearchInput[[#This Row],[Fed.Phys]],ResearchInput[[#This Row],[Fed.Psyc]],ResearchInput[[#This Row],[Fed.Soc]],ResearchInput[[#This Row],[Fed.Othr]],ResearchInput[[#This Row],[Fed.Non]])</f>
        <v>2170458</v>
      </c>
      <c r="GS92" s="92">
        <f>SUM(ResearchInput[[#This Row],[St.Comp]],ResearchInput[[#This Row],[St.Eng]],ResearchInput[[#This Row],[St.Geo]],ResearchInput[[#This Row],[St.Life]],ResearchInput[[#This Row],[St.Math]],ResearchInput[[#This Row],[St.Phys]],ResearchInput[[#This Row],[St.Psyc]],ResearchInput[[#This Row],[St.Soc]],ResearchInput[[#This Row],[St.Othr]],ResearchInput[[#This Row],[St.Non]])</f>
        <v>0</v>
      </c>
      <c r="GT92" s="92">
        <f>SUM(ResearchInput[[#This Row],[St.C&amp;G.Comp]],ResearchInput[[#This Row],[St.C&amp;G.Eng]],ResearchInput[[#This Row],[St.C&amp;G.Geo]],ResearchInput[[#This Row],[St.C&amp;G.Life]],ResearchInput[[#This Row],[St.C&amp;G.Math]],ResearchInput[[#This Row],[St.C&amp;G.Phys]],ResearchInput[[#This Row],[St.C&amp;G.Psyc]],ResearchInput[[#This Row],[St.C&amp;G.Soc]],ResearchInput[[#This Row],[St.C&amp;G.Othr]],ResearchInput[[#This Row],[St.C&amp;G.Non]])</f>
        <v>0</v>
      </c>
      <c r="GU92" s="92">
        <f>SUM(ResearchInput[[#This Row],[St.All.Comp]],ResearchInput[[#This Row],[St.All.Eng]],ResearchInput[[#This Row],[St.All.Geo]],ResearchInput[[#This Row],[St.All.Life]],ResearchInput[[#This Row],[St.All.Math]],ResearchInput[[#This Row],[St.All.Phys]],ResearchInput[[#This Row],[St.All.Psyc]],ResearchInput[[#This Row],[St.All.Soc]],ResearchInput[[#This Row],[St.All.Othr]],ResearchInput[[#This Row],[St.All.Non]])</f>
        <v>0</v>
      </c>
      <c r="GV92" s="92">
        <f>SUM(ResearchInput[[#This Row],[Inst.Comp]],ResearchInput[[#This Row],[Inst.Eng]],ResearchInput[[#This Row],[Inst.Geo]],ResearchInput[[#This Row],[Inst.Life]],ResearchInput[[#This Row],[Inst.Math]],ResearchInput[[#This Row],[Inst.Phys]],ResearchInput[[#This Row],[Inst.Psyc]],ResearchInput[[#This Row],[Inst.Soc]],ResearchInput[[#This Row],[Inst.Othr]],ResearchInput[[#This Row],[Inst.Non]])</f>
        <v>2201343</v>
      </c>
      <c r="GW92" s="92">
        <f>SUM(ResearchInput[[#This Row],[P4P.Comp]],ResearchInput[[#This Row],[P4P.Eng]],ResearchInput[[#This Row],[P4P.Geo]],ResearchInput[[#This Row],[P4P.Life]],ResearchInput[[#This Row],[P4P.Math]],ResearchInput[[#This Row],[P4P.Phys]],ResearchInput[[#This Row],[P4P.Psyc]],ResearchInput[[#This Row],[P4P.Soc]],ResearchInput[[#This Row],[P4P.Othr]],ResearchInput[[#This Row],[P4P.Non]])</f>
        <v>61732</v>
      </c>
      <c r="GX92" s="92">
        <f>SUM(ResearchInput[[#This Row],[PNP.Comp]],ResearchInput[[#This Row],[PNP.Eng]],ResearchInput[[#This Row],[PNP.Geo]],ResearchInput[[#This Row],[PNP.Life]],ResearchInput[[#This Row],[PNP.Math]],ResearchInput[[#This Row],[PNP.Phys]],ResearchInput[[#This Row],[PNP.Psyc]],ResearchInput[[#This Row],[PNP.Soc]],ResearchInput[[#This Row],[PNP.Othr]],ResearchInput[[#This Row],[PNP.Non]])</f>
        <v>2660663</v>
      </c>
      <c r="GY92" s="92">
        <f>SUM(ResearchInput[[#This Row],[P.All.Comp]],ResearchInput[[#This Row],[P.All.Eng]],ResearchInput[[#This Row],[P.All.Geo]],ResearchInput[[#This Row],[P.All.Life]],ResearchInput[[#This Row],[P.All.Math]],ResearchInput[[#This Row],[P.All.Phys]],ResearchInput[[#This Row],[P.All.Psyc]],ResearchInput[[#This Row],[P.All.Soc]],ResearchInput[[#This Row],[P.All.Othr]],ResearchInput[[#This Row],[P.All.Non]])</f>
        <v>81743</v>
      </c>
    </row>
    <row r="93" spans="1:207" s="47" customFormat="1" ht="27" customHeight="1" x14ac:dyDescent="0.25">
      <c r="A93" s="34" t="s">
        <v>652</v>
      </c>
      <c r="B93" s="34" t="s">
        <v>670</v>
      </c>
      <c r="C93" s="35" t="s">
        <v>553</v>
      </c>
      <c r="D93" s="35" t="s">
        <v>713</v>
      </c>
      <c r="E93" s="94">
        <v>1213</v>
      </c>
      <c r="F93" s="35" t="s">
        <v>714</v>
      </c>
      <c r="G93" s="35" t="s">
        <v>553</v>
      </c>
      <c r="H93" s="96">
        <v>3651</v>
      </c>
      <c r="I93" s="92">
        <v>19200</v>
      </c>
      <c r="J93" s="92">
        <v>0</v>
      </c>
      <c r="K93" s="92">
        <v>0</v>
      </c>
      <c r="L93" s="92">
        <v>0</v>
      </c>
      <c r="M93" s="92">
        <v>0</v>
      </c>
      <c r="N93" s="92">
        <v>0</v>
      </c>
      <c r="O93" s="92">
        <v>48800</v>
      </c>
      <c r="P93" s="92">
        <v>0</v>
      </c>
      <c r="Q93" s="92">
        <v>0</v>
      </c>
      <c r="R93" s="92">
        <v>0</v>
      </c>
      <c r="S93" s="92">
        <v>0</v>
      </c>
      <c r="T93" s="92">
        <v>0</v>
      </c>
      <c r="U93" s="92">
        <v>0</v>
      </c>
      <c r="V93" s="92">
        <v>0</v>
      </c>
      <c r="W93" s="92">
        <v>0</v>
      </c>
      <c r="X93" s="92">
        <v>0</v>
      </c>
      <c r="Y93" s="92">
        <v>0</v>
      </c>
      <c r="Z93" s="92">
        <v>0</v>
      </c>
      <c r="AA93" s="92">
        <v>0</v>
      </c>
      <c r="AB93" s="92">
        <v>0</v>
      </c>
      <c r="AC93" s="92">
        <v>0</v>
      </c>
      <c r="AD93" s="92">
        <v>0</v>
      </c>
      <c r="AE93" s="92">
        <v>0</v>
      </c>
      <c r="AF93" s="92">
        <v>0</v>
      </c>
      <c r="AG93" s="92">
        <v>-2000</v>
      </c>
      <c r="AH93" s="92">
        <v>0</v>
      </c>
      <c r="AI93" s="92">
        <v>0</v>
      </c>
      <c r="AJ93" s="92">
        <v>0</v>
      </c>
      <c r="AK93" s="92">
        <v>0</v>
      </c>
      <c r="AL93" s="92">
        <v>0</v>
      </c>
      <c r="AM93" s="92">
        <v>0</v>
      </c>
      <c r="AN93" s="92">
        <v>0</v>
      </c>
      <c r="AO93" s="92">
        <v>0</v>
      </c>
      <c r="AP93" s="92">
        <v>0</v>
      </c>
      <c r="AQ93" s="92">
        <v>0</v>
      </c>
      <c r="AR93" s="92">
        <v>0</v>
      </c>
      <c r="AS93" s="92">
        <v>0</v>
      </c>
      <c r="AT93" s="92">
        <v>0</v>
      </c>
      <c r="AU93" s="92">
        <v>75500</v>
      </c>
      <c r="AV93" s="92">
        <v>0</v>
      </c>
      <c r="AW93" s="92">
        <v>0</v>
      </c>
      <c r="AX93" s="92">
        <v>0</v>
      </c>
      <c r="AY93" s="92">
        <v>0</v>
      </c>
      <c r="AZ93" s="92">
        <v>0</v>
      </c>
      <c r="BA93" s="92">
        <v>0</v>
      </c>
      <c r="BB93" s="92">
        <v>0</v>
      </c>
      <c r="BC93" s="92">
        <v>0</v>
      </c>
      <c r="BD93" s="92">
        <v>0</v>
      </c>
      <c r="BE93" s="92">
        <v>0</v>
      </c>
      <c r="BF93" s="92">
        <v>0</v>
      </c>
      <c r="BG93" s="92">
        <v>0</v>
      </c>
      <c r="BH93" s="92">
        <v>0</v>
      </c>
      <c r="BI93" s="92">
        <v>0</v>
      </c>
      <c r="BJ93" s="92">
        <v>0</v>
      </c>
      <c r="BK93" s="92">
        <v>0</v>
      </c>
      <c r="BL93" s="92">
        <v>0</v>
      </c>
      <c r="BM93" s="92">
        <v>0</v>
      </c>
      <c r="BN93" s="92">
        <v>0</v>
      </c>
      <c r="BO93" s="92">
        <v>0</v>
      </c>
      <c r="BP93" s="92">
        <v>0</v>
      </c>
      <c r="BQ93" s="92">
        <v>0</v>
      </c>
      <c r="BR93" s="92">
        <v>0</v>
      </c>
      <c r="BS93" s="92">
        <v>0</v>
      </c>
      <c r="BT93" s="92">
        <v>0</v>
      </c>
      <c r="BU93" s="92">
        <v>0</v>
      </c>
      <c r="BV93" s="92">
        <v>0</v>
      </c>
      <c r="BW93" s="92">
        <v>0</v>
      </c>
      <c r="BX93" s="92">
        <v>0</v>
      </c>
      <c r="BY93" s="92">
        <v>0</v>
      </c>
      <c r="BZ93" s="92">
        <v>0</v>
      </c>
      <c r="CA93" s="92">
        <v>0</v>
      </c>
      <c r="CB93" s="92">
        <v>0</v>
      </c>
      <c r="CC93" s="92">
        <v>0</v>
      </c>
      <c r="CD93" s="92">
        <v>0</v>
      </c>
      <c r="CE93" s="92">
        <v>0</v>
      </c>
      <c r="CF93" s="92">
        <v>0</v>
      </c>
      <c r="CG93" s="92">
        <v>0</v>
      </c>
      <c r="CH93" s="92">
        <v>0</v>
      </c>
      <c r="CI93" s="92">
        <v>0</v>
      </c>
      <c r="CJ93" s="92">
        <v>0</v>
      </c>
      <c r="CK93" s="92">
        <v>0</v>
      </c>
      <c r="CL93" s="92">
        <v>0</v>
      </c>
      <c r="CM93" s="92">
        <v>0</v>
      </c>
      <c r="CN93" s="92">
        <v>0</v>
      </c>
      <c r="CO93" s="92">
        <v>0</v>
      </c>
      <c r="CP93" s="92">
        <v>0</v>
      </c>
      <c r="CQ93" s="92">
        <v>0</v>
      </c>
      <c r="CR93" s="92">
        <v>0</v>
      </c>
      <c r="CS93" s="92">
        <v>0</v>
      </c>
      <c r="CT93" s="92">
        <v>0</v>
      </c>
      <c r="CU93" s="92">
        <v>0</v>
      </c>
      <c r="CV93" s="92">
        <v>0</v>
      </c>
      <c r="CW93" s="92">
        <v>0</v>
      </c>
      <c r="CX93" s="92">
        <v>0</v>
      </c>
      <c r="CY93" s="92">
        <v>8000</v>
      </c>
      <c r="CZ93" s="92">
        <v>0</v>
      </c>
      <c r="DA93" s="92">
        <v>0</v>
      </c>
      <c r="DB93" s="92">
        <v>0</v>
      </c>
      <c r="DC93" s="92">
        <v>0</v>
      </c>
      <c r="DD93" s="92">
        <v>0</v>
      </c>
      <c r="DE93" s="92">
        <v>0</v>
      </c>
      <c r="DF93" s="92">
        <v>0</v>
      </c>
      <c r="DG93" s="92">
        <v>0</v>
      </c>
      <c r="DH93" s="92">
        <v>0</v>
      </c>
      <c r="DI93" s="92">
        <v>17200</v>
      </c>
      <c r="DJ93" s="92">
        <v>0</v>
      </c>
      <c r="DK93" s="92">
        <v>0</v>
      </c>
      <c r="DL93" s="92">
        <v>0</v>
      </c>
      <c r="DM93" s="92">
        <v>0</v>
      </c>
      <c r="DN93" s="92">
        <v>0</v>
      </c>
      <c r="DO93" s="92">
        <v>116300</v>
      </c>
      <c r="DP93" s="92">
        <v>0</v>
      </c>
      <c r="DQ93" s="92">
        <v>0</v>
      </c>
      <c r="DR93" s="92">
        <v>0</v>
      </c>
      <c r="DS93" s="92">
        <v>0</v>
      </c>
      <c r="DT93" s="92">
        <v>0</v>
      </c>
      <c r="DU93" s="92">
        <v>0</v>
      </c>
      <c r="DV93" s="92">
        <v>0</v>
      </c>
      <c r="DW93" s="92">
        <v>0</v>
      </c>
      <c r="DX93" s="92">
        <v>0</v>
      </c>
      <c r="DY93" s="92">
        <v>0</v>
      </c>
      <c r="DZ93" s="92">
        <v>0</v>
      </c>
      <c r="EA93" s="92">
        <v>0</v>
      </c>
      <c r="EB93" s="92">
        <v>0</v>
      </c>
      <c r="EC93" s="92">
        <v>0</v>
      </c>
      <c r="ED93" s="92">
        <v>0</v>
      </c>
      <c r="EE93" s="92">
        <v>0</v>
      </c>
      <c r="EF93" s="92">
        <v>0</v>
      </c>
      <c r="EG93" s="92">
        <v>0</v>
      </c>
      <c r="EH93" s="92">
        <v>0</v>
      </c>
      <c r="EI93" s="92">
        <v>0</v>
      </c>
      <c r="EJ93" s="92">
        <v>0</v>
      </c>
      <c r="EK93" s="92">
        <v>0</v>
      </c>
      <c r="EL93" s="92">
        <v>0</v>
      </c>
      <c r="EM93" s="92">
        <v>0</v>
      </c>
      <c r="EN93" s="92">
        <v>0</v>
      </c>
      <c r="EO93" s="92">
        <v>0</v>
      </c>
      <c r="EP93" s="92">
        <v>0</v>
      </c>
      <c r="EQ93" s="92">
        <v>0</v>
      </c>
      <c r="ER93" s="92">
        <v>0</v>
      </c>
      <c r="ES93" s="92">
        <v>0</v>
      </c>
      <c r="ET93" s="92">
        <v>0</v>
      </c>
      <c r="EU93" s="92">
        <v>0</v>
      </c>
      <c r="EV93" s="92">
        <v>0</v>
      </c>
      <c r="EW93" s="92">
        <v>0</v>
      </c>
      <c r="EX93" s="92">
        <v>0</v>
      </c>
      <c r="EY93" s="92">
        <v>0</v>
      </c>
      <c r="EZ93" s="92">
        <v>0</v>
      </c>
      <c r="FA93" s="92">
        <v>0</v>
      </c>
      <c r="FB93" s="92">
        <v>0</v>
      </c>
      <c r="FC93" s="92">
        <v>0</v>
      </c>
      <c r="FD93" s="92">
        <v>0</v>
      </c>
      <c r="FE93" s="92">
        <v>0</v>
      </c>
      <c r="FF93" s="92">
        <v>0</v>
      </c>
      <c r="FG93" s="92">
        <v>0</v>
      </c>
      <c r="FH93" s="92">
        <v>0</v>
      </c>
      <c r="FI93" s="92">
        <v>0</v>
      </c>
      <c r="FJ93" s="92">
        <v>0</v>
      </c>
      <c r="FK93" s="92">
        <v>0</v>
      </c>
      <c r="FL93" s="92">
        <v>0</v>
      </c>
      <c r="FM93" s="92">
        <v>0</v>
      </c>
      <c r="FN93" s="92">
        <v>0</v>
      </c>
      <c r="FO93" s="92">
        <v>0</v>
      </c>
      <c r="FP93" s="92">
        <v>0</v>
      </c>
      <c r="FQ93" s="92">
        <v>0</v>
      </c>
      <c r="FR93" s="92">
        <v>0</v>
      </c>
      <c r="FS93" s="92">
        <v>0</v>
      </c>
      <c r="FT93" s="92">
        <v>0</v>
      </c>
      <c r="FU93" s="92">
        <v>0</v>
      </c>
      <c r="FV93" s="92">
        <v>0</v>
      </c>
      <c r="FW93" s="92">
        <v>0</v>
      </c>
      <c r="FX93" s="92">
        <v>0</v>
      </c>
      <c r="FY93" s="92">
        <v>0</v>
      </c>
      <c r="FZ93" s="92">
        <v>0</v>
      </c>
      <c r="GA93" s="92">
        <v>0</v>
      </c>
      <c r="GB93" s="92">
        <v>0</v>
      </c>
      <c r="GC93" s="92" t="s">
        <v>553</v>
      </c>
      <c r="GD93" s="92" t="s">
        <v>553</v>
      </c>
      <c r="GE93" s="92" t="s">
        <v>553</v>
      </c>
      <c r="GF93" s="92" t="s">
        <v>553</v>
      </c>
      <c r="GG93" s="47" t="s">
        <v>653</v>
      </c>
      <c r="GH93" s="47" t="s">
        <v>654</v>
      </c>
      <c r="GI93" s="93">
        <v>9727215177</v>
      </c>
      <c r="GJ93" s="47" t="s">
        <v>655</v>
      </c>
      <c r="GK93" s="185" t="s">
        <v>1010</v>
      </c>
      <c r="GL93" s="47" t="s">
        <v>656</v>
      </c>
      <c r="GM93" s="93">
        <v>2158961891</v>
      </c>
      <c r="GN93" s="47" t="s">
        <v>657</v>
      </c>
      <c r="GO93" s="92" t="str" cm="1">
        <f t="array" ref="GO93">IFERROR(_xlfn.IFS(ResearchInput[[#This Row],[Type]]="HRI",SUMIFS('FTSE | FTFE'!$P$8:$P$77,'FTSE | FTFE'!$H$8:$H$77,A93),ResearchInput[[#This Row],[Type]]="UNIV",SUMIFS('FTSE | FTFE'!$P$104:$P$139,'FTSE | FTFE'!$H$104:$H$139,A93),OR(ResearchInput[[#This Row],[Type]]="TSTC",ResearchInput[[#This Row],[Type]]="LSC"),SUMIFS('FTSE | FTFE'!$O$88:$O$96,'FTSE | FTFE'!$H$88:$H$96,A93),ResearchInput[[#This Row],[Type]]="AHM",SUMIFS(Hidden!$H$43:$H$46,Hidden!$G$42:$G$45,A93)),"N/A")</f>
        <v>N/A</v>
      </c>
      <c r="GP93" s="92" t="str" cm="1">
        <f t="array" ref="GP93">IFERROR(_xlfn.IFS(ResearchInput[[#This Row],[Type]]="HRI",SUMIFS('FTSE | FTFE'!$Q$8:$Q$77,'FTSE | FTFE'!$H$8:$H$77,A93),ResearchInput[[#This Row],[Type]]="UNIV",SUMIFS('FTSE | FTFE'!$Q$104:$Q$139,'FTSE | FTFE'!$H$104:$H$139,A93),OR(ResearchInput[[#This Row],[Type]]="TSTC",ResearchInput[[#This Row],[Type]]="LSC"),SUMIFS('FTSE | FTFE'!$P$88:$P$96,'FTSE | FTFE'!$H$88:$H$96,A93)),"N/A")</f>
        <v>N/A</v>
      </c>
      <c r="GQ93" s="92">
        <v>0</v>
      </c>
      <c r="GR93" s="92">
        <f>SUM(ResearchInput[[#This Row],[Fed.Comp]],ResearchInput[[#This Row],[Fed.Eng]],ResearchInput[[#This Row],[Fed.Geo]],ResearchInput[[#This Row],[Fed.Life]],ResearchInput[[#This Row],[Fed.Math]],ResearchInput[[#This Row],[Fed.Phys]],ResearchInput[[#This Row],[Fed.Psyc]],ResearchInput[[#This Row],[Fed.Soc]],ResearchInput[[#This Row],[Fed.Othr]],ResearchInput[[#This Row],[Fed.Non]])</f>
        <v>17200</v>
      </c>
      <c r="GS93" s="92">
        <f>SUM(ResearchInput[[#This Row],[St.Comp]],ResearchInput[[#This Row],[St.Eng]],ResearchInput[[#This Row],[St.Geo]],ResearchInput[[#This Row],[St.Life]],ResearchInput[[#This Row],[St.Math]],ResearchInput[[#This Row],[St.Phys]],ResearchInput[[#This Row],[St.Psyc]],ResearchInput[[#This Row],[St.Soc]],ResearchInput[[#This Row],[St.Othr]],ResearchInput[[#This Row],[St.Non]])</f>
        <v>0</v>
      </c>
      <c r="GT93" s="92">
        <f>SUM(ResearchInput[[#This Row],[St.C&amp;G.Comp]],ResearchInput[[#This Row],[St.C&amp;G.Eng]],ResearchInput[[#This Row],[St.C&amp;G.Geo]],ResearchInput[[#This Row],[St.C&amp;G.Life]],ResearchInput[[#This Row],[St.C&amp;G.Math]],ResearchInput[[#This Row],[St.C&amp;G.Phys]],ResearchInput[[#This Row],[St.C&amp;G.Psyc]],ResearchInput[[#This Row],[St.C&amp;G.Soc]],ResearchInput[[#This Row],[St.C&amp;G.Othr]],ResearchInput[[#This Row],[St.C&amp;G.Non]])</f>
        <v>0</v>
      </c>
      <c r="GU93" s="92">
        <f>SUM(ResearchInput[[#This Row],[St.All.Comp]],ResearchInput[[#This Row],[St.All.Eng]],ResearchInput[[#This Row],[St.All.Geo]],ResearchInput[[#This Row],[St.All.Life]],ResearchInput[[#This Row],[St.All.Math]],ResearchInput[[#This Row],[St.All.Phys]],ResearchInput[[#This Row],[St.All.Psyc]],ResearchInput[[#This Row],[St.All.Soc]],ResearchInput[[#This Row],[St.All.Othr]],ResearchInput[[#This Row],[St.All.Non]])</f>
        <v>0</v>
      </c>
      <c r="GV93" s="92">
        <f>SUM(ResearchInput[[#This Row],[Inst.Comp]],ResearchInput[[#This Row],[Inst.Eng]],ResearchInput[[#This Row],[Inst.Geo]],ResearchInput[[#This Row],[Inst.Life]],ResearchInput[[#This Row],[Inst.Math]],ResearchInput[[#This Row],[Inst.Phys]],ResearchInput[[#This Row],[Inst.Psyc]],ResearchInput[[#This Row],[Inst.Soc]],ResearchInput[[#This Row],[Inst.Othr]],ResearchInput[[#This Row],[Inst.Non]])</f>
        <v>0</v>
      </c>
      <c r="GW93" s="92">
        <f>SUM(ResearchInput[[#This Row],[P4P.Comp]],ResearchInput[[#This Row],[P4P.Eng]],ResearchInput[[#This Row],[P4P.Geo]],ResearchInput[[#This Row],[P4P.Life]],ResearchInput[[#This Row],[P4P.Math]],ResearchInput[[#This Row],[P4P.Phys]],ResearchInput[[#This Row],[P4P.Psyc]],ResearchInput[[#This Row],[P4P.Soc]],ResearchInput[[#This Row],[P4P.Othr]],ResearchInput[[#This Row],[P4P.Non]])</f>
        <v>0</v>
      </c>
      <c r="GX93" s="92">
        <f>SUM(ResearchInput[[#This Row],[PNP.Comp]],ResearchInput[[#This Row],[PNP.Eng]],ResearchInput[[#This Row],[PNP.Geo]],ResearchInput[[#This Row],[PNP.Life]],ResearchInput[[#This Row],[PNP.Math]],ResearchInput[[#This Row],[PNP.Phys]],ResearchInput[[#This Row],[PNP.Psyc]],ResearchInput[[#This Row],[PNP.Soc]],ResearchInput[[#This Row],[PNP.Othr]],ResearchInput[[#This Row],[PNP.Non]])</f>
        <v>124300</v>
      </c>
      <c r="GY93" s="92">
        <f>SUM(ResearchInput[[#This Row],[P.All.Comp]],ResearchInput[[#This Row],[P.All.Eng]],ResearchInput[[#This Row],[P.All.Geo]],ResearchInput[[#This Row],[P.All.Life]],ResearchInput[[#This Row],[P.All.Math]],ResearchInput[[#This Row],[P.All.Phys]],ResearchInput[[#This Row],[P.All.Psyc]],ResearchInput[[#This Row],[P.All.Soc]],ResearchInput[[#This Row],[P.All.Othr]],ResearchInput[[#This Row],[P.All.Non]])</f>
        <v>0</v>
      </c>
    </row>
    <row r="94" spans="1:207" ht="27" customHeight="1" x14ac:dyDescent="0.3">
      <c r="A94" s="34" t="s">
        <v>658</v>
      </c>
      <c r="B94" s="34" t="s">
        <v>670</v>
      </c>
      <c r="C94" s="35" t="s">
        <v>553</v>
      </c>
      <c r="D94" s="35" t="s">
        <v>713</v>
      </c>
      <c r="E94" s="94">
        <v>1214</v>
      </c>
      <c r="F94" s="35" t="s">
        <v>714</v>
      </c>
      <c r="G94" s="35" t="s">
        <v>553</v>
      </c>
      <c r="H94" s="96">
        <v>3663</v>
      </c>
      <c r="I94" s="92">
        <v>42512</v>
      </c>
      <c r="J94" s="92">
        <v>0</v>
      </c>
      <c r="K94" s="92">
        <v>0</v>
      </c>
      <c r="L94" s="92">
        <v>0</v>
      </c>
      <c r="M94" s="92">
        <v>5367</v>
      </c>
      <c r="N94" s="92">
        <v>2822</v>
      </c>
      <c r="O94" s="92">
        <v>44017</v>
      </c>
      <c r="P94" s="92">
        <v>0</v>
      </c>
      <c r="Q94" s="92">
        <v>0</v>
      </c>
      <c r="R94" s="92">
        <v>0</v>
      </c>
      <c r="S94" s="92">
        <v>0</v>
      </c>
      <c r="T94" s="92">
        <v>0</v>
      </c>
      <c r="U94" s="92">
        <v>0</v>
      </c>
      <c r="V94" s="92">
        <v>0</v>
      </c>
      <c r="W94" s="92">
        <v>0</v>
      </c>
      <c r="X94" s="92">
        <v>0</v>
      </c>
      <c r="Y94" s="92">
        <v>0</v>
      </c>
      <c r="Z94" s="92">
        <v>0</v>
      </c>
      <c r="AA94" s="92">
        <v>0</v>
      </c>
      <c r="AB94" s="92">
        <v>0</v>
      </c>
      <c r="AC94" s="92">
        <v>0</v>
      </c>
      <c r="AD94" s="92">
        <v>0</v>
      </c>
      <c r="AE94" s="92">
        <v>0</v>
      </c>
      <c r="AF94" s="92">
        <v>0</v>
      </c>
      <c r="AG94" s="92">
        <v>0</v>
      </c>
      <c r="AH94" s="92">
        <v>0</v>
      </c>
      <c r="AI94" s="92">
        <v>0</v>
      </c>
      <c r="AJ94" s="92">
        <v>0</v>
      </c>
      <c r="AK94" s="92">
        <v>4800</v>
      </c>
      <c r="AL94" s="92">
        <v>0</v>
      </c>
      <c r="AM94" s="92">
        <v>0</v>
      </c>
      <c r="AN94" s="92">
        <v>0</v>
      </c>
      <c r="AO94" s="92">
        <v>0</v>
      </c>
      <c r="AP94" s="92">
        <v>0</v>
      </c>
      <c r="AQ94" s="92">
        <v>0</v>
      </c>
      <c r="AR94" s="92">
        <v>0</v>
      </c>
      <c r="AS94" s="92">
        <v>0</v>
      </c>
      <c r="AT94" s="92">
        <v>0</v>
      </c>
      <c r="AU94" s="92">
        <v>0</v>
      </c>
      <c r="AV94" s="92">
        <v>0</v>
      </c>
      <c r="AW94" s="92">
        <v>0</v>
      </c>
      <c r="AX94" s="92">
        <v>0</v>
      </c>
      <c r="AY94" s="92">
        <v>0</v>
      </c>
      <c r="AZ94" s="92">
        <v>0</v>
      </c>
      <c r="BA94" s="92">
        <v>0</v>
      </c>
      <c r="BB94" s="92">
        <v>0</v>
      </c>
      <c r="BC94" s="92">
        <v>0</v>
      </c>
      <c r="BD94" s="92">
        <v>0</v>
      </c>
      <c r="BE94" s="92">
        <v>0</v>
      </c>
      <c r="BF94" s="92">
        <v>0</v>
      </c>
      <c r="BG94" s="92">
        <v>0</v>
      </c>
      <c r="BH94" s="92">
        <v>0</v>
      </c>
      <c r="BI94" s="92">
        <v>0</v>
      </c>
      <c r="BJ94" s="92">
        <v>0</v>
      </c>
      <c r="BK94" s="92">
        <v>0</v>
      </c>
      <c r="BL94" s="92">
        <v>0</v>
      </c>
      <c r="BM94" s="92">
        <v>0</v>
      </c>
      <c r="BN94" s="92">
        <v>0</v>
      </c>
      <c r="BO94" s="92">
        <v>0</v>
      </c>
      <c r="BP94" s="92">
        <v>0</v>
      </c>
      <c r="BQ94" s="92">
        <v>0</v>
      </c>
      <c r="BR94" s="92">
        <v>0</v>
      </c>
      <c r="BS94" s="92">
        <v>0</v>
      </c>
      <c r="BT94" s="92">
        <v>0</v>
      </c>
      <c r="BU94" s="92">
        <v>0</v>
      </c>
      <c r="BV94" s="92">
        <v>0</v>
      </c>
      <c r="BW94" s="92">
        <v>0</v>
      </c>
      <c r="BX94" s="92">
        <v>0</v>
      </c>
      <c r="BY94" s="92">
        <v>0</v>
      </c>
      <c r="BZ94" s="92">
        <v>2822</v>
      </c>
      <c r="CA94" s="92">
        <v>0</v>
      </c>
      <c r="CB94" s="92">
        <v>0</v>
      </c>
      <c r="CC94" s="92">
        <v>0</v>
      </c>
      <c r="CD94" s="92">
        <v>0</v>
      </c>
      <c r="CE94" s="92">
        <v>0</v>
      </c>
      <c r="CF94" s="92">
        <v>0</v>
      </c>
      <c r="CG94" s="92">
        <v>0</v>
      </c>
      <c r="CH94" s="92">
        <v>0</v>
      </c>
      <c r="CI94" s="92">
        <v>0</v>
      </c>
      <c r="CJ94" s="92">
        <v>0</v>
      </c>
      <c r="CK94" s="92">
        <v>0</v>
      </c>
      <c r="CL94" s="92">
        <v>0</v>
      </c>
      <c r="CM94" s="92">
        <v>0</v>
      </c>
      <c r="CN94" s="92">
        <v>0</v>
      </c>
      <c r="CO94" s="92">
        <v>0</v>
      </c>
      <c r="CP94" s="92">
        <v>0</v>
      </c>
      <c r="CQ94" s="92">
        <v>0</v>
      </c>
      <c r="CR94" s="92">
        <v>0</v>
      </c>
      <c r="CS94" s="92">
        <v>21214</v>
      </c>
      <c r="CT94" s="92">
        <v>0</v>
      </c>
      <c r="CU94" s="92">
        <v>0</v>
      </c>
      <c r="CV94" s="92">
        <v>0</v>
      </c>
      <c r="CW94" s="92">
        <v>5626</v>
      </c>
      <c r="CX94" s="92">
        <v>0</v>
      </c>
      <c r="CY94" s="92">
        <v>0</v>
      </c>
      <c r="CZ94" s="92">
        <v>0</v>
      </c>
      <c r="DA94" s="92">
        <v>21298</v>
      </c>
      <c r="DB94" s="92">
        <v>0</v>
      </c>
      <c r="DC94" s="92">
        <v>0</v>
      </c>
      <c r="DD94" s="92">
        <v>0</v>
      </c>
      <c r="DE94" s="92">
        <v>1200</v>
      </c>
      <c r="DF94" s="92">
        <v>0</v>
      </c>
      <c r="DG94" s="92">
        <v>0</v>
      </c>
      <c r="DH94" s="92">
        <v>0</v>
      </c>
      <c r="DI94" s="92">
        <v>0</v>
      </c>
      <c r="DJ94" s="92">
        <v>0</v>
      </c>
      <c r="DK94" s="92">
        <v>0</v>
      </c>
      <c r="DL94" s="92">
        <v>0</v>
      </c>
      <c r="DM94" s="92">
        <v>3341</v>
      </c>
      <c r="DN94" s="92">
        <v>0</v>
      </c>
      <c r="DO94" s="92">
        <v>44017</v>
      </c>
      <c r="DP94" s="92">
        <v>0</v>
      </c>
      <c r="DQ94" s="92">
        <v>0</v>
      </c>
      <c r="DR94" s="92">
        <v>0</v>
      </c>
      <c r="DS94" s="92">
        <v>0</v>
      </c>
      <c r="DT94" s="92">
        <v>0</v>
      </c>
      <c r="DU94" s="92">
        <v>0</v>
      </c>
      <c r="DV94" s="92">
        <v>0</v>
      </c>
      <c r="DW94" s="92">
        <v>0</v>
      </c>
      <c r="DX94" s="92">
        <v>0</v>
      </c>
      <c r="DY94" s="92">
        <v>0</v>
      </c>
      <c r="DZ94" s="92">
        <v>0</v>
      </c>
      <c r="EA94" s="92">
        <v>0</v>
      </c>
      <c r="EB94" s="92">
        <v>0</v>
      </c>
      <c r="EC94" s="92">
        <v>0</v>
      </c>
      <c r="ED94" s="92">
        <v>0</v>
      </c>
      <c r="EE94" s="92">
        <v>0</v>
      </c>
      <c r="EF94" s="92">
        <v>0</v>
      </c>
      <c r="EG94" s="92">
        <v>0</v>
      </c>
      <c r="EH94" s="92">
        <v>0</v>
      </c>
      <c r="EI94" s="92">
        <v>0</v>
      </c>
      <c r="EJ94" s="92">
        <v>0</v>
      </c>
      <c r="EK94" s="92">
        <v>0</v>
      </c>
      <c r="EL94" s="92">
        <v>0</v>
      </c>
      <c r="EM94" s="92">
        <v>0</v>
      </c>
      <c r="EN94" s="92">
        <v>0</v>
      </c>
      <c r="EO94" s="92">
        <v>0</v>
      </c>
      <c r="EP94" s="92">
        <v>0</v>
      </c>
      <c r="EQ94" s="92">
        <v>0</v>
      </c>
      <c r="ER94" s="92">
        <v>0</v>
      </c>
      <c r="ES94" s="92">
        <v>0</v>
      </c>
      <c r="ET94" s="92">
        <v>0</v>
      </c>
      <c r="EU94" s="92">
        <v>0</v>
      </c>
      <c r="EV94" s="92">
        <v>0</v>
      </c>
      <c r="EW94" s="92">
        <v>0</v>
      </c>
      <c r="EX94" s="92">
        <v>0</v>
      </c>
      <c r="EY94" s="92">
        <v>0</v>
      </c>
      <c r="EZ94" s="92">
        <v>0</v>
      </c>
      <c r="FA94" s="92">
        <v>0</v>
      </c>
      <c r="FB94" s="92">
        <v>0</v>
      </c>
      <c r="FC94" s="92">
        <v>0</v>
      </c>
      <c r="FD94" s="92">
        <v>0</v>
      </c>
      <c r="FE94" s="92">
        <v>0</v>
      </c>
      <c r="FF94" s="92">
        <v>0</v>
      </c>
      <c r="FG94" s="92">
        <v>0</v>
      </c>
      <c r="FH94" s="92">
        <v>0</v>
      </c>
      <c r="FI94" s="92">
        <v>0</v>
      </c>
      <c r="FJ94" s="92">
        <v>0</v>
      </c>
      <c r="FK94" s="92">
        <v>0</v>
      </c>
      <c r="FL94" s="92">
        <v>0</v>
      </c>
      <c r="FM94" s="92">
        <v>0</v>
      </c>
      <c r="FN94" s="92">
        <v>0</v>
      </c>
      <c r="FO94" s="92">
        <v>0</v>
      </c>
      <c r="FP94" s="92">
        <v>0</v>
      </c>
      <c r="FQ94" s="92">
        <v>0</v>
      </c>
      <c r="FR94" s="92">
        <v>0</v>
      </c>
      <c r="FS94" s="92">
        <v>0</v>
      </c>
      <c r="FT94" s="92">
        <v>0</v>
      </c>
      <c r="FU94" s="92">
        <v>0</v>
      </c>
      <c r="FV94" s="92">
        <v>0</v>
      </c>
      <c r="FW94" s="92">
        <v>0</v>
      </c>
      <c r="FX94" s="92">
        <v>0</v>
      </c>
      <c r="FY94" s="92">
        <v>0</v>
      </c>
      <c r="FZ94" s="92">
        <v>0</v>
      </c>
      <c r="GA94" s="92">
        <v>0</v>
      </c>
      <c r="GB94" s="92">
        <v>0</v>
      </c>
      <c r="GC94" s="92" t="s">
        <v>553</v>
      </c>
      <c r="GD94" s="92" t="s">
        <v>553</v>
      </c>
      <c r="GE94" s="92" t="s">
        <v>553</v>
      </c>
      <c r="GF94" s="92" t="s">
        <v>553</v>
      </c>
      <c r="GG94" s="47" t="s">
        <v>659</v>
      </c>
      <c r="GH94" s="47" t="s">
        <v>660</v>
      </c>
      <c r="GI94" s="93">
        <v>8062913406</v>
      </c>
      <c r="GJ94" s="47" t="s">
        <v>661</v>
      </c>
      <c r="GK94" s="185" t="s">
        <v>1010</v>
      </c>
      <c r="GL94" s="47" t="s">
        <v>662</v>
      </c>
      <c r="GM94" s="93">
        <v>8062913411</v>
      </c>
      <c r="GN94" s="47" t="s">
        <v>663</v>
      </c>
      <c r="GO94" s="92" t="str" cm="1">
        <f t="array" ref="GO94">IFERROR(_xlfn.IFS(ResearchInput[[#This Row],[Type]]="HRI",SUMIFS('FTSE | FTFE'!$P$8:$P$77,'FTSE | FTFE'!$H$8:$H$77,A94),ResearchInput[[#This Row],[Type]]="UNIV",SUMIFS('FTSE | FTFE'!$P$104:$P$139,'FTSE | FTFE'!$H$104:$H$139,A94),OR(ResearchInput[[#This Row],[Type]]="TSTC",ResearchInput[[#This Row],[Type]]="LSC"),SUMIFS('FTSE | FTFE'!$O$88:$O$96,'FTSE | FTFE'!$H$88:$H$96,A94),ResearchInput[[#This Row],[Type]]="AHM",SUMIFS(Hidden!$H$43:$H$46,Hidden!$G$42:$G$45,A94)),"N/A")</f>
        <v>N/A</v>
      </c>
      <c r="GP94" s="92" t="str" cm="1">
        <f t="array" ref="GP94">IFERROR(_xlfn.IFS(ResearchInput[[#This Row],[Type]]="HRI",SUMIFS('FTSE | FTFE'!$Q$8:$Q$77,'FTSE | FTFE'!$H$8:$H$77,A94),ResearchInput[[#This Row],[Type]]="UNIV",SUMIFS('FTSE | FTFE'!$Q$104:$Q$139,'FTSE | FTFE'!$H$104:$H$139,A94),OR(ResearchInput[[#This Row],[Type]]="TSTC",ResearchInput[[#This Row],[Type]]="LSC"),SUMIFS('FTSE | FTFE'!$P$88:$P$96,'FTSE | FTFE'!$H$88:$H$96,A94)),"N/A")</f>
        <v>N/A</v>
      </c>
      <c r="GQ94" s="92">
        <v>0</v>
      </c>
      <c r="GR94" s="92">
        <f>SUM(ResearchInput[[#This Row],[Fed.Comp]],ResearchInput[[#This Row],[Fed.Eng]],ResearchInput[[#This Row],[Fed.Geo]],ResearchInput[[#This Row],[Fed.Life]],ResearchInput[[#This Row],[Fed.Math]],ResearchInput[[#This Row],[Fed.Phys]],ResearchInput[[#This Row],[Fed.Psyc]],ResearchInput[[#This Row],[Fed.Soc]],ResearchInput[[#This Row],[Fed.Othr]],ResearchInput[[#This Row],[Fed.Non]])</f>
        <v>42512</v>
      </c>
      <c r="GS94" s="92">
        <f>SUM(ResearchInput[[#This Row],[St.Comp]],ResearchInput[[#This Row],[St.Eng]],ResearchInput[[#This Row],[St.Geo]],ResearchInput[[#This Row],[St.Life]],ResearchInput[[#This Row],[St.Math]],ResearchInput[[#This Row],[St.Phys]],ResearchInput[[#This Row],[St.Psyc]],ResearchInput[[#This Row],[St.Soc]],ResearchInput[[#This Row],[St.Othr]],ResearchInput[[#This Row],[St.Non]])</f>
        <v>0</v>
      </c>
      <c r="GT94" s="92">
        <f>SUM(ResearchInput[[#This Row],[St.C&amp;G.Comp]],ResearchInput[[#This Row],[St.C&amp;G.Eng]],ResearchInput[[#This Row],[St.C&amp;G.Geo]],ResearchInput[[#This Row],[St.C&amp;G.Life]],ResearchInput[[#This Row],[St.C&amp;G.Math]],ResearchInput[[#This Row],[St.C&amp;G.Phys]],ResearchInput[[#This Row],[St.C&amp;G.Psyc]],ResearchInput[[#This Row],[St.C&amp;G.Soc]],ResearchInput[[#This Row],[St.C&amp;G.Othr]],ResearchInput[[#This Row],[St.C&amp;G.Non]])</f>
        <v>0</v>
      </c>
      <c r="GU94" s="92">
        <f>SUM(ResearchInput[[#This Row],[St.All.Comp]],ResearchInput[[#This Row],[St.All.Eng]],ResearchInput[[#This Row],[St.All.Geo]],ResearchInput[[#This Row],[St.All.Life]],ResearchInput[[#This Row],[St.All.Math]],ResearchInput[[#This Row],[St.All.Phys]],ResearchInput[[#This Row],[St.All.Psyc]],ResearchInput[[#This Row],[St.All.Soc]],ResearchInput[[#This Row],[St.All.Othr]],ResearchInput[[#This Row],[St.All.Non]])</f>
        <v>0</v>
      </c>
      <c r="GV94" s="92">
        <f>SUM(ResearchInput[[#This Row],[Inst.Comp]],ResearchInput[[#This Row],[Inst.Eng]],ResearchInput[[#This Row],[Inst.Geo]],ResearchInput[[#This Row],[Inst.Life]],ResearchInput[[#This Row],[Inst.Math]],ResearchInput[[#This Row],[Inst.Phys]],ResearchInput[[#This Row],[Inst.Psyc]],ResearchInput[[#This Row],[Inst.Soc]],ResearchInput[[#This Row],[Inst.Othr]],ResearchInput[[#This Row],[Inst.Non]])</f>
        <v>10167</v>
      </c>
      <c r="GW94" s="92">
        <f>SUM(ResearchInput[[#This Row],[P4P.Comp]],ResearchInput[[#This Row],[P4P.Eng]],ResearchInput[[#This Row],[P4P.Geo]],ResearchInput[[#This Row],[P4P.Life]],ResearchInput[[#This Row],[P4P.Math]],ResearchInput[[#This Row],[P4P.Phys]],ResearchInput[[#This Row],[P4P.Psyc]],ResearchInput[[#This Row],[P4P.Soc]],ResearchInput[[#This Row],[P4P.Othr]],ResearchInput[[#This Row],[P4P.Non]])</f>
        <v>2822</v>
      </c>
      <c r="GX94" s="92">
        <f>SUM(ResearchInput[[#This Row],[PNP.Comp]],ResearchInput[[#This Row],[PNP.Eng]],ResearchInput[[#This Row],[PNP.Geo]],ResearchInput[[#This Row],[PNP.Life]],ResearchInput[[#This Row],[PNP.Math]],ResearchInput[[#This Row],[PNP.Phys]],ResearchInput[[#This Row],[PNP.Psyc]],ResearchInput[[#This Row],[PNP.Soc]],ResearchInput[[#This Row],[PNP.Othr]],ResearchInput[[#This Row],[PNP.Non]])</f>
        <v>44017</v>
      </c>
      <c r="GY94" s="92">
        <f>SUM(ResearchInput[[#This Row],[P.All.Comp]],ResearchInput[[#This Row],[P.All.Eng]],ResearchInput[[#This Row],[P.All.Geo]],ResearchInput[[#This Row],[P.All.Life]],ResearchInput[[#This Row],[P.All.Math]],ResearchInput[[#This Row],[P.All.Phys]],ResearchInput[[#This Row],[P.All.Psyc]],ResearchInput[[#This Row],[P.All.Soc]],ResearchInput[[#This Row],[P.All.Othr]],ResearchInput[[#This Row],[P.All.Non]])</f>
        <v>0</v>
      </c>
    </row>
    <row r="95" spans="1:207" ht="27" customHeight="1" x14ac:dyDescent="0.3">
      <c r="A95" s="34" t="s">
        <v>224</v>
      </c>
      <c r="B95" s="34" t="s">
        <v>670</v>
      </c>
      <c r="C95" s="35" t="s">
        <v>553</v>
      </c>
      <c r="D95" s="35" t="s">
        <v>713</v>
      </c>
      <c r="E95" s="94">
        <v>1215</v>
      </c>
      <c r="F95" s="35" t="s">
        <v>714</v>
      </c>
      <c r="G95" s="35" t="s">
        <v>553</v>
      </c>
      <c r="H95" s="96">
        <v>3604</v>
      </c>
      <c r="I95" s="92">
        <v>122503737</v>
      </c>
      <c r="J95" s="92">
        <v>402551</v>
      </c>
      <c r="K95" s="92">
        <v>13396853</v>
      </c>
      <c r="L95" s="92">
        <v>660135</v>
      </c>
      <c r="M95" s="92">
        <v>71870456</v>
      </c>
      <c r="N95" s="92">
        <v>897534</v>
      </c>
      <c r="O95" s="92">
        <v>49080254</v>
      </c>
      <c r="P95" s="92">
        <v>7906274</v>
      </c>
      <c r="Q95" s="92">
        <v>0</v>
      </c>
      <c r="R95" s="92">
        <v>0</v>
      </c>
      <c r="S95" s="92">
        <v>0</v>
      </c>
      <c r="T95" s="92">
        <v>0</v>
      </c>
      <c r="U95" s="92">
        <v>0</v>
      </c>
      <c r="V95" s="92">
        <v>0</v>
      </c>
      <c r="W95" s="92">
        <v>0</v>
      </c>
      <c r="X95" s="92">
        <v>0</v>
      </c>
      <c r="Y95" s="92">
        <v>0</v>
      </c>
      <c r="Z95" s="92">
        <v>0</v>
      </c>
      <c r="AA95" s="92">
        <v>-3331903</v>
      </c>
      <c r="AB95" s="92">
        <v>0</v>
      </c>
      <c r="AC95" s="92">
        <v>0</v>
      </c>
      <c r="AD95" s="92">
        <v>0</v>
      </c>
      <c r="AE95" s="92">
        <v>0</v>
      </c>
      <c r="AF95" s="92">
        <v>0</v>
      </c>
      <c r="AG95" s="92">
        <v>34830821</v>
      </c>
      <c r="AH95" s="92">
        <v>14878</v>
      </c>
      <c r="AI95" s="92">
        <v>500893</v>
      </c>
      <c r="AJ95" s="92">
        <v>55566</v>
      </c>
      <c r="AK95" s="92">
        <v>1154134</v>
      </c>
      <c r="AL95" s="92">
        <v>393078</v>
      </c>
      <c r="AM95" s="92">
        <v>2395850</v>
      </c>
      <c r="AN95" s="92">
        <v>2697793</v>
      </c>
      <c r="AO95" s="92">
        <v>4874198</v>
      </c>
      <c r="AP95" s="92">
        <v>0</v>
      </c>
      <c r="AQ95" s="92">
        <v>2266551</v>
      </c>
      <c r="AR95" s="92">
        <v>0</v>
      </c>
      <c r="AS95" s="92">
        <v>9924896</v>
      </c>
      <c r="AT95" s="92">
        <v>103358</v>
      </c>
      <c r="AU95" s="92">
        <v>575110</v>
      </c>
      <c r="AV95" s="92">
        <v>952684</v>
      </c>
      <c r="AW95" s="92">
        <v>0</v>
      </c>
      <c r="AX95" s="92">
        <v>0</v>
      </c>
      <c r="AY95" s="92">
        <v>0</v>
      </c>
      <c r="AZ95" s="92">
        <v>0</v>
      </c>
      <c r="BA95" s="92">
        <v>0</v>
      </c>
      <c r="BB95" s="92">
        <v>0</v>
      </c>
      <c r="BC95" s="92">
        <v>0</v>
      </c>
      <c r="BD95" s="92">
        <v>0</v>
      </c>
      <c r="BE95" s="92">
        <v>0</v>
      </c>
      <c r="BF95" s="92">
        <v>0</v>
      </c>
      <c r="BG95" s="92">
        <v>0</v>
      </c>
      <c r="BH95" s="92">
        <v>0</v>
      </c>
      <c r="BI95" s="92">
        <v>0</v>
      </c>
      <c r="BJ95" s="92">
        <v>0</v>
      </c>
      <c r="BK95" s="92">
        <v>0</v>
      </c>
      <c r="BL95" s="92">
        <v>0</v>
      </c>
      <c r="BM95" s="92">
        <v>-22538523</v>
      </c>
      <c r="BN95" s="92">
        <v>0</v>
      </c>
      <c r="BO95" s="92">
        <v>0</v>
      </c>
      <c r="BP95" s="92">
        <v>0</v>
      </c>
      <c r="BQ95" s="92">
        <v>-61945</v>
      </c>
      <c r="BR95" s="92">
        <v>-45000</v>
      </c>
      <c r="BS95" s="92">
        <v>-10372195</v>
      </c>
      <c r="BT95" s="92">
        <v>-716968</v>
      </c>
      <c r="BU95" s="92">
        <v>6583336</v>
      </c>
      <c r="BV95" s="92">
        <v>55153</v>
      </c>
      <c r="BW95" s="92">
        <v>459354</v>
      </c>
      <c r="BX95" s="92">
        <v>0</v>
      </c>
      <c r="BY95" s="92">
        <v>2312933</v>
      </c>
      <c r="BZ95" s="92">
        <v>3870</v>
      </c>
      <c r="CA95" s="92">
        <v>246902</v>
      </c>
      <c r="CB95" s="92">
        <v>105577</v>
      </c>
      <c r="CC95" s="92">
        <v>67764264</v>
      </c>
      <c r="CD95" s="92">
        <v>112625</v>
      </c>
      <c r="CE95" s="92">
        <v>6967009</v>
      </c>
      <c r="CF95" s="92">
        <v>50236</v>
      </c>
      <c r="CG95" s="92">
        <v>36041783</v>
      </c>
      <c r="CH95" s="92">
        <v>670992</v>
      </c>
      <c r="CI95" s="92">
        <v>27064712</v>
      </c>
      <c r="CJ95" s="92">
        <v>8157421</v>
      </c>
      <c r="CK95" s="92">
        <v>3452355</v>
      </c>
      <c r="CL95" s="92">
        <v>0</v>
      </c>
      <c r="CM95" s="92">
        <v>46513</v>
      </c>
      <c r="CN95" s="92">
        <v>0</v>
      </c>
      <c r="CO95" s="92">
        <v>1842902</v>
      </c>
      <c r="CP95" s="92">
        <v>630459</v>
      </c>
      <c r="CQ95" s="92">
        <v>99136</v>
      </c>
      <c r="CR95" s="92">
        <v>26692</v>
      </c>
      <c r="CS95" s="92">
        <v>14090695</v>
      </c>
      <c r="CT95" s="92">
        <v>50543</v>
      </c>
      <c r="CU95" s="92">
        <v>1755384</v>
      </c>
      <c r="CV95" s="92">
        <v>0</v>
      </c>
      <c r="CW95" s="92">
        <v>9432526</v>
      </c>
      <c r="CX95" s="92">
        <v>21089</v>
      </c>
      <c r="CY95" s="92">
        <v>2059298</v>
      </c>
      <c r="CZ95" s="92">
        <v>64730</v>
      </c>
      <c r="DA95" s="92">
        <v>3996277</v>
      </c>
      <c r="DB95" s="92">
        <v>48616</v>
      </c>
      <c r="DC95" s="92">
        <v>203689</v>
      </c>
      <c r="DD95" s="92">
        <v>258146</v>
      </c>
      <c r="DE95" s="92">
        <v>1464517</v>
      </c>
      <c r="DF95" s="92">
        <v>0</v>
      </c>
      <c r="DG95" s="92">
        <v>220752</v>
      </c>
      <c r="DH95" s="92">
        <v>584740</v>
      </c>
      <c r="DI95" s="92">
        <v>25060321</v>
      </c>
      <c r="DJ95" s="92">
        <v>150492</v>
      </c>
      <c r="DK95" s="92">
        <v>2755630</v>
      </c>
      <c r="DL95" s="92">
        <v>0</v>
      </c>
      <c r="DM95" s="92">
        <v>9120453</v>
      </c>
      <c r="DN95" s="92">
        <v>-72722</v>
      </c>
      <c r="DO95" s="92">
        <v>3883288</v>
      </c>
      <c r="DP95" s="92">
        <v>1618623</v>
      </c>
      <c r="DQ95" s="92">
        <v>4384708</v>
      </c>
      <c r="DR95" s="92">
        <v>0</v>
      </c>
      <c r="DS95" s="92">
        <v>223009</v>
      </c>
      <c r="DT95" s="92">
        <v>0</v>
      </c>
      <c r="DU95" s="92">
        <v>1014605</v>
      </c>
      <c r="DV95" s="92">
        <v>0</v>
      </c>
      <c r="DW95" s="92">
        <v>16363</v>
      </c>
      <c r="DX95" s="92">
        <v>0</v>
      </c>
      <c r="DY95" s="92">
        <v>1846348</v>
      </c>
      <c r="DZ95" s="92">
        <v>0</v>
      </c>
      <c r="EA95" s="92">
        <v>136811</v>
      </c>
      <c r="EB95" s="92">
        <v>407319</v>
      </c>
      <c r="EC95" s="92">
        <v>13883596</v>
      </c>
      <c r="ED95" s="92">
        <v>91878</v>
      </c>
      <c r="EE95" s="92">
        <v>4359987</v>
      </c>
      <c r="EF95" s="92">
        <v>234432</v>
      </c>
      <c r="EG95" s="92">
        <v>2484946</v>
      </c>
      <c r="EH95" s="92">
        <v>0</v>
      </c>
      <c r="EI95" s="92">
        <v>243171</v>
      </c>
      <c r="EJ95" s="92">
        <v>0</v>
      </c>
      <c r="EK95" s="92">
        <v>2345278</v>
      </c>
      <c r="EL95" s="92">
        <v>3404</v>
      </c>
      <c r="EM95" s="92">
        <v>74870</v>
      </c>
      <c r="EN95" s="92">
        <v>0</v>
      </c>
      <c r="EO95" s="92">
        <v>10006983</v>
      </c>
      <c r="EP95" s="92">
        <v>0</v>
      </c>
      <c r="EQ95" s="92">
        <v>41824</v>
      </c>
      <c r="ER95" s="92">
        <v>0</v>
      </c>
      <c r="ES95" s="92">
        <v>5428948</v>
      </c>
      <c r="ET95" s="92">
        <v>0</v>
      </c>
      <c r="EU95" s="92">
        <v>3653711</v>
      </c>
      <c r="EV95" s="92">
        <v>47568</v>
      </c>
      <c r="EW95" s="92">
        <v>0</v>
      </c>
      <c r="EX95" s="92">
        <v>0</v>
      </c>
      <c r="EY95" s="92">
        <v>0</v>
      </c>
      <c r="EZ95" s="92">
        <v>0</v>
      </c>
      <c r="FA95" s="92">
        <v>0</v>
      </c>
      <c r="FB95" s="92">
        <v>0</v>
      </c>
      <c r="FC95" s="92">
        <v>0</v>
      </c>
      <c r="FD95" s="92">
        <v>0</v>
      </c>
      <c r="FE95" s="92">
        <v>778619</v>
      </c>
      <c r="FF95" s="92">
        <v>0</v>
      </c>
      <c r="FG95" s="92">
        <v>0</v>
      </c>
      <c r="FH95" s="92">
        <v>0</v>
      </c>
      <c r="FI95" s="92">
        <v>139883</v>
      </c>
      <c r="FJ95" s="92">
        <v>0</v>
      </c>
      <c r="FK95" s="92">
        <v>0</v>
      </c>
      <c r="FL95" s="92">
        <v>0</v>
      </c>
      <c r="FM95" s="92">
        <v>493267</v>
      </c>
      <c r="FN95" s="92">
        <v>0</v>
      </c>
      <c r="FO95" s="92">
        <v>0</v>
      </c>
      <c r="FP95" s="92">
        <v>0</v>
      </c>
      <c r="FQ95" s="92">
        <v>196291</v>
      </c>
      <c r="FR95" s="92">
        <v>0</v>
      </c>
      <c r="FS95" s="92">
        <v>0</v>
      </c>
      <c r="FT95" s="92">
        <v>0</v>
      </c>
      <c r="FU95" s="92">
        <v>0</v>
      </c>
      <c r="FV95" s="92">
        <v>0</v>
      </c>
      <c r="FW95" s="92">
        <v>0</v>
      </c>
      <c r="FX95" s="92">
        <v>0</v>
      </c>
      <c r="FY95" s="92">
        <v>0</v>
      </c>
      <c r="FZ95" s="92">
        <v>0</v>
      </c>
      <c r="GA95" s="92">
        <v>0</v>
      </c>
      <c r="GB95" s="92">
        <v>0</v>
      </c>
      <c r="GC95" s="92" t="s">
        <v>553</v>
      </c>
      <c r="GD95" s="92" t="s">
        <v>553</v>
      </c>
      <c r="GE95" s="92" t="s">
        <v>553</v>
      </c>
      <c r="GF95" s="92" t="s">
        <v>553</v>
      </c>
      <c r="GG95" s="47" t="s">
        <v>664</v>
      </c>
      <c r="GH95" s="47" t="s">
        <v>665</v>
      </c>
      <c r="GI95" s="93">
        <v>7133483120</v>
      </c>
      <c r="GJ95" s="47" t="s">
        <v>666</v>
      </c>
      <c r="GK95" s="185" t="s">
        <v>1010</v>
      </c>
      <c r="GL95" s="47" t="s">
        <v>667</v>
      </c>
      <c r="GM95" s="93">
        <v>7133484794</v>
      </c>
      <c r="GN95" s="47" t="s">
        <v>668</v>
      </c>
      <c r="GO95" s="92" t="str" cm="1">
        <f t="array" ref="GO95">IFERROR(_xlfn.IFS(ResearchInput[[#This Row],[Type]]="HRI",SUMIFS('FTSE | FTFE'!$P$8:$P$77,'FTSE | FTFE'!$H$8:$H$77,A95),ResearchInput[[#This Row],[Type]]="UNIV",SUMIFS('FTSE | FTFE'!$P$104:$P$139,'FTSE | FTFE'!$H$104:$H$139,A95),OR(ResearchInput[[#This Row],[Type]]="TSTC",ResearchInput[[#This Row],[Type]]="LSC"),SUMIFS('FTSE | FTFE'!$O$88:$O$96,'FTSE | FTFE'!$H$88:$H$96,A95),ResearchInput[[#This Row],[Type]]="AHM",SUMIFS(Hidden!$H$43:$H$46,Hidden!$G$42:$G$45,A95)),"N/A")</f>
        <v>N/A</v>
      </c>
      <c r="GP95" s="92" t="str" cm="1">
        <f t="array" ref="GP95">IFERROR(_xlfn.IFS(ResearchInput[[#This Row],[Type]]="HRI",SUMIFS('FTSE | FTFE'!$Q$8:$Q$77,'FTSE | FTFE'!$H$8:$H$77,A95),ResearchInput[[#This Row],[Type]]="UNIV",SUMIFS('FTSE | FTFE'!$Q$104:$Q$139,'FTSE | FTFE'!$H$104:$H$139,A95),OR(ResearchInput[[#This Row],[Type]]="TSTC",ResearchInput[[#This Row],[Type]]="LSC"),SUMIFS('FTSE | FTFE'!$P$88:$P$96,'FTSE | FTFE'!$H$88:$H$96,A95)),"N/A")</f>
        <v>N/A</v>
      </c>
      <c r="GQ95" s="92">
        <v>0</v>
      </c>
      <c r="GR95" s="92">
        <f>SUM(ResearchInput[[#This Row],[Fed.Comp]],ResearchInput[[#This Row],[Fed.Eng]],ResearchInput[[#This Row],[Fed.Geo]],ResearchInput[[#This Row],[Fed.Life]],ResearchInput[[#This Row],[Fed.Math]],ResearchInput[[#This Row],[Fed.Phys]],ResearchInput[[#This Row],[Fed.Psyc]],ResearchInput[[#This Row],[Fed.Soc]],ResearchInput[[#This Row],[Fed.Othr]],ResearchInput[[#This Row],[Fed.Non]])</f>
        <v>139670233</v>
      </c>
      <c r="GS95" s="92">
        <f>SUM(ResearchInput[[#This Row],[St.Comp]],ResearchInput[[#This Row],[St.Eng]],ResearchInput[[#This Row],[St.Geo]],ResearchInput[[#This Row],[St.Life]],ResearchInput[[#This Row],[St.Math]],ResearchInput[[#This Row],[St.Phys]],ResearchInput[[#This Row],[St.Psyc]],ResearchInput[[#This Row],[St.Soc]],ResearchInput[[#This Row],[St.Othr]],ResearchInput[[#This Row],[St.Non]])</f>
        <v>417429</v>
      </c>
      <c r="GT95" s="92">
        <f>SUM(ResearchInput[[#This Row],[St.C&amp;G.Comp]],ResearchInput[[#This Row],[St.C&amp;G.Eng]],ResearchInput[[#This Row],[St.C&amp;G.Geo]],ResearchInput[[#This Row],[St.C&amp;G.Life]],ResearchInput[[#This Row],[St.C&amp;G.Math]],ResearchInput[[#This Row],[St.C&amp;G.Phys]],ResearchInput[[#This Row],[St.C&amp;G.Psyc]],ResearchInput[[#This Row],[St.C&amp;G.Soc]],ResearchInput[[#This Row],[St.C&amp;G.Othr]],ResearchInput[[#This Row],[St.C&amp;G.Non]])</f>
        <v>12832394</v>
      </c>
      <c r="GU95" s="92">
        <f>SUM(ResearchInput[[#This Row],[St.All.Comp]],ResearchInput[[#This Row],[St.All.Eng]],ResearchInput[[#This Row],[St.All.Geo]],ResearchInput[[#This Row],[St.All.Life]],ResearchInput[[#This Row],[St.All.Math]],ResearchInput[[#This Row],[St.All.Phys]],ResearchInput[[#This Row],[St.All.Psyc]],ResearchInput[[#This Row],[St.All.Soc]],ResearchInput[[#This Row],[St.All.Othr]],ResearchInput[[#This Row],[St.All.Non]])</f>
        <v>715701</v>
      </c>
      <c r="GV95" s="92">
        <f>SUM(ResearchInput[[#This Row],[Inst.Comp]],ResearchInput[[#This Row],[Inst.Eng]],ResearchInput[[#This Row],[Inst.Geo]],ResearchInput[[#This Row],[Inst.Life]],ResearchInput[[#This Row],[Inst.Math]],ResearchInput[[#This Row],[Inst.Phys]],ResearchInput[[#This Row],[Inst.Psyc]],ResearchInput[[#This Row],[Inst.Soc]],ResearchInput[[#This Row],[Inst.Othr]],ResearchInput[[#This Row],[Inst.Non]])</f>
        <v>82887541</v>
      </c>
      <c r="GW95" s="92">
        <f>SUM(ResearchInput[[#This Row],[P4P.Comp]],ResearchInput[[#This Row],[P4P.Eng]],ResearchInput[[#This Row],[P4P.Geo]],ResearchInput[[#This Row],[P4P.Life]],ResearchInput[[#This Row],[P4P.Math]],ResearchInput[[#This Row],[P4P.Phys]],ResearchInput[[#This Row],[P4P.Psyc]],ResearchInput[[#This Row],[P4P.Soc]],ResearchInput[[#This Row],[P4P.Othr]],ResearchInput[[#This Row],[P4P.Non]])</f>
        <v>1348970</v>
      </c>
      <c r="GX95" s="92">
        <f>SUM(ResearchInput[[#This Row],[PNP.Comp]],ResearchInput[[#This Row],[PNP.Eng]],ResearchInput[[#This Row],[PNP.Geo]],ResearchInput[[#This Row],[PNP.Life]],ResearchInput[[#This Row],[PNP.Math]],ResearchInput[[#This Row],[PNP.Phys]],ResearchInput[[#This Row],[PNP.Psyc]],ResearchInput[[#This Row],[PNP.Soc]],ResearchInput[[#This Row],[PNP.Othr]],ResearchInput[[#This Row],[PNP.Non]])</f>
        <v>41679019</v>
      </c>
      <c r="GY95" s="92">
        <f>SUM(ResearchInput[[#This Row],[P.All.Comp]],ResearchInput[[#This Row],[P.All.Eng]],ResearchInput[[#This Row],[P.All.Geo]],ResearchInput[[#This Row],[P.All.Life]],ResearchInput[[#This Row],[P.All.Math]],ResearchInput[[#This Row],[P.All.Phys]],ResearchInput[[#This Row],[P.All.Psyc]],ResearchInput[[#This Row],[P.All.Soc]],ResearchInput[[#This Row],[P.All.Othr]],ResearchInput[[#This Row],[P.All.Non]])</f>
        <v>10839783</v>
      </c>
    </row>
    <row r="96" spans="1:207" ht="26.1" customHeight="1" x14ac:dyDescent="0.3">
      <c r="GK96" s="93"/>
    </row>
    <row r="97" ht="24" customHeight="1" x14ac:dyDescent="0.3"/>
  </sheetData>
  <sheetProtection algorithmName="SHA-512" hashValue="CFizSb0bHyr1ZGPF7ni7eYRt3iNYa/vBQt5EragFdyUPjhx7vmdBqtnFBOAzPRQzOg11Hfcr1aV0Ncn+uDidYA==" saltValue="qYo8+F9LByyuJ4FH3j24fQ==" spinCount="100000" sheet="1" objects="1" scenarios="1" formatCells="0" formatColumns="0" formatRows="0"/>
  <phoneticPr fontId="1" type="noConversion"/>
  <pageMargins left="0.7" right="0.7" top="0.75" bottom="0.75" header="0.3" footer="0.3"/>
  <pageSetup orientation="portrait"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A59735-C08D-4A3B-B0F0-8F34A0D48E8C}">
  <sheetPr codeName="Sheet7">
    <tabColor theme="6"/>
  </sheetPr>
  <dimension ref="A1:S89"/>
  <sheetViews>
    <sheetView zoomScale="80" zoomScaleNormal="80" workbookViewId="0"/>
  </sheetViews>
  <sheetFormatPr defaultColWidth="8.6328125" defaultRowHeight="15.6" x14ac:dyDescent="0.3"/>
  <cols>
    <col min="1" max="7" width="6.6328125" style="6" customWidth="1"/>
    <col min="8" max="8" width="52.6328125" style="181" customWidth="1"/>
    <col min="9" max="9" width="30.6328125" style="181" customWidth="1"/>
    <col min="10" max="10" width="25.6328125" style="182" customWidth="1"/>
    <col min="11" max="11" width="35.6328125" style="6" customWidth="1"/>
    <col min="12" max="12" width="30.6328125" style="6" customWidth="1"/>
    <col min="13" max="13" width="25.6328125" style="182" customWidth="1"/>
    <col min="14" max="14" width="35.6328125" style="6" customWidth="1"/>
    <col min="15" max="19" width="8.6328125" style="6"/>
    <col min="20" max="16384" width="8.6328125" style="1"/>
  </cols>
  <sheetData>
    <row r="1" spans="1:19" ht="30" customHeight="1" x14ac:dyDescent="0.3">
      <c r="A1" s="5"/>
      <c r="B1" s="5"/>
      <c r="C1" s="5"/>
      <c r="D1" s="5"/>
      <c r="E1" s="5"/>
      <c r="F1" s="5"/>
      <c r="G1" s="5"/>
      <c r="H1" s="183" t="s">
        <v>0</v>
      </c>
      <c r="I1" s="183" t="s">
        <v>815</v>
      </c>
      <c r="J1" s="183" t="s">
        <v>816</v>
      </c>
      <c r="K1" s="183" t="s">
        <v>817</v>
      </c>
      <c r="L1" s="183" t="s">
        <v>818</v>
      </c>
      <c r="M1" s="183" t="s">
        <v>819</v>
      </c>
      <c r="N1" s="183" t="s">
        <v>820</v>
      </c>
      <c r="O1" s="5"/>
      <c r="P1" s="5"/>
      <c r="Q1" s="5"/>
      <c r="R1" s="5"/>
      <c r="S1" s="5"/>
    </row>
    <row r="2" spans="1:19" s="44" customFormat="1" ht="30" customHeight="1" x14ac:dyDescent="0.25">
      <c r="A2" s="43"/>
      <c r="B2" s="43"/>
      <c r="C2" s="43"/>
      <c r="D2" s="43"/>
      <c r="E2" s="43"/>
      <c r="F2" s="43"/>
      <c r="G2" s="43"/>
      <c r="H2" s="177" t="s">
        <v>552</v>
      </c>
      <c r="I2" s="177" t="str">
        <f>PROPER(_xlfn.XLOOKUP(H2,ResearchInput[Institution Name],ResearchInput[First],"",0,1)&amp;" "&amp;_xlfn.XLOOKUP(H2,ResearchInput[Institution Name],ResearchInput[Last],"",0,1))</f>
        <v>Raymond Wilkinson</v>
      </c>
      <c r="J2" s="178" t="str">
        <f>_xlfn.XLOOKUP(H2,ResearchInput[Institution Name],ResearchInput[Phone],"",0,1)</f>
        <v>unavailable</v>
      </c>
      <c r="K2" s="177" t="str">
        <f>LOWER(_xlfn.XLOOKUP(H2,ResearchInput[Institution Name],ResearchInput[Email],"",0,1))</f>
        <v>rww08b@acu.edu</v>
      </c>
      <c r="L2" s="177" t="str">
        <f>PROPER(_xlfn.XLOOKUP(H2,ResearchInput[Institution Name],ResearchInput[First.ALT],"",0,1)&amp;" "&amp;_xlfn.XLOOKUP(H2,ResearchInput[Institution Name],ResearchInput[Last.ALT],"",0,1))</f>
        <v>Karen Gililland</v>
      </c>
      <c r="M2" s="178" t="str">
        <f>_xlfn.XLOOKUP(H2,ResearchInput[Institution Name],ResearchInput[Phone.ALT],"",0,1)</f>
        <v>unavailable</v>
      </c>
      <c r="N2" s="177" t="str">
        <f>LOWER(_xlfn.XLOOKUP(H2,ResearchInput[Institution Name],ResearchInput[Email.ALT],"",0,1))</f>
        <v>kmg10b@acu.edu</v>
      </c>
      <c r="O2" s="43"/>
      <c r="P2" s="43"/>
      <c r="Q2" s="43"/>
      <c r="R2" s="43"/>
      <c r="S2" s="43"/>
    </row>
    <row r="3" spans="1:19" s="44" customFormat="1" ht="30" customHeight="1" x14ac:dyDescent="0.25">
      <c r="A3" s="43"/>
      <c r="B3" s="43"/>
      <c r="C3" s="43"/>
      <c r="D3" s="43"/>
      <c r="E3" s="43"/>
      <c r="F3" s="43"/>
      <c r="G3" s="43"/>
      <c r="H3" s="122" t="s">
        <v>192</v>
      </c>
      <c r="I3" s="122" t="str">
        <f>PROPER(_xlfn.XLOOKUP(H3,ResearchInput[Institution Name],ResearchInput[First],"",0,1)&amp;" "&amp;_xlfn.XLOOKUP(H3,ResearchInput[Institution Name],ResearchInput[Last],"",0,1))</f>
        <v>Gina Councilman</v>
      </c>
      <c r="J3" s="179">
        <f>_xlfn.XLOOKUP(H3,ResearchInput[Institution Name],ResearchInput[Phone],"",0,1)</f>
        <v>3259422014</v>
      </c>
      <c r="K3" s="122" t="str">
        <f>LOWER(_xlfn.XLOOKUP(H3,ResearchInput[Institution Name],ResearchInput[Email],"",0,1))</f>
        <v>gina.councilman@angelo.edu</v>
      </c>
      <c r="L3" s="122" t="str">
        <f>PROPER(_xlfn.XLOOKUP(H3,ResearchInput[Institution Name],ResearchInput[First.ALT],"",0,1)&amp;" "&amp;_xlfn.XLOOKUP(H3,ResearchInput[Institution Name],ResearchInput[Last.ALT],"",0,1))</f>
        <v>Jackie Baxter</v>
      </c>
      <c r="M3" s="179">
        <f>_xlfn.XLOOKUP(H3,ResearchInput[Institution Name],ResearchInput[Phone.ALT],"",0,1)</f>
        <v>3259422014</v>
      </c>
      <c r="N3" s="122" t="str">
        <f>LOWER(_xlfn.XLOOKUP(H3,ResearchInput[Institution Name],ResearchInput[Email.ALT],"",0,1))</f>
        <v>jackie.baxter@angelo.edu</v>
      </c>
      <c r="O3" s="43"/>
      <c r="P3" s="43"/>
      <c r="Q3" s="43"/>
      <c r="R3" s="43"/>
      <c r="S3" s="43"/>
    </row>
    <row r="4" spans="1:19" s="44" customFormat="1" ht="30" customHeight="1" x14ac:dyDescent="0.25">
      <c r="A4" s="43"/>
      <c r="B4" s="43"/>
      <c r="C4" s="43"/>
      <c r="D4" s="43"/>
      <c r="E4" s="43"/>
      <c r="F4" s="43"/>
      <c r="G4" s="43"/>
      <c r="H4" s="177" t="s">
        <v>560</v>
      </c>
      <c r="I4" s="177" t="str">
        <f>PROPER(_xlfn.XLOOKUP(H4,ResearchInput[Institution Name],ResearchInput[First],"",0,1)&amp;" "&amp;_xlfn.XLOOKUP(H4,ResearchInput[Institution Name],ResearchInput[Last],"",0,1))</f>
        <v>Amon Seagull</v>
      </c>
      <c r="J4" s="178" t="str">
        <f>_xlfn.XLOOKUP(H4,ResearchInput[Institution Name],ResearchInput[Phone],"",0,1)</f>
        <v>unavailable</v>
      </c>
      <c r="K4" s="177" t="str">
        <f>LOWER(_xlfn.XLOOKUP(H4,ResearchInput[Institution Name],ResearchInput[Email],"",0,1))</f>
        <v>aseagull@austincollege.edu</v>
      </c>
      <c r="L4" s="177" t="str">
        <f>PROPER(_xlfn.XLOOKUP(H4,ResearchInput[Institution Name],ResearchInput[First.ALT],"",0,1)&amp;" "&amp;_xlfn.XLOOKUP(H4,ResearchInput[Institution Name],ResearchInput[Last.ALT],"",0,1))</f>
        <v>Krystal Hutcheson</v>
      </c>
      <c r="M4" s="178" t="str">
        <f>_xlfn.XLOOKUP(H4,ResearchInput[Institution Name],ResearchInput[Phone.ALT],"",0,1)</f>
        <v>unavailable</v>
      </c>
      <c r="N4" s="177" t="str">
        <f>LOWER(_xlfn.XLOOKUP(H4,ResearchInput[Institution Name],ResearchInput[Email.ALT],"",0,1))</f>
        <v>khutcheson@austincollege.edu</v>
      </c>
      <c r="O4" s="43"/>
      <c r="P4" s="43"/>
      <c r="Q4" s="43"/>
      <c r="R4" s="43"/>
      <c r="S4" s="43"/>
    </row>
    <row r="5" spans="1:19" s="44" customFormat="1" ht="30" customHeight="1" x14ac:dyDescent="0.25">
      <c r="A5" s="43"/>
      <c r="B5" s="43"/>
      <c r="C5" s="43"/>
      <c r="D5" s="43"/>
      <c r="E5" s="43"/>
      <c r="F5" s="43"/>
      <c r="G5" s="43"/>
      <c r="H5" s="122" t="s">
        <v>567</v>
      </c>
      <c r="I5" s="122" t="str">
        <f>PROPER(_xlfn.XLOOKUP(H5,ResearchInput[Institution Name],ResearchInput[First],"",0,1)&amp;" "&amp;_xlfn.XLOOKUP(H5,ResearchInput[Institution Name],ResearchInput[Last],"",0,1))</f>
        <v>Cindy Todd</v>
      </c>
      <c r="J5" s="179" t="str">
        <f>_xlfn.XLOOKUP(H5,ResearchInput[Institution Name],ResearchInput[Phone],"",0,1)</f>
        <v>unavailable</v>
      </c>
      <c r="K5" s="122" t="str">
        <f>LOWER(_xlfn.XLOOKUP(H5,ResearchInput[Institution Name],ResearchInput[Email],"",0,1))</f>
        <v>cindy_todd@baylor.edu</v>
      </c>
      <c r="L5" s="122" t="str">
        <f>PROPER(_xlfn.XLOOKUP(H5,ResearchInput[Institution Name],ResearchInput[First.ALT],"",0,1)&amp;" "&amp;_xlfn.XLOOKUP(H5,ResearchInput[Institution Name],ResearchInput[Last.ALT],"",0,1))</f>
        <v>Suzanne Weems</v>
      </c>
      <c r="M5" s="179" t="str">
        <f>_xlfn.XLOOKUP(H5,ResearchInput[Institution Name],ResearchInput[Phone.ALT],"",0,1)</f>
        <v>unavailable</v>
      </c>
      <c r="N5" s="122" t="str">
        <f>LOWER(_xlfn.XLOOKUP(H5,ResearchInput[Institution Name],ResearchInput[Email.ALT],"",0,1))</f>
        <v>suzanne_weems@baylor.edu</v>
      </c>
      <c r="O5" s="43"/>
      <c r="P5" s="43"/>
      <c r="Q5" s="43"/>
      <c r="R5" s="43"/>
      <c r="S5" s="43"/>
    </row>
    <row r="6" spans="1:19" s="44" customFormat="1" ht="30" customHeight="1" x14ac:dyDescent="0.25">
      <c r="A6" s="43"/>
      <c r="B6" s="43"/>
      <c r="C6" s="43"/>
      <c r="D6" s="43"/>
      <c r="E6" s="43"/>
      <c r="F6" s="43"/>
      <c r="G6" s="43"/>
      <c r="H6" s="177" t="s">
        <v>180</v>
      </c>
      <c r="I6" s="177" t="str">
        <f>PROPER(_xlfn.XLOOKUP(H6,ResearchInput[Institution Name],ResearchInput[First],"",0,1)&amp;" "&amp;_xlfn.XLOOKUP(H6,ResearchInput[Institution Name],ResearchInput[Last],"",0,1))</f>
        <v>Nancy Hranicky</v>
      </c>
      <c r="J6" s="178">
        <f>_xlfn.XLOOKUP(H6,ResearchInput[Institution Name],ResearchInput[Phone],"",0,1)</f>
        <v>9798459761</v>
      </c>
      <c r="K6" s="177" t="str">
        <f>LOWER(_xlfn.XLOOKUP(H6,ResearchInput[Institution Name],ResearchInput[Email],"",0,1))</f>
        <v>nhranicky@tamus.edu</v>
      </c>
      <c r="L6" s="177" t="str">
        <f>PROPER(_xlfn.XLOOKUP(H6,ResearchInput[Institution Name],ResearchInput[First.ALT],"",0,1)&amp;" "&amp;_xlfn.XLOOKUP(H6,ResearchInput[Institution Name],ResearchInput[Last.ALT],"",0,1))</f>
        <v>Tammy Cooper</v>
      </c>
      <c r="M6" s="178">
        <f>_xlfn.XLOOKUP(H6,ResearchInput[Institution Name],ResearchInput[Phone.ALT],"",0,1)</f>
        <v>9034686019</v>
      </c>
      <c r="N6" s="177" t="str">
        <f>LOWER(_xlfn.XLOOKUP(H6,ResearchInput[Institution Name],ResearchInput[Email.ALT],"",0,1))</f>
        <v>tammy.cooper@etamu.edu</v>
      </c>
      <c r="O6" s="43"/>
      <c r="P6" s="43"/>
      <c r="Q6" s="43"/>
      <c r="R6" s="43"/>
      <c r="S6" s="43"/>
    </row>
    <row r="7" spans="1:19" s="44" customFormat="1" ht="30" customHeight="1" x14ac:dyDescent="0.25">
      <c r="A7" s="43"/>
      <c r="B7" s="43"/>
      <c r="C7" s="43"/>
      <c r="D7" s="43"/>
      <c r="E7" s="43"/>
      <c r="F7" s="43"/>
      <c r="G7" s="43"/>
      <c r="H7" s="122" t="s">
        <v>573</v>
      </c>
      <c r="I7" s="122" t="str">
        <f>PROPER(_xlfn.XLOOKUP(H7,ResearchInput[Institution Name],ResearchInput[First],"",0,1)&amp;" "&amp;_xlfn.XLOOKUP(H7,ResearchInput[Institution Name],ResearchInput[Last],"",0,1))</f>
        <v>Joanna Hammond</v>
      </c>
      <c r="J7" s="179" t="str">
        <f>_xlfn.XLOOKUP(H7,ResearchInput[Institution Name],ResearchInput[Phone],"",0,1)</f>
        <v>unavailable</v>
      </c>
      <c r="K7" s="122" t="str">
        <f>LOWER(_xlfn.XLOOKUP(H7,ResearchInput[Institution Name],ResearchInput[Email],"",0,1))</f>
        <v>jhammond@etbu.edu</v>
      </c>
      <c r="L7" s="122" t="str">
        <f>PROPER(_xlfn.XLOOKUP(H7,ResearchInput[Institution Name],ResearchInput[First.ALT],"",0,1)&amp;" "&amp;_xlfn.XLOOKUP(H7,ResearchInput[Institution Name],ResearchInput[Last.ALT],"",0,1))</f>
        <v>Bryan Fitts</v>
      </c>
      <c r="M7" s="179" t="str">
        <f>_xlfn.XLOOKUP(H7,ResearchInput[Institution Name],ResearchInput[Phone.ALT],"",0,1)</f>
        <v>unavailable</v>
      </c>
      <c r="N7" s="122" t="str">
        <f>LOWER(_xlfn.XLOOKUP(H7,ResearchInput[Institution Name],ResearchInput[Email.ALT],"",0,1))</f>
        <v>bfitts@etbu.edu</v>
      </c>
      <c r="O7" s="43"/>
      <c r="P7" s="43"/>
      <c r="Q7" s="43"/>
      <c r="R7" s="43"/>
      <c r="S7" s="43"/>
    </row>
    <row r="8" spans="1:19" s="44" customFormat="1" ht="30" customHeight="1" x14ac:dyDescent="0.25">
      <c r="A8" s="43"/>
      <c r="B8" s="43"/>
      <c r="C8" s="43"/>
      <c r="D8" s="43"/>
      <c r="E8" s="43"/>
      <c r="F8" s="43"/>
      <c r="G8" s="43"/>
      <c r="H8" s="177" t="s">
        <v>580</v>
      </c>
      <c r="I8" s="177" t="str">
        <f>PROPER(_xlfn.XLOOKUP(H8,ResearchInput[Institution Name],ResearchInput[First],"",0,1)&amp;" "&amp;_xlfn.XLOOKUP(H8,ResearchInput[Institution Name],ResearchInput[Last],"",0,1))</f>
        <v>Amy Mcgilvray</v>
      </c>
      <c r="J8" s="178" t="str">
        <f>_xlfn.XLOOKUP(H8,ResearchInput[Institution Name],ResearchInput[Phone],"",0,1)</f>
        <v>unavailable</v>
      </c>
      <c r="K8" s="177" t="str">
        <f>LOWER(_xlfn.XLOOKUP(H8,ResearchInput[Institution Name],ResearchInput[Email],"",0,1))</f>
        <v>amcgilvray@hc.edu</v>
      </c>
      <c r="L8" s="177" t="str">
        <f>PROPER(_xlfn.XLOOKUP(H8,ResearchInput[Institution Name],ResearchInput[First.ALT],"",0,1)&amp;" "&amp;_xlfn.XLOOKUP(H8,ResearchInput[Institution Name],ResearchInput[Last.ALT],"",0,1))</f>
        <v>Mariela Mena</v>
      </c>
      <c r="M8" s="178" t="str">
        <f>_xlfn.XLOOKUP(H8,ResearchInput[Institution Name],ResearchInput[Phone.ALT],"",0,1)</f>
        <v>unavailable</v>
      </c>
      <c r="N8" s="177" t="str">
        <f>LOWER(_xlfn.XLOOKUP(H8,ResearchInput[Institution Name],ResearchInput[Email.ALT],"",0,1))</f>
        <v>mmena@hc.edu</v>
      </c>
      <c r="O8" s="43"/>
      <c r="P8" s="43"/>
      <c r="Q8" s="43"/>
      <c r="R8" s="43"/>
      <c r="S8" s="43"/>
    </row>
    <row r="9" spans="1:19" s="44" customFormat="1" ht="30" customHeight="1" x14ac:dyDescent="0.25">
      <c r="A9" s="43"/>
      <c r="B9" s="43"/>
      <c r="C9" s="43"/>
      <c r="D9" s="43"/>
      <c r="E9" s="43"/>
      <c r="F9" s="43"/>
      <c r="G9" s="43"/>
      <c r="H9" s="122" t="s">
        <v>206</v>
      </c>
      <c r="I9" s="122" t="str">
        <f>PROPER(_xlfn.XLOOKUP(H9,ResearchInput[Institution Name],ResearchInput[First],"",0,1)&amp;" "&amp;_xlfn.XLOOKUP(H9,ResearchInput[Institution Name],ResearchInput[Last],"",0,1))</f>
        <v>Alicia Placette</v>
      </c>
      <c r="J9" s="179">
        <f>_xlfn.XLOOKUP(H9,ResearchInput[Institution Name],ResearchInput[Phone],"",0,1)</f>
        <v>4092475134</v>
      </c>
      <c r="K9" s="122" t="str">
        <f>LOWER(_xlfn.XLOOKUP(H9,ResearchInput[Institution Name],ResearchInput[Email],"",0,1))</f>
        <v>aaplacette@lit.edu</v>
      </c>
      <c r="L9" s="122" t="str">
        <f>PROPER(_xlfn.XLOOKUP(H9,ResearchInput[Institution Name],ResearchInput[First.ALT],"",0,1)&amp;" "&amp;_xlfn.XLOOKUP(H9,ResearchInput[Institution Name],ResearchInput[Last.ALT],"",0,1))</f>
        <v>Amanda Retherford</v>
      </c>
      <c r="M9" s="179">
        <f>_xlfn.XLOOKUP(H9,ResearchInput[Institution Name],ResearchInput[Phone.ALT],"",0,1)</f>
        <v>4098392065</v>
      </c>
      <c r="N9" s="122" t="str">
        <f>LOWER(_xlfn.XLOOKUP(H9,ResearchInput[Institution Name],ResearchInput[Email.ALT],"",0,1))</f>
        <v>amretherford@lit.edu</v>
      </c>
      <c r="O9" s="43"/>
      <c r="P9" s="43"/>
      <c r="Q9" s="43"/>
      <c r="R9" s="43"/>
      <c r="S9" s="43"/>
    </row>
    <row r="10" spans="1:19" s="44" customFormat="1" ht="30" customHeight="1" x14ac:dyDescent="0.25">
      <c r="A10" s="43"/>
      <c r="B10" s="43"/>
      <c r="C10" s="43"/>
      <c r="D10" s="43"/>
      <c r="E10" s="43"/>
      <c r="F10" s="43"/>
      <c r="G10" s="43"/>
      <c r="H10" s="177" t="s">
        <v>207</v>
      </c>
      <c r="I10" s="177" t="str">
        <f>PROPER(_xlfn.XLOOKUP(H10,ResearchInput[Institution Name],ResearchInput[First],"",0,1)&amp;" "&amp;_xlfn.XLOOKUP(H10,ResearchInput[Institution Name],ResearchInput[Last],"",0,1))</f>
        <v>Jamie Oltz</v>
      </c>
      <c r="J10" s="178">
        <f>_xlfn.XLOOKUP(H10,ResearchInput[Institution Name],ResearchInput[Phone],"",0,1)</f>
        <v>4098823365</v>
      </c>
      <c r="K10" s="177" t="str">
        <f>LOWER(_xlfn.XLOOKUP(H10,ResearchInput[Institution Name],ResearchInput[Email],"",0,1))</f>
        <v>jamie.oltz@lsco.edu</v>
      </c>
      <c r="L10" s="177" t="str">
        <f>PROPER(_xlfn.XLOOKUP(H10,ResearchInput[Institution Name],ResearchInput[First.ALT],"",0,1)&amp;" "&amp;_xlfn.XLOOKUP(H10,ResearchInput[Institution Name],ResearchInput[Last.ALT],"",0,1))</f>
        <v>Carissa Saenz</v>
      </c>
      <c r="M10" s="178">
        <f>_xlfn.XLOOKUP(H10,ResearchInput[Institution Name],ResearchInput[Phone.ALT],"",0,1)</f>
        <v>4098823915</v>
      </c>
      <c r="N10" s="177" t="str">
        <f>LOWER(_xlfn.XLOOKUP(H10,ResearchInput[Institution Name],ResearchInput[Email.ALT],"",0,1))</f>
        <v>carissa.saenz@lsco.edu</v>
      </c>
      <c r="O10" s="43"/>
      <c r="P10" s="43"/>
      <c r="Q10" s="43"/>
      <c r="R10" s="43"/>
      <c r="S10" s="43"/>
    </row>
    <row r="11" spans="1:19" s="44" customFormat="1" ht="30" customHeight="1" x14ac:dyDescent="0.25">
      <c r="A11" s="43"/>
      <c r="B11" s="43"/>
      <c r="C11" s="43"/>
      <c r="D11" s="43"/>
      <c r="E11" s="43"/>
      <c r="F11" s="43"/>
      <c r="G11" s="43"/>
      <c r="H11" s="122" t="s">
        <v>210</v>
      </c>
      <c r="I11" s="122" t="str">
        <f>PROPER(_xlfn.XLOOKUP(H11,ResearchInput[Institution Name],ResearchInput[First],"",0,1)&amp;" "&amp;_xlfn.XLOOKUP(H11,ResearchInput[Institution Name],ResearchInput[Last],"",0,1))</f>
        <v>Newsome Steffany</v>
      </c>
      <c r="J11" s="179">
        <f>_xlfn.XLOOKUP(H11,ResearchInput[Institution Name],ResearchInput[Phone],"",0,1)</f>
        <v>4099846125</v>
      </c>
      <c r="K11" s="122" t="str">
        <f>LOWER(_xlfn.XLOOKUP(H11,ResearchInput[Institution Name],ResearchInput[Email],"",0,1))</f>
        <v>newsomes@lamarpa.edu</v>
      </c>
      <c r="L11" s="122" t="str">
        <f>PROPER(_xlfn.XLOOKUP(H11,ResearchInput[Institution Name],ResearchInput[First.ALT],"",0,1)&amp;" "&amp;_xlfn.XLOOKUP(H11,ResearchInput[Institution Name],ResearchInput[Last.ALT],"",0,1))</f>
        <v xml:space="preserve">Clements Brittany </v>
      </c>
      <c r="M11" s="179">
        <f>_xlfn.XLOOKUP(H11,ResearchInput[Institution Name],ResearchInput[Phone.ALT],"",0,1)</f>
        <v>4099846129</v>
      </c>
      <c r="N11" s="122" t="str">
        <f>LOWER(_xlfn.XLOOKUP(H11,ResearchInput[Institution Name],ResearchInput[Email.ALT],"",0,1))</f>
        <v>taylorbr1@lamarpa.edu</v>
      </c>
      <c r="O11" s="43"/>
      <c r="P11" s="43"/>
      <c r="Q11" s="43"/>
      <c r="R11" s="43"/>
      <c r="S11" s="43"/>
    </row>
    <row r="12" spans="1:19" s="44" customFormat="1" ht="30" customHeight="1" x14ac:dyDescent="0.25">
      <c r="A12" s="43"/>
      <c r="B12" s="43"/>
      <c r="C12" s="43"/>
      <c r="D12" s="43"/>
      <c r="E12" s="43"/>
      <c r="F12" s="43"/>
      <c r="G12" s="43"/>
      <c r="H12" s="177" t="s">
        <v>188</v>
      </c>
      <c r="I12" s="177" t="str">
        <f>PROPER(_xlfn.XLOOKUP(H12,ResearchInput[Institution Name],ResearchInput[First],"",0,1)&amp;" "&amp;_xlfn.XLOOKUP(H12,ResearchInput[Institution Name],ResearchInput[Last],"",0,1))</f>
        <v>Spencer Sims</v>
      </c>
      <c r="J12" s="178">
        <f>_xlfn.XLOOKUP(H12,ResearchInput[Institution Name],ResearchInput[Phone],"",0,1)</f>
        <v>4098801788</v>
      </c>
      <c r="K12" s="177" t="str">
        <f>LOWER(_xlfn.XLOOKUP(H12,ResearchInput[Institution Name],ResearchInput[Email],"",0,1))</f>
        <v>simsss@lamar.edu</v>
      </c>
      <c r="L12" s="177" t="str">
        <f>PROPER(_xlfn.XLOOKUP(H12,ResearchInput[Institution Name],ResearchInput[First.ALT],"",0,1)&amp;" "&amp;_xlfn.XLOOKUP(H12,ResearchInput[Institution Name],ResearchInput[Last.ALT],"",0,1))</f>
        <v>Aisha Davis</v>
      </c>
      <c r="M12" s="178">
        <f>_xlfn.XLOOKUP(H12,ResearchInput[Institution Name],ResearchInput[Phone.ALT],"",0,1)</f>
        <v>4098808990</v>
      </c>
      <c r="N12" s="177" t="str">
        <f>LOWER(_xlfn.XLOOKUP(H12,ResearchInput[Institution Name],ResearchInput[Email.ALT],"",0,1))</f>
        <v>aavery7@lamar.edu</v>
      </c>
      <c r="O12" s="43"/>
      <c r="P12" s="43"/>
      <c r="Q12" s="43"/>
      <c r="R12" s="43"/>
      <c r="S12" s="43"/>
    </row>
    <row r="13" spans="1:19" s="44" customFormat="1" ht="30" customHeight="1" x14ac:dyDescent="0.25">
      <c r="A13" s="43"/>
      <c r="B13" s="43"/>
      <c r="C13" s="43"/>
      <c r="D13" s="43"/>
      <c r="E13" s="43"/>
      <c r="F13" s="43"/>
      <c r="G13" s="43"/>
      <c r="H13" s="122" t="s">
        <v>587</v>
      </c>
      <c r="I13" s="122" t="str">
        <f>PROPER(_xlfn.XLOOKUP(H13,ResearchInput[Institution Name],ResearchInput[First],"",0,1)&amp;" "&amp;_xlfn.XLOOKUP(H13,ResearchInput[Institution Name],ResearchInput[Last],"",0,1))</f>
        <v>Sheila Warren</v>
      </c>
      <c r="J13" s="179" t="str">
        <f>_xlfn.XLOOKUP(H13,ResearchInput[Institution Name],ResearchInput[Phone],"",0,1)</f>
        <v>unavailable</v>
      </c>
      <c r="K13" s="122" t="str">
        <f>LOWER(_xlfn.XLOOKUP(H13,ResearchInput[Institution Name],ResearchInput[Email],"",0,1))</f>
        <v>warren.sheila@mcm.edu</v>
      </c>
      <c r="L13" s="122" t="str">
        <f>PROPER(_xlfn.XLOOKUP(H13,ResearchInput[Institution Name],ResearchInput[First.ALT],"",0,1)&amp;" "&amp;_xlfn.XLOOKUP(H13,ResearchInput[Institution Name],ResearchInput[Last.ALT],"",0,1))</f>
        <v>Sabrina Gonzales</v>
      </c>
      <c r="M13" s="179" t="str">
        <f>_xlfn.XLOOKUP(H13,ResearchInput[Institution Name],ResearchInput[Phone.ALT],"",0,1)</f>
        <v>unavailable</v>
      </c>
      <c r="N13" s="122" t="str">
        <f>LOWER(_xlfn.XLOOKUP(H13,ResearchInput[Institution Name],ResearchInput[Email.ALT],"",0,1))</f>
        <v>gonzales.sabrina@mcm.edu</v>
      </c>
      <c r="O13" s="43"/>
      <c r="P13" s="43"/>
      <c r="Q13" s="43"/>
      <c r="R13" s="43"/>
      <c r="S13" s="43"/>
    </row>
    <row r="14" spans="1:19" s="44" customFormat="1" ht="30" customHeight="1" x14ac:dyDescent="0.25">
      <c r="A14" s="43"/>
      <c r="B14" s="43"/>
      <c r="C14" s="43"/>
      <c r="D14" s="43"/>
      <c r="E14" s="43"/>
      <c r="F14" s="43"/>
      <c r="G14" s="43"/>
      <c r="H14" s="177" t="s">
        <v>194</v>
      </c>
      <c r="I14" s="177" t="str">
        <f>PROPER(_xlfn.XLOOKUP(H14,ResearchInput[Institution Name],ResearchInput[First],"",0,1)&amp;" "&amp;_xlfn.XLOOKUP(H14,ResearchInput[Institution Name],ResearchInput[Last],"",0,1))</f>
        <v>Anna  Daugherty</v>
      </c>
      <c r="J14" s="178">
        <f>_xlfn.XLOOKUP(H14,ResearchInput[Institution Name],ResearchInput[Phone],"",0,1)</f>
        <v>9403974237</v>
      </c>
      <c r="K14" s="177" t="str">
        <f>LOWER(_xlfn.XLOOKUP(H14,ResearchInput[Institution Name],ResearchInput[Email],"",0,1))</f>
        <v>anna.daugherty@msutexas.edu</v>
      </c>
      <c r="L14" s="177" t="str">
        <f>PROPER(_xlfn.XLOOKUP(H14,ResearchInput[Institution Name],ResearchInput[First.ALT],"",0,1)&amp;" "&amp;_xlfn.XLOOKUP(H14,ResearchInput[Institution Name],ResearchInput[Last.ALT],"",0,1))</f>
        <v>Chris Stovall</v>
      </c>
      <c r="M14" s="178">
        <f>_xlfn.XLOOKUP(H14,ResearchInput[Institution Name],ResearchInput[Phone.ALT],"",0,1)</f>
        <v>9403974275</v>
      </c>
      <c r="N14" s="177" t="str">
        <f>LOWER(_xlfn.XLOOKUP(H14,ResearchInput[Institution Name],ResearchInput[Email.ALT],"",0,1))</f>
        <v>chris.stovall@msutexas.edu</v>
      </c>
      <c r="O14" s="43"/>
      <c r="P14" s="43"/>
      <c r="Q14" s="43"/>
      <c r="R14" s="43"/>
      <c r="S14" s="43"/>
    </row>
    <row r="15" spans="1:19" s="44" customFormat="1" ht="30" customHeight="1" x14ac:dyDescent="0.25">
      <c r="A15" s="43"/>
      <c r="B15" s="43"/>
      <c r="C15" s="43"/>
      <c r="D15" s="43"/>
      <c r="E15" s="43"/>
      <c r="F15" s="43"/>
      <c r="G15" s="43"/>
      <c r="H15" s="122" t="s">
        <v>592</v>
      </c>
      <c r="I15" s="122" t="str">
        <f>PROPER(_xlfn.XLOOKUP(H15,ResearchInput[Institution Name],ResearchInput[First],"",0,1)&amp;" "&amp;_xlfn.XLOOKUP(H15,ResearchInput[Institution Name],ResearchInput[Last],"",0,1))</f>
        <v>Newman Wong</v>
      </c>
      <c r="J15" s="179" t="str">
        <f>_xlfn.XLOOKUP(H15,ResearchInput[Institution Name],ResearchInput[Phone],"",0,1)</f>
        <v>unavailable</v>
      </c>
      <c r="K15" s="122" t="str">
        <f>LOWER(_xlfn.XLOOKUP(H15,ResearchInput[Institution Name],ResearchInput[Email],"",0,1))</f>
        <v>nwong@ollusa.edu</v>
      </c>
      <c r="L15" s="122" t="str">
        <f>PROPER(_xlfn.XLOOKUP(H15,ResearchInput[Institution Name],ResearchInput[First.ALT],"",0,1)&amp;" "&amp;_xlfn.XLOOKUP(H15,ResearchInput[Institution Name],ResearchInput[Last.ALT],"",0,1))</f>
        <v>Teresita Munguia</v>
      </c>
      <c r="M15" s="179" t="str">
        <f>_xlfn.XLOOKUP(H15,ResearchInput[Institution Name],ResearchInput[Phone.ALT],"",0,1)</f>
        <v>unavailable</v>
      </c>
      <c r="N15" s="122" t="str">
        <f>LOWER(_xlfn.XLOOKUP(H15,ResearchInput[Institution Name],ResearchInput[Email.ALT],"",0,1))</f>
        <v>tmunguia@ollusa.edu</v>
      </c>
      <c r="O15" s="43"/>
      <c r="P15" s="43"/>
      <c r="Q15" s="43"/>
      <c r="R15" s="43"/>
      <c r="S15" s="43"/>
    </row>
    <row r="16" spans="1:19" s="44" customFormat="1" ht="30" customHeight="1" x14ac:dyDescent="0.25">
      <c r="A16" s="43"/>
      <c r="B16" s="43"/>
      <c r="C16" s="43"/>
      <c r="D16" s="43"/>
      <c r="E16" s="43"/>
      <c r="F16" s="43"/>
      <c r="G16" s="43"/>
      <c r="H16" s="177" t="s">
        <v>599</v>
      </c>
      <c r="I16" s="177" t="str">
        <f>PROPER(_xlfn.XLOOKUP(H16,ResearchInput[Institution Name],ResearchInput[First],"",0,1)&amp;" "&amp;_xlfn.XLOOKUP(H16,ResearchInput[Institution Name],ResearchInput[Last],"",0,1))</f>
        <v>Michael Jackson</v>
      </c>
      <c r="J16" s="178">
        <f>_xlfn.XLOOKUP(H16,ResearchInput[Institution Name],ResearchInput[Phone],"",0,1)</f>
        <v>2149022429</v>
      </c>
      <c r="K16" s="177" t="str">
        <f>LOWER(_xlfn.XLOOKUP(H16,ResearchInput[Institution Name],ResearchInput[Email],"",0,1))</f>
        <v>michael.jackson@parker.edu</v>
      </c>
      <c r="L16" s="177" t="str">
        <f>PROPER(_xlfn.XLOOKUP(H16,ResearchInput[Institution Name],ResearchInput[First.ALT],"",0,1)&amp;" "&amp;_xlfn.XLOOKUP(H16,ResearchInput[Institution Name],ResearchInput[Last.ALT],"",0,1))</f>
        <v>Marianne Wilson</v>
      </c>
      <c r="M16" s="178">
        <f>_xlfn.XLOOKUP(H16,ResearchInput[Institution Name],ResearchInput[Phone.ALT],"",0,1)</f>
        <v>2149022429</v>
      </c>
      <c r="N16" s="177" t="str">
        <f>LOWER(_xlfn.XLOOKUP(H16,ResearchInput[Institution Name],ResearchInput[Email.ALT],"",0,1))</f>
        <v>mwilson@parker.edu</v>
      </c>
      <c r="O16" s="43"/>
      <c r="P16" s="43"/>
      <c r="Q16" s="43"/>
      <c r="R16" s="43"/>
      <c r="S16" s="43"/>
    </row>
    <row r="17" spans="1:19" s="44" customFormat="1" ht="30" customHeight="1" x14ac:dyDescent="0.25">
      <c r="A17" s="43"/>
      <c r="B17" s="43"/>
      <c r="C17" s="43"/>
      <c r="D17" s="43"/>
      <c r="E17" s="43"/>
      <c r="F17" s="43"/>
      <c r="G17" s="43"/>
      <c r="H17" s="122" t="s">
        <v>174</v>
      </c>
      <c r="I17" s="122" t="str">
        <f>PROPER(_xlfn.XLOOKUP(H17,ResearchInput[Institution Name],ResearchInput[First],"",0,1)&amp;" "&amp;_xlfn.XLOOKUP(H17,ResearchInput[Institution Name],ResearchInput[Last],"",0,1))</f>
        <v>Nancy Hranicky</v>
      </c>
      <c r="J17" s="179">
        <f>_xlfn.XLOOKUP(H17,ResearchInput[Institution Name],ResearchInput[Phone],"",0,1)</f>
        <v>9798459761</v>
      </c>
      <c r="K17" s="122" t="str">
        <f>LOWER(_xlfn.XLOOKUP(H17,ResearchInput[Institution Name],ResearchInput[Email],"",0,1))</f>
        <v>nhranicky@tamus.edu</v>
      </c>
      <c r="L17" s="122" t="str">
        <f>PROPER(_xlfn.XLOOKUP(H17,ResearchInput[Institution Name],ResearchInput[First.ALT],"",0,1)&amp;" "&amp;_xlfn.XLOOKUP(H17,ResearchInput[Institution Name],ResearchInput[Last.ALT],"",0,1))</f>
        <v>Theresa Augustin</v>
      </c>
      <c r="M17" s="179">
        <f>_xlfn.XLOOKUP(H17,ResearchInput[Institution Name],ResearchInput[Phone.ALT],"",0,1)</f>
        <v>9362611909</v>
      </c>
      <c r="N17" s="122" t="str">
        <f>LOWER(_xlfn.XLOOKUP(H17,ResearchInput[Institution Name],ResearchInput[Email.ALT],"",0,1))</f>
        <v>thaugustin@pvamu.edu</v>
      </c>
      <c r="O17" s="43"/>
      <c r="P17" s="43"/>
      <c r="Q17" s="43"/>
      <c r="R17" s="43"/>
      <c r="S17" s="43"/>
    </row>
    <row r="18" spans="1:19" s="44" customFormat="1" ht="30" customHeight="1" x14ac:dyDescent="0.25">
      <c r="A18" s="43"/>
      <c r="B18" s="43"/>
      <c r="C18" s="43"/>
      <c r="D18" s="43"/>
      <c r="E18" s="43"/>
      <c r="F18" s="43"/>
      <c r="G18" s="43"/>
      <c r="H18" s="177" t="s">
        <v>377</v>
      </c>
      <c r="I18" s="177" t="str">
        <f>PROPER(_xlfn.XLOOKUP(H18,ResearchInput[Institution Name],ResearchInput[First],"",0,1)&amp;" "&amp;_xlfn.XLOOKUP(H18,ResearchInput[Institution Name],ResearchInput[Last],"",0,1))</f>
        <v>Jennifer Jones</v>
      </c>
      <c r="J18" s="178">
        <f>_xlfn.XLOOKUP(H18,ResearchInput[Institution Name],ResearchInput[Phone],"",0,1)</f>
        <v>9362943405</v>
      </c>
      <c r="K18" s="177" t="str">
        <f>LOWER(_xlfn.XLOOKUP(H18,ResearchInput[Institution Name],ResearchInput[Email],"",0,1))</f>
        <v>jlj093@shshu.ed</v>
      </c>
      <c r="L18" s="177" t="str">
        <f>PROPER(_xlfn.XLOOKUP(H18,ResearchInput[Institution Name],ResearchInput[First.ALT],"",0,1)&amp;" "&amp;_xlfn.XLOOKUP(H18,ResearchInput[Institution Name],ResearchInput[Last.ALT],"",0,1))</f>
        <v>Jennifer Babcock</v>
      </c>
      <c r="M18" s="178">
        <f>_xlfn.XLOOKUP(H18,ResearchInput[Institution Name],ResearchInput[Phone.ALT],"",0,1)</f>
        <v>9362943860</v>
      </c>
      <c r="N18" s="177" t="str">
        <f>LOWER(_xlfn.XLOOKUP(H18,ResearchInput[Institution Name],ResearchInput[Email.ALT],"",0,1))</f>
        <v>jlb050@shsu.edu</v>
      </c>
      <c r="O18" s="43"/>
      <c r="P18" s="43"/>
      <c r="Q18" s="43"/>
      <c r="R18" s="43"/>
      <c r="S18" s="43"/>
    </row>
    <row r="19" spans="1:19" s="44" customFormat="1" ht="30" customHeight="1" x14ac:dyDescent="0.25">
      <c r="A19" s="43"/>
      <c r="B19" s="43"/>
      <c r="C19" s="43"/>
      <c r="D19" s="43"/>
      <c r="E19" s="43"/>
      <c r="F19" s="43"/>
      <c r="G19" s="43"/>
      <c r="H19" s="122" t="s">
        <v>629</v>
      </c>
      <c r="I19" s="122" t="str">
        <f>PROPER(_xlfn.XLOOKUP(H19,ResearchInput[Institution Name],ResearchInput[First],"",0,1)&amp;" "&amp;_xlfn.XLOOKUP(H19,ResearchInput[Institution Name],ResearchInput[Last],"",0,1))</f>
        <v>Carolyn Kil</v>
      </c>
      <c r="J19" s="179">
        <f>_xlfn.XLOOKUP(H19,ResearchInput[Institution Name],ResearchInput[Phone],"",0,1)</f>
        <v>5128631203</v>
      </c>
      <c r="K19" s="122" t="str">
        <f>LOWER(_xlfn.XLOOKUP(H19,ResearchInput[Institution Name],ResearchInput[Email],"",0,1))</f>
        <v>carolynkil@southwestern.edu</v>
      </c>
      <c r="L19" s="122" t="str">
        <f>PROPER(_xlfn.XLOOKUP(H19,ResearchInput[Institution Name],ResearchInput[First.ALT],"",0,1)&amp;" "&amp;_xlfn.XLOOKUP(H19,ResearchInput[Institution Name],ResearchInput[Last.ALT],"",0,1))</f>
        <v>Kimberly Faris</v>
      </c>
      <c r="M19" s="179">
        <f>_xlfn.XLOOKUP(H19,ResearchInput[Institution Name],ResearchInput[Phone.ALT],"",0,1)</f>
        <v>5128631233</v>
      </c>
      <c r="N19" s="122" t="str">
        <f>LOWER(_xlfn.XLOOKUP(H19,ResearchInput[Institution Name],ResearchInput[Email.ALT],"",0,1))</f>
        <v>farisk@southwestern.edu</v>
      </c>
      <c r="O19" s="43"/>
      <c r="P19" s="43"/>
      <c r="Q19" s="43"/>
      <c r="R19" s="43"/>
      <c r="S19" s="43"/>
    </row>
    <row r="20" spans="1:19" s="44" customFormat="1" ht="30" customHeight="1" x14ac:dyDescent="0.25">
      <c r="A20" s="43"/>
      <c r="B20" s="43"/>
      <c r="C20" s="43"/>
      <c r="D20" s="43"/>
      <c r="E20" s="43"/>
      <c r="F20" s="43"/>
      <c r="G20" s="43"/>
      <c r="H20" s="177" t="s">
        <v>195</v>
      </c>
      <c r="I20" s="177" t="str">
        <f>PROPER(_xlfn.XLOOKUP(H20,ResearchInput[Institution Name],ResearchInput[First],"",0,1)&amp;" "&amp;_xlfn.XLOOKUP(H20,ResearchInput[Institution Name],ResearchInput[Last],"",0,1))</f>
        <v>Kendall Rocha</v>
      </c>
      <c r="J20" s="178">
        <f>_xlfn.XLOOKUP(H20,ResearchInput[Institution Name],ResearchInput[Phone],"",0,1)</f>
        <v>9364682354</v>
      </c>
      <c r="K20" s="177" t="str">
        <f>LOWER(_xlfn.XLOOKUP(H20,ResearchInput[Institution Name],ResearchInput[Email],"",0,1))</f>
        <v>rochaka@sfasu.edu</v>
      </c>
      <c r="L20" s="177" t="str">
        <f>PROPER(_xlfn.XLOOKUP(H20,ResearchInput[Institution Name],ResearchInput[First.ALT],"",0,1)&amp;" "&amp;_xlfn.XLOOKUP(H20,ResearchInput[Institution Name],ResearchInput[Last.ALT],"",0,1))</f>
        <v>Kay Johnson</v>
      </c>
      <c r="M20" s="178">
        <f>_xlfn.XLOOKUP(H20,ResearchInput[Institution Name],ResearchInput[Phone.ALT],"",0,1)</f>
        <v>9364686550</v>
      </c>
      <c r="N20" s="177" t="str">
        <f>LOWER(_xlfn.XLOOKUP(H20,ResearchInput[Institution Name],ResearchInput[Email.ALT],"",0,1))</f>
        <v>johnsondk6@sfasu.edu</v>
      </c>
      <c r="O20" s="43"/>
      <c r="P20" s="43"/>
      <c r="Q20" s="43"/>
      <c r="R20" s="43"/>
      <c r="S20" s="43"/>
    </row>
    <row r="21" spans="1:19" s="44" customFormat="1" ht="30" customHeight="1" x14ac:dyDescent="0.25">
      <c r="A21" s="43"/>
      <c r="B21" s="43"/>
      <c r="C21" s="43"/>
      <c r="D21" s="43"/>
      <c r="E21" s="43"/>
      <c r="F21" s="43"/>
      <c r="G21" s="43"/>
      <c r="H21" s="122" t="s">
        <v>190</v>
      </c>
      <c r="I21" s="122" t="str">
        <f>PROPER(_xlfn.XLOOKUP(H21,ResearchInput[Institution Name],ResearchInput[First],"",0,1)&amp;" "&amp;_xlfn.XLOOKUP(H21,ResearchInput[Institution Name],ResearchInput[Last],"",0,1))</f>
        <v>Bonnie Albright</v>
      </c>
      <c r="J21" s="179">
        <f>_xlfn.XLOOKUP(H21,ResearchInput[Institution Name],ResearchInput[Phone],"",0,1)</f>
        <v>4328378078</v>
      </c>
      <c r="K21" s="122" t="str">
        <f>LOWER(_xlfn.XLOOKUP(H21,ResearchInput[Institution Name],ResearchInput[Email],"",0,1))</f>
        <v>bonnie.albright@sulross.edu</v>
      </c>
      <c r="L21" s="122" t="str">
        <f>PROPER(_xlfn.XLOOKUP(H21,ResearchInput[Institution Name],ResearchInput[First.ALT],"",0,1)&amp;" "&amp;_xlfn.XLOOKUP(H21,ResearchInput[Institution Name],ResearchInput[Last.ALT],"",0,1))</f>
        <v>Alicia Salinas</v>
      </c>
      <c r="M21" s="179">
        <f>_xlfn.XLOOKUP(H21,ResearchInput[Institution Name],ResearchInput[Phone.ALT],"",0,1)</f>
        <v>4328378009</v>
      </c>
      <c r="N21" s="122" t="str">
        <f>LOWER(_xlfn.XLOOKUP(H21,ResearchInput[Institution Name],ResearchInput[Email.ALT],"",0,1))</f>
        <v>alicia.salinas@sulross.edu</v>
      </c>
      <c r="O21" s="43"/>
      <c r="P21" s="43"/>
      <c r="Q21" s="43"/>
      <c r="R21" s="43"/>
      <c r="S21" s="43"/>
    </row>
    <row r="22" spans="1:19" s="44" customFormat="1" ht="30" customHeight="1" x14ac:dyDescent="0.25">
      <c r="A22" s="43"/>
      <c r="B22" s="43"/>
      <c r="C22" s="43"/>
      <c r="D22" s="43"/>
      <c r="E22" s="43"/>
      <c r="F22" s="43"/>
      <c r="G22" s="43"/>
      <c r="H22" s="177" t="s">
        <v>175</v>
      </c>
      <c r="I22" s="177" t="str">
        <f>PROPER(_xlfn.XLOOKUP(H22,ResearchInput[Institution Name],ResearchInput[First],"",0,1)&amp;" "&amp;_xlfn.XLOOKUP(H22,ResearchInput[Institution Name],ResearchInput[Last],"",0,1))</f>
        <v>Nancy Hranicky</v>
      </c>
      <c r="J22" s="178">
        <f>_xlfn.XLOOKUP(H22,ResearchInput[Institution Name],ResearchInput[Phone],"",0,1)</f>
        <v>9798459761</v>
      </c>
      <c r="K22" s="177" t="str">
        <f>LOWER(_xlfn.XLOOKUP(H22,ResearchInput[Institution Name],ResearchInput[Email],"",0,1))</f>
        <v>nhranicky@tamus.edu</v>
      </c>
      <c r="L22" s="177" t="str">
        <f>PROPER(_xlfn.XLOOKUP(H22,ResearchInput[Institution Name],ResearchInput[First.ALT],"",0,1)&amp;" "&amp;_xlfn.XLOOKUP(H22,ResearchInput[Institution Name],ResearchInput[Last.ALT],"",0,1))</f>
        <v>Sheila Hawkins</v>
      </c>
      <c r="M22" s="178">
        <f>_xlfn.XLOOKUP(H22,ResearchInput[Institution Name],ResearchInput[Phone.ALT],"",0,1)</f>
        <v>2549681643</v>
      </c>
      <c r="N22" s="177" t="str">
        <f>LOWER(_xlfn.XLOOKUP(H22,ResearchInput[Institution Name],ResearchInput[Email.ALT],"",0,1))</f>
        <v>hawkins@tarleton.edu</v>
      </c>
      <c r="O22" s="43"/>
      <c r="P22" s="43"/>
      <c r="Q22" s="43"/>
      <c r="R22" s="43"/>
      <c r="S22" s="43"/>
    </row>
    <row r="23" spans="1:19" s="44" customFormat="1" ht="30" customHeight="1" x14ac:dyDescent="0.25">
      <c r="A23" s="43"/>
      <c r="B23" s="43"/>
      <c r="C23" s="43"/>
      <c r="D23" s="43"/>
      <c r="E23" s="43"/>
      <c r="F23" s="43"/>
      <c r="G23" s="43"/>
      <c r="H23" s="122" t="s">
        <v>518</v>
      </c>
      <c r="I23" s="122" t="str">
        <f>PROPER(_xlfn.XLOOKUP(H23,ResearchInput[Institution Name],ResearchInput[First],"",0,1)&amp;" "&amp;_xlfn.XLOOKUP(H23,ResearchInput[Institution Name],ResearchInput[Last],"",0,1))</f>
        <v>Nancy Hranicky</v>
      </c>
      <c r="J23" s="179">
        <f>_xlfn.XLOOKUP(H23,ResearchInput[Institution Name],ResearchInput[Phone],"",0,1)</f>
        <v>9798459761</v>
      </c>
      <c r="K23" s="122" t="str">
        <f>LOWER(_xlfn.XLOOKUP(H23,ResearchInput[Institution Name],ResearchInput[Email],"",0,1))</f>
        <v>nhranicky@tamus.edu</v>
      </c>
      <c r="L23" s="122" t="str">
        <f>PROPER(_xlfn.XLOOKUP(H23,ResearchInput[Institution Name],ResearchInput[First.ALT],"",0,1)&amp;" "&amp;_xlfn.XLOOKUP(H23,ResearchInput[Institution Name],ResearchInput[Last.ALT],"",0,1))</f>
        <v>Jennifer Cain</v>
      </c>
      <c r="M23" s="179">
        <f>_xlfn.XLOOKUP(H23,ResearchInput[Institution Name],ResearchInput[Phone.ALT],"",0,1)</f>
        <v>9793140137</v>
      </c>
      <c r="N23" s="122" t="str">
        <f>LOWER(_xlfn.XLOOKUP(H23,ResearchInput[Institution Name],ResearchInput[Email.ALT],"",0,1))</f>
        <v>jennifer.cain@ag.tamu.edu</v>
      </c>
      <c r="O23" s="43"/>
      <c r="P23" s="43"/>
      <c r="Q23" s="43"/>
      <c r="R23" s="43"/>
      <c r="S23" s="43"/>
    </row>
    <row r="24" spans="1:19" s="44" customFormat="1" ht="30" customHeight="1" x14ac:dyDescent="0.25">
      <c r="A24" s="43"/>
      <c r="B24" s="43"/>
      <c r="C24" s="43"/>
      <c r="D24" s="43"/>
      <c r="E24" s="43"/>
      <c r="F24" s="43"/>
      <c r="G24" s="43"/>
      <c r="H24" s="177" t="s">
        <v>221</v>
      </c>
      <c r="I24" s="177" t="str">
        <f>PROPER(_xlfn.XLOOKUP(H24,ResearchInput[Institution Name],ResearchInput[First],"",0,1)&amp;" "&amp;_xlfn.XLOOKUP(H24,ResearchInput[Institution Name],ResearchInput[Last],"",0,1))</f>
        <v>Nancy Hranicky</v>
      </c>
      <c r="J24" s="178">
        <f>_xlfn.XLOOKUP(H24,ResearchInput[Institution Name],ResearchInput[Phone],"",0,1)</f>
        <v>9798459761</v>
      </c>
      <c r="K24" s="177" t="str">
        <f>LOWER(_xlfn.XLOOKUP(H24,ResearchInput[Institution Name],ResearchInput[Email],"",0,1))</f>
        <v>nhranicky@tamus.edu</v>
      </c>
      <c r="L24" s="177" t="str">
        <f>PROPER(_xlfn.XLOOKUP(H24,ResearchInput[Institution Name],ResearchInput[First.ALT],"",0,1)&amp;" "&amp;_xlfn.XLOOKUP(H24,ResearchInput[Institution Name],ResearchInput[Last.ALT],"",0,1))</f>
        <v>Lyndee Park-Jones</v>
      </c>
      <c r="M24" s="178">
        <f>_xlfn.XLOOKUP(H24,ResearchInput[Institution Name],ResearchInput[Phone.ALT],"",0,1)</f>
        <v>9793145898</v>
      </c>
      <c r="N24" s="177" t="str">
        <f>LOWER(_xlfn.XLOOKUP(H24,ResearchInput[Institution Name],ResearchInput[Email.ALT],"",0,1))</f>
        <v>lyndee.park@ag.tamu.edu</v>
      </c>
      <c r="O24" s="43"/>
      <c r="P24" s="43"/>
      <c r="Q24" s="43"/>
      <c r="R24" s="43"/>
      <c r="S24" s="43"/>
    </row>
    <row r="25" spans="1:19" s="44" customFormat="1" ht="30" customHeight="1" x14ac:dyDescent="0.25">
      <c r="A25" s="43"/>
      <c r="B25" s="43"/>
      <c r="C25" s="43"/>
      <c r="D25" s="43"/>
      <c r="E25" s="43"/>
      <c r="F25" s="43"/>
      <c r="G25" s="43"/>
      <c r="H25" s="122" t="s">
        <v>222</v>
      </c>
      <c r="I25" s="122" t="str">
        <f>PROPER(_xlfn.XLOOKUP(H25,ResearchInput[Institution Name],ResearchInput[First],"",0,1)&amp;" "&amp;_xlfn.XLOOKUP(H25,ResearchInput[Institution Name],ResearchInput[Last],"",0,1))</f>
        <v>Nancy Hranicky</v>
      </c>
      <c r="J25" s="179">
        <f>_xlfn.XLOOKUP(H25,ResearchInput[Institution Name],ResearchInput[Phone],"",0,1)</f>
        <v>9798459761</v>
      </c>
      <c r="K25" s="122" t="str">
        <f>LOWER(_xlfn.XLOOKUP(H25,ResearchInput[Institution Name],ResearchInput[Email],"",0,1))</f>
        <v>nhranicky@tamus.edu</v>
      </c>
      <c r="L25" s="122" t="str">
        <f>PROPER(_xlfn.XLOOKUP(H25,ResearchInput[Institution Name],ResearchInput[First.ALT],"",0,1)&amp;" "&amp;_xlfn.XLOOKUP(H25,ResearchInput[Institution Name],ResearchInput[Last.ALT],"",0,1))</f>
        <v>Jiying  Yu</v>
      </c>
      <c r="M25" s="179">
        <f>_xlfn.XLOOKUP(H25,ResearchInput[Institution Name],ResearchInput[Phone.ALT],"",0,1)</f>
        <v>9794588986</v>
      </c>
      <c r="N25" s="122" t="str">
        <f>LOWER(_xlfn.XLOOKUP(H25,ResearchInput[Institution Name],ResearchInput[Email.ALT],"",0,1))</f>
        <v>j-yu@tamu.edu</v>
      </c>
      <c r="O25" s="43"/>
      <c r="P25" s="43"/>
      <c r="Q25" s="43"/>
      <c r="R25" s="43"/>
      <c r="S25" s="43"/>
    </row>
    <row r="26" spans="1:19" s="44" customFormat="1" ht="30" customHeight="1" x14ac:dyDescent="0.25">
      <c r="A26" s="43"/>
      <c r="B26" s="43"/>
      <c r="C26" s="43"/>
      <c r="D26" s="43"/>
      <c r="E26" s="43"/>
      <c r="F26" s="43"/>
      <c r="G26" s="43"/>
      <c r="H26" s="177" t="s">
        <v>524</v>
      </c>
      <c r="I26" s="177" t="str">
        <f>PROPER(_xlfn.XLOOKUP(H26,ResearchInput[Institution Name],ResearchInput[First],"",0,1)&amp;" "&amp;_xlfn.XLOOKUP(H26,ResearchInput[Institution Name],ResearchInput[Last],"",0,1))</f>
        <v>Nancy Hranicky</v>
      </c>
      <c r="J26" s="178">
        <f>_xlfn.XLOOKUP(H26,ResearchInput[Institution Name],ResearchInput[Phone],"",0,1)</f>
        <v>9798459761</v>
      </c>
      <c r="K26" s="177" t="str">
        <f>LOWER(_xlfn.XLOOKUP(H26,ResearchInput[Institution Name],ResearchInput[Email],"",0,1))</f>
        <v>nhranicky@tamus.edu</v>
      </c>
      <c r="L26" s="177" t="str">
        <f>PROPER(_xlfn.XLOOKUP(H26,ResearchInput[Institution Name],ResearchInput[First.ALT],"",0,1)&amp;" "&amp;_xlfn.XLOOKUP(H26,ResearchInput[Institution Name],ResearchInput[Last.ALT],"",0,1))</f>
        <v>Deepak Tyagi</v>
      </c>
      <c r="M26" s="178">
        <f>_xlfn.XLOOKUP(H26,ResearchInput[Institution Name],ResearchInput[Phone.ALT],"",0,1)</f>
        <v>9795006622</v>
      </c>
      <c r="N26" s="177" t="str">
        <f>LOWER(_xlfn.XLOOKUP(H26,ResearchInput[Institution Name],ResearchInput[Email.ALT],"",0,1))</f>
        <v>monty.tyagi@teex.tamu.edu</v>
      </c>
      <c r="O26" s="43"/>
      <c r="P26" s="43"/>
      <c r="Q26" s="43"/>
      <c r="R26" s="43"/>
      <c r="S26" s="43"/>
    </row>
    <row r="27" spans="1:19" s="44" customFormat="1" ht="30" customHeight="1" x14ac:dyDescent="0.25">
      <c r="A27" s="43"/>
      <c r="B27" s="43"/>
      <c r="C27" s="43"/>
      <c r="D27" s="43"/>
      <c r="E27" s="43"/>
      <c r="F27" s="43"/>
      <c r="G27" s="43"/>
      <c r="H27" s="122" t="s">
        <v>528</v>
      </c>
      <c r="I27" s="122" t="str">
        <f>PROPER(_xlfn.XLOOKUP(H27,ResearchInput[Institution Name],ResearchInput[First],"",0,1)&amp;" "&amp;_xlfn.XLOOKUP(H27,ResearchInput[Institution Name],ResearchInput[Last],"",0,1))</f>
        <v>Nancy Hranicky</v>
      </c>
      <c r="J27" s="179">
        <f>_xlfn.XLOOKUP(H27,ResearchInput[Institution Name],ResearchInput[Phone],"",0,1)</f>
        <v>9798459761</v>
      </c>
      <c r="K27" s="122" t="str">
        <f>LOWER(_xlfn.XLOOKUP(H27,ResearchInput[Institution Name],ResearchInput[Email],"",0,1))</f>
        <v>nhranicky@tamus.edu</v>
      </c>
      <c r="L27" s="122" t="str">
        <f>PROPER(_xlfn.XLOOKUP(H27,ResearchInput[Institution Name],ResearchInput[First.ALT],"",0,1)&amp;" "&amp;_xlfn.XLOOKUP(H27,ResearchInput[Institution Name],ResearchInput[Last.ALT],"",0,1))</f>
        <v>Travis Zamzow</v>
      </c>
      <c r="M27" s="179">
        <f>_xlfn.XLOOKUP(H27,ResearchInput[Institution Name],ResearchInput[Phone.ALT],"",0,1)</f>
        <v>9794587301</v>
      </c>
      <c r="N27" s="122" t="str">
        <f>LOWER(_xlfn.XLOOKUP(H27,ResearchInput[Institution Name],ResearchInput[Email.ALT],"",0,1))</f>
        <v>tzamzow@tfs.tamu.edu</v>
      </c>
      <c r="O27" s="43"/>
      <c r="P27" s="43"/>
      <c r="Q27" s="43"/>
      <c r="R27" s="43"/>
      <c r="S27" s="43"/>
    </row>
    <row r="28" spans="1:19" s="44" customFormat="1" ht="30" customHeight="1" x14ac:dyDescent="0.25">
      <c r="A28" s="43"/>
      <c r="B28" s="43"/>
      <c r="C28" s="43"/>
      <c r="D28" s="43"/>
      <c r="E28" s="43"/>
      <c r="F28" s="43"/>
      <c r="G28" s="43"/>
      <c r="H28" s="177" t="s">
        <v>178</v>
      </c>
      <c r="I28" s="177" t="str">
        <f>PROPER(_xlfn.XLOOKUP(H28,ResearchInput[Institution Name],ResearchInput[First],"",0,1)&amp;" "&amp;_xlfn.XLOOKUP(H28,ResearchInput[Institution Name],ResearchInput[Last],"",0,1))</f>
        <v>Nancy Hranicky</v>
      </c>
      <c r="J28" s="178">
        <f>_xlfn.XLOOKUP(H28,ResearchInput[Institution Name],ResearchInput[Phone],"",0,1)</f>
        <v>9798459761</v>
      </c>
      <c r="K28" s="177" t="str">
        <f>LOWER(_xlfn.XLOOKUP(H28,ResearchInput[Institution Name],ResearchInput[Email],"",0,1))</f>
        <v>nhranicky@tamus.edu</v>
      </c>
      <c r="L28" s="177" t="str">
        <f>PROPER(_xlfn.XLOOKUP(H28,ResearchInput[Institution Name],ResearchInput[First.ALT],"",0,1)&amp;" "&amp;_xlfn.XLOOKUP(H28,ResearchInput[Institution Name],ResearchInput[Last.ALT],"",0,1))</f>
        <v>Elena Martinez</v>
      </c>
      <c r="M28" s="178">
        <f>_xlfn.XLOOKUP(H28,ResearchInput[Institution Name],ResearchInput[Phone.ALT],"",0,1)</f>
        <v>9563262433</v>
      </c>
      <c r="N28" s="177" t="str">
        <f>LOWER(_xlfn.XLOOKUP(H28,ResearchInput[Institution Name],ResearchInput[Email.ALT],"",0,1))</f>
        <v>emartinez@tamiu.edu</v>
      </c>
      <c r="O28" s="43"/>
      <c r="P28" s="43"/>
      <c r="Q28" s="43"/>
      <c r="R28" s="43"/>
      <c r="S28" s="43"/>
    </row>
    <row r="29" spans="1:19" s="44" customFormat="1" ht="30" customHeight="1" x14ac:dyDescent="0.25">
      <c r="A29" s="43"/>
      <c r="B29" s="43"/>
      <c r="C29" s="43"/>
      <c r="D29" s="43"/>
      <c r="E29" s="43"/>
      <c r="F29" s="43"/>
      <c r="G29" s="43"/>
      <c r="H29" s="122" t="s">
        <v>543</v>
      </c>
      <c r="I29" s="122" t="str">
        <f>PROPER(_xlfn.XLOOKUP(H29,ResearchInput[Institution Name],ResearchInput[First],"",0,1)&amp;" "&amp;_xlfn.XLOOKUP(H29,ResearchInput[Institution Name],ResearchInput[Last],"",0,1))</f>
        <v>Nancy Hranicky</v>
      </c>
      <c r="J29" s="179">
        <f>_xlfn.XLOOKUP(H29,ResearchInput[Institution Name],ResearchInput[Phone],"",0,1)</f>
        <v>9798459761</v>
      </c>
      <c r="K29" s="122" t="str">
        <f>LOWER(_xlfn.XLOOKUP(H29,ResearchInput[Institution Name],ResearchInput[Email],"",0,1))</f>
        <v>nhranicky@tamus.edu</v>
      </c>
      <c r="L29" s="122" t="str">
        <f>PROPER(_xlfn.XLOOKUP(H29,ResearchInput[Institution Name],ResearchInput[First.ALT],"",0,1)&amp;" "&amp;_xlfn.XLOOKUP(H29,ResearchInput[Institution Name],ResearchInput[Last.ALT],"",0,1))</f>
        <v>Verna Fritsch</v>
      </c>
      <c r="M29" s="179">
        <f>_xlfn.XLOOKUP(H29,ResearchInput[Institution Name],ResearchInput[Phone.ALT],"",0,1)</f>
        <v>9794586090</v>
      </c>
      <c r="N29" s="122" t="str">
        <f>LOWER(_xlfn.XLOOKUP(H29,ResearchInput[Institution Name],ResearchInput[Email.ALT],"",0,1))</f>
        <v>vfritsche@tamus.edu</v>
      </c>
      <c r="O29" s="43"/>
      <c r="P29" s="43"/>
      <c r="Q29" s="43"/>
      <c r="R29" s="43"/>
      <c r="S29" s="43"/>
    </row>
    <row r="30" spans="1:19" s="44" customFormat="1" ht="30" customHeight="1" x14ac:dyDescent="0.25">
      <c r="A30" s="43"/>
      <c r="B30" s="43"/>
      <c r="C30" s="43"/>
      <c r="D30" s="43"/>
      <c r="E30" s="43"/>
      <c r="F30" s="43"/>
      <c r="G30" s="43"/>
      <c r="H30" s="177" t="s">
        <v>532</v>
      </c>
      <c r="I30" s="177" t="str">
        <f>PROPER(_xlfn.XLOOKUP(H30,ResearchInput[Institution Name],ResearchInput[First],"",0,1)&amp;" "&amp;_xlfn.XLOOKUP(H30,ResearchInput[Institution Name],ResearchInput[Last],"",0,1))</f>
        <v>Nancy Hranicky</v>
      </c>
      <c r="J30" s="178">
        <f>_xlfn.XLOOKUP(H30,ResearchInput[Institution Name],ResearchInput[Phone],"",0,1)</f>
        <v>9798459761</v>
      </c>
      <c r="K30" s="177" t="str">
        <f>LOWER(_xlfn.XLOOKUP(H30,ResearchInput[Institution Name],ResearchInput[Email],"",0,1))</f>
        <v>nhranicky@tamus.edu</v>
      </c>
      <c r="L30" s="177" t="str">
        <f>PROPER(_xlfn.XLOOKUP(H30,ResearchInput[Institution Name],ResearchInput[First.ALT],"",0,1)&amp;" "&amp;_xlfn.XLOOKUP(H30,ResearchInput[Institution Name],ResearchInput[Last.ALT],"",0,1))</f>
        <v>Stephanie Barnett</v>
      </c>
      <c r="M30" s="178">
        <f>_xlfn.XLOOKUP(H30,ResearchInput[Institution Name],ResearchInput[Phone.ALT],"",0,1)</f>
        <v>9793172757</v>
      </c>
      <c r="N30" s="177" t="str">
        <f>LOWER(_xlfn.XLOOKUP(H30,ResearchInput[Institution Name],ResearchInput[Email.ALT],"",0,1))</f>
        <v>s-barnett@tti.tamu.edu</v>
      </c>
      <c r="O30" s="43"/>
      <c r="P30" s="43"/>
      <c r="Q30" s="43"/>
      <c r="R30" s="43"/>
      <c r="S30" s="43"/>
    </row>
    <row r="31" spans="1:19" s="44" customFormat="1" ht="30" customHeight="1" x14ac:dyDescent="0.25">
      <c r="A31" s="43"/>
      <c r="B31" s="43"/>
      <c r="C31" s="43"/>
      <c r="D31" s="43"/>
      <c r="E31" s="43"/>
      <c r="F31" s="43"/>
      <c r="G31" s="43"/>
      <c r="H31" s="122" t="s">
        <v>172</v>
      </c>
      <c r="I31" s="122" t="str">
        <f>PROPER(_xlfn.XLOOKUP(H31,ResearchInput[Institution Name],ResearchInput[First],"",0,1)&amp;" "&amp;_xlfn.XLOOKUP(H31,ResearchInput[Institution Name],ResearchInput[Last],"",0,1))</f>
        <v>Nancy Hranicky</v>
      </c>
      <c r="J31" s="179">
        <f>_xlfn.XLOOKUP(H31,ResearchInput[Institution Name],ResearchInput[Phone],"",0,1)</f>
        <v>9798459761</v>
      </c>
      <c r="K31" s="122" t="str">
        <f>LOWER(_xlfn.XLOOKUP(H31,ResearchInput[Institution Name],ResearchInput[Email],"",0,1))</f>
        <v>nhranicky@tamus.edu</v>
      </c>
      <c r="L31" s="122" t="str">
        <f>PROPER(_xlfn.XLOOKUP(H31,ResearchInput[Institution Name],ResearchInput[First.ALT],"",0,1)&amp;" "&amp;_xlfn.XLOOKUP(H31,ResearchInput[Institution Name],ResearchInput[Last.ALT],"",0,1))</f>
        <v>Cris Sowden</v>
      </c>
      <c r="M31" s="179">
        <f>_xlfn.XLOOKUP(H31,ResearchInput[Institution Name],ResearchInput[Phone.ALT],"",0,1)</f>
        <v>9794581866</v>
      </c>
      <c r="N31" s="122" t="str">
        <f>LOWER(_xlfn.XLOOKUP(H31,ResearchInput[Institution Name],ResearchInput[Email.ALT],"",0,1))</f>
        <v>crisla@tamu.edu</v>
      </c>
      <c r="O31" s="43"/>
      <c r="P31" s="43"/>
      <c r="Q31" s="43"/>
      <c r="R31" s="43"/>
      <c r="S31" s="43"/>
    </row>
    <row r="32" spans="1:19" s="44" customFormat="1" ht="30" customHeight="1" x14ac:dyDescent="0.25">
      <c r="A32" s="43"/>
      <c r="B32" s="43"/>
      <c r="C32" s="43"/>
      <c r="D32" s="43"/>
      <c r="E32" s="43"/>
      <c r="F32" s="43"/>
      <c r="G32" s="43"/>
      <c r="H32" s="177" t="s">
        <v>182</v>
      </c>
      <c r="I32" s="177" t="str">
        <f>PROPER(_xlfn.XLOOKUP(H32,ResearchInput[Institution Name],ResearchInput[First],"",0,1)&amp;" "&amp;_xlfn.XLOOKUP(H32,ResearchInput[Institution Name],ResearchInput[Last],"",0,1))</f>
        <v>Nancy Hranicky</v>
      </c>
      <c r="J32" s="178">
        <f>_xlfn.XLOOKUP(H32,ResearchInput[Institution Name],ResearchInput[Phone],"",0,1)</f>
        <v>9798459761</v>
      </c>
      <c r="K32" s="177" t="str">
        <f>LOWER(_xlfn.XLOOKUP(H32,ResearchInput[Institution Name],ResearchInput[Email],"",0,1))</f>
        <v>nhranicky@tamus.edu</v>
      </c>
      <c r="L32" s="177" t="str">
        <f>PROPER(_xlfn.XLOOKUP(H32,ResearchInput[Institution Name],ResearchInput[First.ALT],"",0,1)&amp;" "&amp;_xlfn.XLOOKUP(H32,ResearchInput[Institution Name],ResearchInput[Last.ALT],"",0,1))</f>
        <v>Danielle Clouden</v>
      </c>
      <c r="M32" s="178">
        <f>_xlfn.XLOOKUP(H32,ResearchInput[Institution Name],ResearchInput[Phone.ALT],"",0,1)</f>
        <v>2545195433</v>
      </c>
      <c r="N32" s="177" t="str">
        <f>LOWER(_xlfn.XLOOKUP(H32,ResearchInput[Institution Name],ResearchInput[Email.ALT],"",0,1))</f>
        <v>d.clouden@tamuct.edu</v>
      </c>
      <c r="O32" s="43"/>
      <c r="P32" s="43"/>
      <c r="Q32" s="43"/>
      <c r="R32" s="43"/>
      <c r="S32" s="43"/>
    </row>
    <row r="33" spans="1:19" s="44" customFormat="1" ht="30" customHeight="1" x14ac:dyDescent="0.25">
      <c r="A33" s="43"/>
      <c r="B33" s="43"/>
      <c r="C33" s="43"/>
      <c r="D33" s="43"/>
      <c r="E33" s="43"/>
      <c r="F33" s="43"/>
      <c r="G33" s="43"/>
      <c r="H33" s="122" t="s">
        <v>176</v>
      </c>
      <c r="I33" s="122" t="str">
        <f>PROPER(_xlfn.XLOOKUP(H33,ResearchInput[Institution Name],ResearchInput[First],"",0,1)&amp;" "&amp;_xlfn.XLOOKUP(H33,ResearchInput[Institution Name],ResearchInput[Last],"",0,1))</f>
        <v>Nancy Hranicky</v>
      </c>
      <c r="J33" s="179">
        <f>_xlfn.XLOOKUP(H33,ResearchInput[Institution Name],ResearchInput[Phone],"",0,1)</f>
        <v>9798459761</v>
      </c>
      <c r="K33" s="122" t="str">
        <f>LOWER(_xlfn.XLOOKUP(H33,ResearchInput[Institution Name],ResearchInput[Email],"",0,1))</f>
        <v>nhranicky@tamus.edu</v>
      </c>
      <c r="L33" s="122" t="str">
        <f>PROPER(_xlfn.XLOOKUP(H33,ResearchInput[Institution Name],ResearchInput[First.ALT],"",0,1)&amp;" "&amp;_xlfn.XLOOKUP(H33,ResearchInput[Institution Name],ResearchInput[Last.ALT],"",0,1))</f>
        <v>Cassie Eyring</v>
      </c>
      <c r="M33" s="179">
        <f>_xlfn.XLOOKUP(H33,ResearchInput[Institution Name],ResearchInput[Phone.ALT],"",0,1)</f>
        <v>3618255571</v>
      </c>
      <c r="N33" s="122" t="str">
        <f>LOWER(_xlfn.XLOOKUP(H33,ResearchInput[Institution Name],ResearchInput[Email.ALT],"",0,1))</f>
        <v>cassie.eyring@tamucc.edu</v>
      </c>
      <c r="O33" s="43"/>
      <c r="P33" s="43"/>
      <c r="Q33" s="43"/>
      <c r="R33" s="43"/>
      <c r="S33" s="43"/>
    </row>
    <row r="34" spans="1:19" s="44" customFormat="1" ht="30" customHeight="1" x14ac:dyDescent="0.25">
      <c r="A34" s="43"/>
      <c r="B34" s="43"/>
      <c r="C34" s="43"/>
      <c r="D34" s="43"/>
      <c r="E34" s="43"/>
      <c r="F34" s="43"/>
      <c r="G34" s="43"/>
      <c r="H34" s="177" t="s">
        <v>177</v>
      </c>
      <c r="I34" s="177" t="str">
        <f>PROPER(_xlfn.XLOOKUP(H34,ResearchInput[Institution Name],ResearchInput[First],"",0,1)&amp;" "&amp;_xlfn.XLOOKUP(H34,ResearchInput[Institution Name],ResearchInput[Last],"",0,1))</f>
        <v>Samantha Padilla</v>
      </c>
      <c r="J34" s="178">
        <f>_xlfn.XLOOKUP(H34,ResearchInput[Institution Name],ResearchInput[Phone],"",0,1)</f>
        <v>3615934965</v>
      </c>
      <c r="K34" s="177" t="str">
        <f>LOWER(_xlfn.XLOOKUP(H34,ResearchInput[Institution Name],ResearchInput[Email],"",0,1))</f>
        <v>samantha.padilla@tamuk.edu</v>
      </c>
      <c r="L34" s="177" t="str">
        <f>PROPER(_xlfn.XLOOKUP(H34,ResearchInput[Institution Name],ResearchInput[First.ALT],"",0,1)&amp;" "&amp;_xlfn.XLOOKUP(H34,ResearchInput[Institution Name],ResearchInput[Last.ALT],"",0,1))</f>
        <v>Robyn Wallace</v>
      </c>
      <c r="M34" s="178">
        <f>_xlfn.XLOOKUP(H34,ResearchInput[Institution Name],ResearchInput[Phone.ALT],"",0,1)</f>
        <v>3615932520</v>
      </c>
      <c r="N34" s="177" t="str">
        <f>LOWER(_xlfn.XLOOKUP(H34,ResearchInput[Institution Name],ResearchInput[Email.ALT],"",0,1))</f>
        <v>robyn.wallace@tamuk.edu</v>
      </c>
      <c r="O34" s="43"/>
      <c r="P34" s="43"/>
      <c r="Q34" s="43"/>
      <c r="R34" s="43"/>
      <c r="S34" s="43"/>
    </row>
    <row r="35" spans="1:19" s="44" customFormat="1" ht="30" customHeight="1" x14ac:dyDescent="0.25">
      <c r="A35" s="43"/>
      <c r="B35" s="43"/>
      <c r="C35" s="43"/>
      <c r="D35" s="43"/>
      <c r="E35" s="43"/>
      <c r="F35" s="43"/>
      <c r="G35" s="43"/>
      <c r="H35" s="122" t="s">
        <v>183</v>
      </c>
      <c r="I35" s="122" t="str">
        <f>PROPER(_xlfn.XLOOKUP(H35,ResearchInput[Institution Name],ResearchInput[First],"",0,1)&amp;" "&amp;_xlfn.XLOOKUP(H35,ResearchInput[Institution Name],ResearchInput[Last],"",0,1))</f>
        <v>Nancy Hranicky</v>
      </c>
      <c r="J35" s="179">
        <f>_xlfn.XLOOKUP(H35,ResearchInput[Institution Name],ResearchInput[Phone],"",0,1)</f>
        <v>9798459761</v>
      </c>
      <c r="K35" s="122" t="str">
        <f>LOWER(_xlfn.XLOOKUP(H35,ResearchInput[Institution Name],ResearchInput[Email],"",0,1))</f>
        <v>nhranicky@tamus.edu</v>
      </c>
      <c r="L35" s="122" t="str">
        <f>PROPER(_xlfn.XLOOKUP(H35,ResearchInput[Institution Name],ResearchInput[First.ALT],"",0,1)&amp;" "&amp;_xlfn.XLOOKUP(H35,ResearchInput[Institution Name],ResearchInput[Last.ALT],"",0,1))</f>
        <v>Elias Sanchez</v>
      </c>
      <c r="M35" s="179">
        <f>_xlfn.XLOOKUP(H35,ResearchInput[Institution Name],ResearchInput[Phone.ALT],"",0,1)</f>
        <v>2107842011</v>
      </c>
      <c r="N35" s="122" t="str">
        <f>LOWER(_xlfn.XLOOKUP(H35,ResearchInput[Institution Name],ResearchInput[Email.ALT],"",0,1))</f>
        <v>esanchez3@tamusa.edu</v>
      </c>
      <c r="O35" s="43"/>
      <c r="P35" s="43"/>
      <c r="Q35" s="43"/>
      <c r="R35" s="43"/>
      <c r="S35" s="43"/>
    </row>
    <row r="36" spans="1:19" s="44" customFormat="1" ht="30" customHeight="1" x14ac:dyDescent="0.25">
      <c r="A36" s="43"/>
      <c r="B36" s="43"/>
      <c r="C36" s="43"/>
      <c r="D36" s="43"/>
      <c r="E36" s="43"/>
      <c r="F36" s="43"/>
      <c r="G36" s="43"/>
      <c r="H36" s="177" t="s">
        <v>181</v>
      </c>
      <c r="I36" s="177" t="str">
        <f>PROPER(_xlfn.XLOOKUP(H36,ResearchInput[Institution Name],ResearchInput[First],"",0,1)&amp;" "&amp;_xlfn.XLOOKUP(H36,ResearchInput[Institution Name],ResearchInput[Last],"",0,1))</f>
        <v>Nancy Hranicky</v>
      </c>
      <c r="J36" s="178">
        <f>_xlfn.XLOOKUP(H36,ResearchInput[Institution Name],ResearchInput[Phone],"",0,1)</f>
        <v>9798459761</v>
      </c>
      <c r="K36" s="177" t="str">
        <f>LOWER(_xlfn.XLOOKUP(H36,ResearchInput[Institution Name],ResearchInput[Email],"",0,1))</f>
        <v>nhranicky@tamus.edu</v>
      </c>
      <c r="L36" s="177" t="str">
        <f>PROPER(_xlfn.XLOOKUP(H36,ResearchInput[Institution Name],ResearchInput[First.ALT],"",0,1)&amp;" "&amp;_xlfn.XLOOKUP(H36,ResearchInput[Institution Name],ResearchInput[Last.ALT],"",0,1))</f>
        <v>Rhonda Jones</v>
      </c>
      <c r="M36" s="178">
        <f>_xlfn.XLOOKUP(H36,ResearchInput[Institution Name],ResearchInput[Phone.ALT],"",0,1)</f>
        <v>9032233110</v>
      </c>
      <c r="N36" s="177" t="str">
        <f>LOWER(_xlfn.XLOOKUP(H36,ResearchInput[Institution Name],ResearchInput[Email.ALT],"",0,1))</f>
        <v>rjones@tamut.edu</v>
      </c>
      <c r="O36" s="43"/>
      <c r="P36" s="43"/>
      <c r="Q36" s="43"/>
      <c r="R36" s="43"/>
      <c r="S36" s="43"/>
    </row>
    <row r="37" spans="1:19" s="44" customFormat="1" ht="30" customHeight="1" x14ac:dyDescent="0.25">
      <c r="A37" s="43"/>
      <c r="B37" s="43"/>
      <c r="C37" s="43"/>
      <c r="D37" s="43"/>
      <c r="E37" s="43"/>
      <c r="F37" s="43"/>
      <c r="G37" s="43"/>
      <c r="H37" s="122" t="s">
        <v>173</v>
      </c>
      <c r="I37" s="122" t="str">
        <f>PROPER(_xlfn.XLOOKUP(H37,ResearchInput[Institution Name],ResearchInput[First],"",0,1)&amp;" "&amp;_xlfn.XLOOKUP(H37,ResearchInput[Institution Name],ResearchInput[Last],"",0,1))</f>
        <v>Nancy Hranicky</v>
      </c>
      <c r="J37" s="179">
        <f>_xlfn.XLOOKUP(H37,ResearchInput[Institution Name],ResearchInput[Phone],"",0,1)</f>
        <v>9798459761</v>
      </c>
      <c r="K37" s="122" t="str">
        <f>LOWER(_xlfn.XLOOKUP(H37,ResearchInput[Institution Name],ResearchInput[Email],"",0,1))</f>
        <v>nhranicky@tamus.edu</v>
      </c>
      <c r="L37" s="122" t="str">
        <f>PROPER(_xlfn.XLOOKUP(H37,ResearchInput[Institution Name],ResearchInput[First.ALT],"",0,1)&amp;" "&amp;_xlfn.XLOOKUP(H37,ResearchInput[Institution Name],ResearchInput[Last.ALT],"",0,1))</f>
        <v>Cris Sowden</v>
      </c>
      <c r="M37" s="179">
        <f>_xlfn.XLOOKUP(H37,ResearchInput[Institution Name],ResearchInput[Phone.ALT],"",0,1)</f>
        <v>9794581866</v>
      </c>
      <c r="N37" s="122" t="str">
        <f>LOWER(_xlfn.XLOOKUP(H37,ResearchInput[Institution Name],ResearchInput[Email.ALT],"",0,1))</f>
        <v>crisla@tamu.edu</v>
      </c>
      <c r="O37" s="43"/>
      <c r="P37" s="43"/>
      <c r="Q37" s="43"/>
      <c r="R37" s="43"/>
      <c r="S37" s="43"/>
    </row>
    <row r="38" spans="1:19" s="44" customFormat="1" ht="30" customHeight="1" x14ac:dyDescent="0.25">
      <c r="A38" s="43"/>
      <c r="B38" s="43"/>
      <c r="C38" s="43"/>
      <c r="D38" s="43"/>
      <c r="E38" s="43"/>
      <c r="F38" s="43"/>
      <c r="G38" s="43"/>
      <c r="H38" s="177" t="s">
        <v>764</v>
      </c>
      <c r="I38" s="177" t="str">
        <f>PROPER(_xlfn.XLOOKUP(H38,ResearchInput[Institution Name],ResearchInput[First],"",0,1)&amp;" "&amp;_xlfn.XLOOKUP(H38,ResearchInput[Institution Name],ResearchInput[Last],"",0,1))</f>
        <v>Nancy Hranicky</v>
      </c>
      <c r="J38" s="178">
        <f>_xlfn.XLOOKUP(H38,ResearchInput[Institution Name],ResearchInput[Phone],"",0,1)</f>
        <v>9798459761</v>
      </c>
      <c r="K38" s="177" t="str">
        <f>LOWER(_xlfn.XLOOKUP(H38,ResearchInput[Institution Name],ResearchInput[Email],"",0,1))</f>
        <v>nhranicky@tamus.edu</v>
      </c>
      <c r="L38" s="177" t="str">
        <f>PROPER(_xlfn.XLOOKUP(H38,ResearchInput[Institution Name],ResearchInput[First.ALT],"",0,1)&amp;" "&amp;_xlfn.XLOOKUP(H38,ResearchInput[Institution Name],ResearchInput[Last.ALT],"",0,1))</f>
        <v>Verna Fritsch</v>
      </c>
      <c r="M38" s="178">
        <f>_xlfn.XLOOKUP(H38,ResearchInput[Institution Name],ResearchInput[Phone.ALT],"",0,1)</f>
        <v>9794586090</v>
      </c>
      <c r="N38" s="177" t="str">
        <f>LOWER(_xlfn.XLOOKUP(H38,ResearchInput[Institution Name],ResearchInput[Email.ALT],"",0,1))</f>
        <v>vfritsche@tamus.edu</v>
      </c>
      <c r="O38" s="43"/>
      <c r="P38" s="43"/>
      <c r="Q38" s="43"/>
      <c r="R38" s="43"/>
      <c r="S38" s="43"/>
    </row>
    <row r="39" spans="1:19" s="44" customFormat="1" ht="30" customHeight="1" x14ac:dyDescent="0.25">
      <c r="A39" s="43"/>
      <c r="B39" s="43"/>
      <c r="C39" s="43"/>
      <c r="D39" s="43"/>
      <c r="E39" s="43"/>
      <c r="F39" s="43"/>
      <c r="G39" s="43"/>
      <c r="H39" s="122" t="s">
        <v>234</v>
      </c>
      <c r="I39" s="122" t="str">
        <f>PROPER(_xlfn.XLOOKUP(H39,ResearchInput[Institution Name],ResearchInput[First],"",0,1)&amp;" "&amp;_xlfn.XLOOKUP(H39,ResearchInput[Institution Name],ResearchInput[Last],"",0,1))</f>
        <v>Nancy Hranicky</v>
      </c>
      <c r="J39" s="179">
        <f>_xlfn.XLOOKUP(H39,ResearchInput[Institution Name],ResearchInput[Phone],"",0,1)</f>
        <v>9798459761</v>
      </c>
      <c r="K39" s="122" t="str">
        <f>LOWER(_xlfn.XLOOKUP(H39,ResearchInput[Institution Name],ResearchInput[Email],"",0,1))</f>
        <v>nhranicky@tamus.edu</v>
      </c>
      <c r="L39" s="122" t="str">
        <f>PROPER(_xlfn.XLOOKUP(H39,ResearchInput[Institution Name],ResearchInput[First.ALT],"",0,1)&amp;" "&amp;_xlfn.XLOOKUP(H39,ResearchInput[Institution Name],ResearchInput[Last.ALT],"",0,1))</f>
        <v>Elbrich Debbie</v>
      </c>
      <c r="M39" s="179">
        <f>_xlfn.XLOOKUP(H39,ResearchInput[Institution Name],ResearchInput[Phone.ALT],"",0,1)</f>
        <v>9794369239</v>
      </c>
      <c r="N39" s="122" t="str">
        <f>LOWER(_xlfn.XLOOKUP(H39,ResearchInput[Institution Name],ResearchInput[Email.ALT],"",0,1))</f>
        <v>elbrich@tamu.edu</v>
      </c>
      <c r="O39" s="43"/>
      <c r="P39" s="43"/>
      <c r="Q39" s="43"/>
      <c r="R39" s="43"/>
      <c r="S39" s="43"/>
    </row>
    <row r="40" spans="1:19" s="44" customFormat="1" ht="30" customHeight="1" x14ac:dyDescent="0.25">
      <c r="A40" s="43"/>
      <c r="B40" s="43"/>
      <c r="C40" s="43"/>
      <c r="D40" s="43"/>
      <c r="E40" s="43"/>
      <c r="F40" s="43"/>
      <c r="G40" s="43"/>
      <c r="H40" s="177" t="s">
        <v>535</v>
      </c>
      <c r="I40" s="177" t="str">
        <f>PROPER(_xlfn.XLOOKUP(H40,ResearchInput[Institution Name],ResearchInput[First],"",0,1)&amp;" "&amp;_xlfn.XLOOKUP(H40,ResearchInput[Institution Name],ResearchInput[Last],"",0,1))</f>
        <v>Nancy Hranicky</v>
      </c>
      <c r="J40" s="178">
        <f>_xlfn.XLOOKUP(H40,ResearchInput[Institution Name],ResearchInput[Phone],"",0,1)</f>
        <v>9798459761</v>
      </c>
      <c r="K40" s="177" t="str">
        <f>LOWER(_xlfn.XLOOKUP(H40,ResearchInput[Institution Name],ResearchInput[Email],"",0,1))</f>
        <v>nhranicky@tamus.edu</v>
      </c>
      <c r="L40" s="177" t="str">
        <f>PROPER(_xlfn.XLOOKUP(H40,ResearchInput[Institution Name],ResearchInput[First.ALT],"",0,1)&amp;" "&amp;_xlfn.XLOOKUP(H40,ResearchInput[Institution Name],ResearchInput[Last.ALT],"",0,1))</f>
        <v>Adrienne Person</v>
      </c>
      <c r="M40" s="178">
        <f>_xlfn.XLOOKUP(H40,ResearchInput[Institution Name],ResearchInput[Phone.ALT],"",0,1)</f>
        <v>9793215529</v>
      </c>
      <c r="N40" s="177" t="str">
        <f>LOWER(_xlfn.XLOOKUP(H40,ResearchInput[Institution Name],ResearchInput[Email.ALT],"",0,1))</f>
        <v>adrienne.person@tvmdl.tamu.edu</v>
      </c>
      <c r="O40" s="43"/>
      <c r="P40" s="43"/>
      <c r="Q40" s="43"/>
      <c r="R40" s="43"/>
      <c r="S40" s="43"/>
    </row>
    <row r="41" spans="1:19" s="44" customFormat="1" ht="30" customHeight="1" x14ac:dyDescent="0.25">
      <c r="A41" s="43"/>
      <c r="B41" s="43"/>
      <c r="C41" s="43"/>
      <c r="D41" s="43"/>
      <c r="E41" s="43"/>
      <c r="F41" s="43"/>
      <c r="G41" s="43"/>
      <c r="H41" s="122" t="s">
        <v>636</v>
      </c>
      <c r="I41" s="122" t="str">
        <f>PROPER(_xlfn.XLOOKUP(H41,ResearchInput[Institution Name],ResearchInput[First],"",0,1)&amp;" "&amp;_xlfn.XLOOKUP(H41,ResearchInput[Institution Name],ResearchInput[Last],"",0,1))</f>
        <v>Lindsey Millns</v>
      </c>
      <c r="J41" s="179">
        <f>_xlfn.XLOOKUP(H41,ResearchInput[Institution Name],ResearchInput[Phone],"",0,1)</f>
        <v>8172575023</v>
      </c>
      <c r="K41" s="122" t="str">
        <f>LOWER(_xlfn.XLOOKUP(H41,ResearchInput[Institution Name],ResearchInput[Email],"",0,1))</f>
        <v>l.millns@tcu.edu</v>
      </c>
      <c r="L41" s="122" t="str">
        <f>PROPER(_xlfn.XLOOKUP(H41,ResearchInput[Institution Name],ResearchInput[First.ALT],"",0,1)&amp;" "&amp;_xlfn.XLOOKUP(H41,ResearchInput[Institution Name],ResearchInput[Last.ALT],"",0,1))</f>
        <v>Laurie Harris</v>
      </c>
      <c r="M41" s="179">
        <f>_xlfn.XLOOKUP(H41,ResearchInput[Institution Name],ResearchInput[Phone.ALT],"",0,1)</f>
        <v>8172575025</v>
      </c>
      <c r="N41" s="122" t="str">
        <f>LOWER(_xlfn.XLOOKUP(H41,ResearchInput[Institution Name],ResearchInput[Email.ALT],"",0,1))</f>
        <v>laurie.harris@tcu.edu</v>
      </c>
      <c r="O41" s="43"/>
      <c r="P41" s="43"/>
      <c r="Q41" s="43"/>
      <c r="R41" s="43"/>
      <c r="S41" s="43"/>
    </row>
    <row r="42" spans="1:19" s="44" customFormat="1" ht="30" customHeight="1" x14ac:dyDescent="0.25">
      <c r="A42" s="43"/>
      <c r="B42" s="43"/>
      <c r="C42" s="43"/>
      <c r="D42" s="43"/>
      <c r="E42" s="43"/>
      <c r="F42" s="43"/>
      <c r="G42" s="43"/>
      <c r="H42" s="177" t="s">
        <v>539</v>
      </c>
      <c r="I42" s="177" t="str">
        <f>PROPER(_xlfn.XLOOKUP(H42,ResearchInput[Institution Name],ResearchInput[First],"",0,1)&amp;" "&amp;_xlfn.XLOOKUP(H42,ResearchInput[Institution Name],ResearchInput[Last],"",0,1))</f>
        <v>Nancy Hranicky</v>
      </c>
      <c r="J42" s="178">
        <f>_xlfn.XLOOKUP(H42,ResearchInput[Institution Name],ResearchInput[Phone],"",0,1)</f>
        <v>9798459761</v>
      </c>
      <c r="K42" s="177" t="str">
        <f>LOWER(_xlfn.XLOOKUP(H42,ResearchInput[Institution Name],ResearchInput[Email],"",0,1))</f>
        <v>nhranicky@tamus.edu</v>
      </c>
      <c r="L42" s="177" t="str">
        <f>PROPER(_xlfn.XLOOKUP(H42,ResearchInput[Institution Name],ResearchInput[First.ALT],"",0,1)&amp;" "&amp;_xlfn.XLOOKUP(H42,ResearchInput[Institution Name],ResearchInput[Last.ALT],"",0,1))</f>
        <v>Daniel Pall</v>
      </c>
      <c r="M42" s="178">
        <f>_xlfn.XLOOKUP(H42,ResearchInput[Institution Name],ResearchInput[Phone.ALT],"",0,1)</f>
        <v>9792202822</v>
      </c>
      <c r="N42" s="177" t="str">
        <f>LOWER(_xlfn.XLOOKUP(H42,ResearchInput[Institution Name],ResearchInput[Email.ALT],"",0,1))</f>
        <v>daniel.pall@tdem.texas.gov</v>
      </c>
      <c r="O42" s="43"/>
      <c r="P42" s="43"/>
      <c r="Q42" s="43"/>
      <c r="R42" s="43"/>
      <c r="S42" s="43"/>
    </row>
    <row r="43" spans="1:19" s="44" customFormat="1" ht="30" customHeight="1" x14ac:dyDescent="0.25">
      <c r="A43" s="43"/>
      <c r="B43" s="43"/>
      <c r="C43" s="43"/>
      <c r="D43" s="43"/>
      <c r="E43" s="43"/>
      <c r="F43" s="43"/>
      <c r="G43" s="43"/>
      <c r="H43" s="122" t="s">
        <v>643</v>
      </c>
      <c r="I43" s="122" t="str">
        <f>PROPER(_xlfn.XLOOKUP(H43,ResearchInput[Institution Name],ResearchInput[First],"",0,1)&amp;" "&amp;_xlfn.XLOOKUP(H43,ResearchInput[Institution Name],ResearchInput[Last],"",0,1))</f>
        <v>Christopher Heiser</v>
      </c>
      <c r="J43" s="179">
        <f>_xlfn.XLOOKUP(H43,ResearchInput[Institution Name],ResearchInput[Phone],"",0,1)</f>
        <v>8303728014</v>
      </c>
      <c r="K43" s="122" t="str">
        <f>LOWER(_xlfn.XLOOKUP(H43,ResearchInput[Institution Name],ResearchInput[Email],"",0,1))</f>
        <v>cdheiser@tlu.edu</v>
      </c>
      <c r="L43" s="122" t="str">
        <f>PROPER(_xlfn.XLOOKUP(H43,ResearchInput[Institution Name],ResearchInput[First.ALT],"",0,1)&amp;" "&amp;_xlfn.XLOOKUP(H43,ResearchInput[Institution Name],ResearchInput[Last.ALT],"",0,1))</f>
        <v>Jeff Jandt</v>
      </c>
      <c r="M43" s="179">
        <f>_xlfn.XLOOKUP(H43,ResearchInput[Institution Name],ResearchInput[Phone.ALT],"",0,1)</f>
        <v>8303728020</v>
      </c>
      <c r="N43" s="122" t="str">
        <f>LOWER(_xlfn.XLOOKUP(H43,ResearchInput[Institution Name],ResearchInput[Email.ALT],"",0,1))</f>
        <v>jjandt@tlu.edu</v>
      </c>
      <c r="O43" s="43"/>
      <c r="P43" s="43"/>
      <c r="Q43" s="43"/>
      <c r="R43" s="43"/>
      <c r="S43" s="43"/>
    </row>
    <row r="44" spans="1:19" s="44" customFormat="1" ht="30" customHeight="1" x14ac:dyDescent="0.25">
      <c r="A44" s="43"/>
      <c r="B44" s="43"/>
      <c r="C44" s="43"/>
      <c r="D44" s="43"/>
      <c r="E44" s="43"/>
      <c r="F44" s="43"/>
      <c r="G44" s="43"/>
      <c r="H44" s="177" t="s">
        <v>237</v>
      </c>
      <c r="I44" s="177" t="str">
        <f>PROPER(_xlfn.XLOOKUP(H44,ResearchInput[Institution Name],ResearchInput[First],"",0,1)&amp;" "&amp;_xlfn.XLOOKUP(H44,ResearchInput[Institution Name],ResearchInput[Last],"",0,1))</f>
        <v>John Pittman</v>
      </c>
      <c r="J44" s="178">
        <f>_xlfn.XLOOKUP(H44,ResearchInput[Institution Name],ResearchInput[Phone],"",0,1)</f>
        <v>7133131301</v>
      </c>
      <c r="K44" s="177" t="str">
        <f>LOWER(_xlfn.XLOOKUP(H44,ResearchInput[Institution Name],ResearchInput[Email],"",0,1))</f>
        <v>john.pittman@tsu.edu</v>
      </c>
      <c r="L44" s="177" t="str">
        <f>PROPER(_xlfn.XLOOKUP(H44,ResearchInput[Institution Name],ResearchInput[First.ALT],"",0,1)&amp;" "&amp;_xlfn.XLOOKUP(H44,ResearchInput[Institution Name],ResearchInput[Last.ALT],"",0,1))</f>
        <v>Paula Stapleton</v>
      </c>
      <c r="M44" s="178">
        <f>_xlfn.XLOOKUP(H44,ResearchInput[Institution Name],ResearchInput[Phone.ALT],"",0,1)</f>
        <v>7133137197</v>
      </c>
      <c r="N44" s="177" t="str">
        <f>LOWER(_xlfn.XLOOKUP(H44,ResearchInput[Institution Name],ResearchInput[Email.ALT],"",0,1))</f>
        <v>paula.stapleton@tsu.edu</v>
      </c>
      <c r="O44" s="43"/>
      <c r="P44" s="43"/>
      <c r="Q44" s="43"/>
      <c r="R44" s="43"/>
      <c r="S44" s="43"/>
    </row>
    <row r="45" spans="1:19" s="44" customFormat="1" ht="30" customHeight="1" x14ac:dyDescent="0.25">
      <c r="A45" s="43"/>
      <c r="B45" s="43"/>
      <c r="C45" s="43"/>
      <c r="D45" s="43"/>
      <c r="E45" s="43"/>
      <c r="F45" s="43"/>
      <c r="G45" s="43"/>
      <c r="H45" s="122" t="s">
        <v>218</v>
      </c>
      <c r="I45" s="122" t="str">
        <f>PROPER(_xlfn.XLOOKUP(H45,ResearchInput[Institution Name],ResearchInput[First],"",0,1)&amp;" "&amp;_xlfn.XLOOKUP(H45,ResearchInput[Institution Name],ResearchInput[Last],"",0,1))</f>
        <v>Christopher Greenwood</v>
      </c>
      <c r="J45" s="179">
        <f>_xlfn.XLOOKUP(H45,ResearchInput[Institution Name],ResearchInput[Phone],"",0,1)</f>
        <v>2548673931</v>
      </c>
      <c r="K45" s="122" t="str">
        <f>LOWER(_xlfn.XLOOKUP(H45,ResearchInput[Institution Name],ResearchInput[Email],"",0,1))</f>
        <v>christopher.greenwood@tstc.edu</v>
      </c>
      <c r="L45" s="122" t="str">
        <f>PROPER(_xlfn.XLOOKUP(H45,ResearchInput[Institution Name],ResearchInput[First.ALT],"",0,1)&amp;" "&amp;_xlfn.XLOOKUP(H45,ResearchInput[Institution Name],ResearchInput[Last.ALT],"",0,1))</f>
        <v>Jessica Montalvo</v>
      </c>
      <c r="M45" s="179">
        <f>_xlfn.XLOOKUP(H45,ResearchInput[Institution Name],ResearchInput[Phone.ALT],"",0,1)</f>
        <v>9563644058</v>
      </c>
      <c r="N45" s="122" t="str">
        <f>LOWER(_xlfn.XLOOKUP(H45,ResearchInput[Institution Name],ResearchInput[Email.ALT],"",0,1))</f>
        <v>jessica.montalvo@tstc.edu</v>
      </c>
      <c r="O45" s="43"/>
      <c r="P45" s="43"/>
      <c r="Q45" s="43"/>
      <c r="R45" s="43"/>
      <c r="S45" s="43"/>
    </row>
    <row r="46" spans="1:19" s="44" customFormat="1" ht="30" customHeight="1" x14ac:dyDescent="0.25">
      <c r="A46" s="43"/>
      <c r="B46" s="43"/>
      <c r="C46" s="43"/>
      <c r="D46" s="43"/>
      <c r="E46" s="43"/>
      <c r="F46" s="43"/>
      <c r="G46" s="43"/>
      <c r="H46" s="177" t="s">
        <v>211</v>
      </c>
      <c r="I46" s="177" t="str">
        <f>PROPER(_xlfn.XLOOKUP(H46,ResearchInput[Institution Name],ResearchInput[First],"",0,1)&amp;" "&amp;_xlfn.XLOOKUP(H46,ResearchInput[Institution Name],ResearchInput[Last],"",0,1))</f>
        <v>Christopher Greenwood</v>
      </c>
      <c r="J46" s="178">
        <f>_xlfn.XLOOKUP(H46,ResearchInput[Institution Name],ResearchInput[Phone],"",0,1)</f>
        <v>2548673931</v>
      </c>
      <c r="K46" s="177" t="str">
        <f>LOWER(_xlfn.XLOOKUP(H46,ResearchInput[Institution Name],ResearchInput[Email],"",0,1))</f>
        <v>christopher.greenwood@tstc.edu</v>
      </c>
      <c r="L46" s="177" t="str">
        <f>PROPER(_xlfn.XLOOKUP(H46,ResearchInput[Institution Name],ResearchInput[First.ALT],"",0,1)&amp;" "&amp;_xlfn.XLOOKUP(H46,ResearchInput[Institution Name],ResearchInput[Last.ALT],"",0,1))</f>
        <v>Jessica Montalvo</v>
      </c>
      <c r="M46" s="178">
        <f>_xlfn.XLOOKUP(H46,ResearchInput[Institution Name],ResearchInput[Phone.ALT],"",0,1)</f>
        <v>9563644058</v>
      </c>
      <c r="N46" s="177" t="str">
        <f>LOWER(_xlfn.XLOOKUP(H46,ResearchInput[Institution Name],ResearchInput[Email.ALT],"",0,1))</f>
        <v>jessica.montalvo@tstc.edu</v>
      </c>
      <c r="O46" s="43"/>
      <c r="P46" s="43"/>
      <c r="Q46" s="43"/>
      <c r="R46" s="43"/>
      <c r="S46" s="43"/>
    </row>
    <row r="47" spans="1:19" s="44" customFormat="1" ht="30" customHeight="1" x14ac:dyDescent="0.25">
      <c r="A47" s="43"/>
      <c r="B47" s="43"/>
      <c r="C47" s="43"/>
      <c r="D47" s="43"/>
      <c r="E47" s="43"/>
      <c r="F47" s="43"/>
      <c r="G47" s="43"/>
      <c r="H47" s="122" t="s">
        <v>215</v>
      </c>
      <c r="I47" s="122" t="str">
        <f>PROPER(_xlfn.XLOOKUP(H47,ResearchInput[Institution Name],ResearchInput[First],"",0,1)&amp;" "&amp;_xlfn.XLOOKUP(H47,ResearchInput[Institution Name],ResearchInput[Last],"",0,1))</f>
        <v>Christopher Greenwood</v>
      </c>
      <c r="J47" s="179">
        <f>_xlfn.XLOOKUP(H47,ResearchInput[Institution Name],ResearchInput[Phone],"",0,1)</f>
        <v>2548673931</v>
      </c>
      <c r="K47" s="122" t="str">
        <f>LOWER(_xlfn.XLOOKUP(H47,ResearchInput[Institution Name],ResearchInput[Email],"",0,1))</f>
        <v>christopher.greenwood@tstc.edu</v>
      </c>
      <c r="L47" s="122" t="str">
        <f>PROPER(_xlfn.XLOOKUP(H47,ResearchInput[Institution Name],ResearchInput[First.ALT],"",0,1)&amp;" "&amp;_xlfn.XLOOKUP(H47,ResearchInput[Institution Name],ResearchInput[Last.ALT],"",0,1))</f>
        <v>Jessica Montalvo</v>
      </c>
      <c r="M47" s="179">
        <f>_xlfn.XLOOKUP(H47,ResearchInput[Institution Name],ResearchInput[Phone.ALT],"",0,1)</f>
        <v>9563644058</v>
      </c>
      <c r="N47" s="122" t="str">
        <f>LOWER(_xlfn.XLOOKUP(H47,ResearchInput[Institution Name],ResearchInput[Email.ALT],"",0,1))</f>
        <v>jessica.montalvo@tstc.edu</v>
      </c>
      <c r="O47" s="43"/>
      <c r="P47" s="43"/>
      <c r="Q47" s="43"/>
      <c r="R47" s="43"/>
      <c r="S47" s="43"/>
    </row>
    <row r="48" spans="1:19" s="44" customFormat="1" ht="30" customHeight="1" x14ac:dyDescent="0.25">
      <c r="A48" s="43"/>
      <c r="B48" s="43"/>
      <c r="C48" s="43"/>
      <c r="D48" s="43"/>
      <c r="E48" s="43"/>
      <c r="F48" s="43"/>
      <c r="G48" s="43"/>
      <c r="H48" s="177" t="s">
        <v>217</v>
      </c>
      <c r="I48" s="177" t="str">
        <f>PROPER(_xlfn.XLOOKUP(H48,ResearchInput[Institution Name],ResearchInput[First],"",0,1)&amp;" "&amp;_xlfn.XLOOKUP(H48,ResearchInput[Institution Name],ResearchInput[Last],"",0,1))</f>
        <v>Christopher Greenwood</v>
      </c>
      <c r="J48" s="178">
        <f>_xlfn.XLOOKUP(H48,ResearchInput[Institution Name],ResearchInput[Phone],"",0,1)</f>
        <v>2548673931</v>
      </c>
      <c r="K48" s="177" t="str">
        <f>LOWER(_xlfn.XLOOKUP(H48,ResearchInput[Institution Name],ResearchInput[Email],"",0,1))</f>
        <v>christopher.greenwood@tstc.edu</v>
      </c>
      <c r="L48" s="177" t="str">
        <f>PROPER(_xlfn.XLOOKUP(H48,ResearchInput[Institution Name],ResearchInput[First.ALT],"",0,1)&amp;" "&amp;_xlfn.XLOOKUP(H48,ResearchInput[Institution Name],ResearchInput[Last.ALT],"",0,1))</f>
        <v>Jessica Montalvo</v>
      </c>
      <c r="M48" s="178">
        <f>_xlfn.XLOOKUP(H48,ResearchInput[Institution Name],ResearchInput[Phone.ALT],"",0,1)</f>
        <v>9563644058</v>
      </c>
      <c r="N48" s="177" t="str">
        <f>LOWER(_xlfn.XLOOKUP(H48,ResearchInput[Institution Name],ResearchInput[Email.ALT],"",0,1))</f>
        <v>jessica.montalvo@tstc.edu</v>
      </c>
      <c r="O48" s="43"/>
      <c r="P48" s="43"/>
      <c r="Q48" s="43"/>
      <c r="R48" s="43"/>
      <c r="S48" s="43"/>
    </row>
    <row r="49" spans="1:19" s="44" customFormat="1" ht="30" customHeight="1" x14ac:dyDescent="0.25">
      <c r="A49" s="43"/>
      <c r="B49" s="43"/>
      <c r="C49" s="43"/>
      <c r="D49" s="43"/>
      <c r="E49" s="43"/>
      <c r="F49" s="43"/>
      <c r="G49" s="43"/>
      <c r="H49" s="122" t="s">
        <v>216</v>
      </c>
      <c r="I49" s="122" t="str">
        <f>PROPER(_xlfn.XLOOKUP(H49,ResearchInput[Institution Name],ResearchInput[First],"",0,1)&amp;" "&amp;_xlfn.XLOOKUP(H49,ResearchInput[Institution Name],ResearchInput[Last],"",0,1))</f>
        <v>Christopher Greenwood</v>
      </c>
      <c r="J49" s="179">
        <f>_xlfn.XLOOKUP(H49,ResearchInput[Institution Name],ResearchInput[Phone],"",0,1)</f>
        <v>2548673931</v>
      </c>
      <c r="K49" s="122" t="str">
        <f>LOWER(_xlfn.XLOOKUP(H49,ResearchInput[Institution Name],ResearchInput[Email],"",0,1))</f>
        <v>christopher.greenwood@tstc.edu</v>
      </c>
      <c r="L49" s="122" t="str">
        <f>PROPER(_xlfn.XLOOKUP(H49,ResearchInput[Institution Name],ResearchInput[First.ALT],"",0,1)&amp;" "&amp;_xlfn.XLOOKUP(H49,ResearchInput[Institution Name],ResearchInput[Last.ALT],"",0,1))</f>
        <v>Jessica Montalvo</v>
      </c>
      <c r="M49" s="179">
        <f>_xlfn.XLOOKUP(H49,ResearchInput[Institution Name],ResearchInput[Phone.ALT],"",0,1)</f>
        <v>9563644058</v>
      </c>
      <c r="N49" s="122" t="str">
        <f>LOWER(_xlfn.XLOOKUP(H49,ResearchInput[Institution Name],ResearchInput[Email.ALT],"",0,1))</f>
        <v>jessica.montalvo@tstc.edu</v>
      </c>
      <c r="O49" s="43"/>
      <c r="P49" s="43"/>
      <c r="Q49" s="43"/>
      <c r="R49" s="43"/>
      <c r="S49" s="43"/>
    </row>
    <row r="50" spans="1:19" s="44" customFormat="1" ht="30" customHeight="1" x14ac:dyDescent="0.25">
      <c r="A50" s="43"/>
      <c r="B50" s="43"/>
      <c r="C50" s="43"/>
      <c r="D50" s="43"/>
      <c r="E50" s="43"/>
      <c r="F50" s="43"/>
      <c r="G50" s="43"/>
      <c r="H50" s="177" t="s">
        <v>214</v>
      </c>
      <c r="I50" s="177" t="str">
        <f>PROPER(_xlfn.XLOOKUP(H50,ResearchInput[Institution Name],ResearchInput[First],"",0,1)&amp;" "&amp;_xlfn.XLOOKUP(H50,ResearchInput[Institution Name],ResearchInput[Last],"",0,1))</f>
        <v>Christopher Greenwood</v>
      </c>
      <c r="J50" s="178">
        <f>_xlfn.XLOOKUP(H50,ResearchInput[Institution Name],ResearchInput[Phone],"",0,1)</f>
        <v>2548673931</v>
      </c>
      <c r="K50" s="177" t="str">
        <f>LOWER(_xlfn.XLOOKUP(H50,ResearchInput[Institution Name],ResearchInput[Email],"",0,1))</f>
        <v>christopher.greenwood@tstc.edu</v>
      </c>
      <c r="L50" s="177" t="str">
        <f>PROPER(_xlfn.XLOOKUP(H50,ResearchInput[Institution Name],ResearchInput[First.ALT],"",0,1)&amp;" "&amp;_xlfn.XLOOKUP(H50,ResearchInput[Institution Name],ResearchInput[Last.ALT],"",0,1))</f>
        <v>Jessica Montalvo</v>
      </c>
      <c r="M50" s="178">
        <f>_xlfn.XLOOKUP(H50,ResearchInput[Institution Name],ResearchInput[Phone.ALT],"",0,1)</f>
        <v>9563644058</v>
      </c>
      <c r="N50" s="177" t="str">
        <f>LOWER(_xlfn.XLOOKUP(H50,ResearchInput[Institution Name],ResearchInput[Email.ALT],"",0,1))</f>
        <v>jessica.montalvo@tstc.edu</v>
      </c>
      <c r="O50" s="43"/>
      <c r="P50" s="43"/>
      <c r="Q50" s="43"/>
      <c r="R50" s="43"/>
      <c r="S50" s="43"/>
    </row>
    <row r="51" spans="1:19" s="44" customFormat="1" ht="30" customHeight="1" x14ac:dyDescent="0.25">
      <c r="A51" s="43"/>
      <c r="B51" s="43"/>
      <c r="C51" s="43"/>
      <c r="D51" s="43"/>
      <c r="E51" s="43"/>
      <c r="F51" s="43"/>
      <c r="G51" s="43"/>
      <c r="H51" s="122" t="s">
        <v>770</v>
      </c>
      <c r="I51" s="122" t="str">
        <f>PROPER(_xlfn.XLOOKUP(H51,ResearchInput[Institution Name],ResearchInput[First],"",0,1)&amp;" "&amp;_xlfn.XLOOKUP(H51,ResearchInput[Institution Name],ResearchInput[Last],"",0,1))</f>
        <v>Christopher Greenwood</v>
      </c>
      <c r="J51" s="179">
        <f>_xlfn.XLOOKUP(H51,ResearchInput[Institution Name],ResearchInput[Phone],"",0,1)</f>
        <v>2548673931</v>
      </c>
      <c r="K51" s="122" t="str">
        <f>LOWER(_xlfn.XLOOKUP(H51,ResearchInput[Institution Name],ResearchInput[Email],"",0,1))</f>
        <v>christopher.greenwood@tstc.edu</v>
      </c>
      <c r="L51" s="122" t="str">
        <f>PROPER(_xlfn.XLOOKUP(H51,ResearchInput[Institution Name],ResearchInput[First.ALT],"",0,1)&amp;" "&amp;_xlfn.XLOOKUP(H51,ResearchInput[Institution Name],ResearchInput[Last.ALT],"",0,1))</f>
        <v>Jessica Montalvo</v>
      </c>
      <c r="M51" s="179">
        <f>_xlfn.XLOOKUP(H51,ResearchInput[Institution Name],ResearchInput[Phone.ALT],"",0,1)</f>
        <v>9563644058</v>
      </c>
      <c r="N51" s="122" t="str">
        <f>LOWER(_xlfn.XLOOKUP(H51,ResearchInput[Institution Name],ResearchInput[Email.ALT],"",0,1))</f>
        <v>jessica.montalvo@tstc.edu</v>
      </c>
      <c r="O51" s="43"/>
      <c r="P51" s="43"/>
      <c r="Q51" s="43"/>
      <c r="R51" s="43"/>
      <c r="S51" s="43"/>
    </row>
    <row r="52" spans="1:19" s="44" customFormat="1" ht="30" customHeight="1" x14ac:dyDescent="0.25">
      <c r="A52" s="43"/>
      <c r="B52" s="43"/>
      <c r="C52" s="43"/>
      <c r="D52" s="43"/>
      <c r="E52" s="43"/>
      <c r="F52" s="43"/>
      <c r="G52" s="43"/>
      <c r="H52" s="177" t="s">
        <v>235</v>
      </c>
      <c r="I52" s="177" t="str">
        <f>PROPER(_xlfn.XLOOKUP(H52,ResearchInput[Institution Name],ResearchInput[First],"",0,1)&amp;" "&amp;_xlfn.XLOOKUP(H52,ResearchInput[Institution Name],ResearchInput[Last],"",0,1))</f>
        <v>Cindy Haley</v>
      </c>
      <c r="J52" s="178">
        <f>_xlfn.XLOOKUP(H52,ResearchInput[Institution Name],ResearchInput[Phone],"",0,1)</f>
        <v>5122452087</v>
      </c>
      <c r="K52" s="177" t="str">
        <f>LOWER(_xlfn.XLOOKUP(H52,ResearchInput[Institution Name],ResearchInput[Email],"",0,1))</f>
        <v>cindy.haley@txstate.edu</v>
      </c>
      <c r="L52" s="177" t="str">
        <f>PROPER(_xlfn.XLOOKUP(H52,ResearchInput[Institution Name],ResearchInput[First.ALT],"",0,1)&amp;" "&amp;_xlfn.XLOOKUP(H52,ResearchInput[Institution Name],ResearchInput[Last.ALT],"",0,1))</f>
        <v>Elizabeth Longoria-Cardenas</v>
      </c>
      <c r="M52" s="178">
        <f>_xlfn.XLOOKUP(H52,ResearchInput[Institution Name],ResearchInput[Phone.ALT],"",0,1)</f>
        <v>5122452776</v>
      </c>
      <c r="N52" s="177" t="str">
        <f>LOWER(_xlfn.XLOOKUP(H52,ResearchInput[Institution Name],ResearchInput[Email.ALT],"",0,1))</f>
        <v>ec1217@txstate.edu</v>
      </c>
      <c r="O52" s="43"/>
      <c r="P52" s="43"/>
      <c r="Q52" s="43"/>
      <c r="R52" s="43"/>
      <c r="S52" s="43"/>
    </row>
    <row r="53" spans="1:19" s="44" customFormat="1" ht="30" customHeight="1" x14ac:dyDescent="0.25">
      <c r="A53" s="43"/>
      <c r="B53" s="43"/>
      <c r="C53" s="43"/>
      <c r="D53" s="43"/>
      <c r="E53" s="43"/>
      <c r="F53" s="43"/>
      <c r="G53" s="43"/>
      <c r="H53" s="122" t="s">
        <v>769</v>
      </c>
      <c r="I53" s="122" t="str">
        <f>PROPER(_xlfn.XLOOKUP(H53,ResearchInput[Institution Name],ResearchInput[First],"",0,1)&amp;" "&amp;_xlfn.XLOOKUP(H53,ResearchInput[Institution Name],ResearchInput[Last],"",0,1))</f>
        <v>James Webb</v>
      </c>
      <c r="J53" s="179">
        <f>_xlfn.XLOOKUP(H53,ResearchInput[Institution Name],ResearchInput[Phone],"",0,1)</f>
        <v>5124636412</v>
      </c>
      <c r="K53" s="122" t="str">
        <f>LOWER(_xlfn.XLOOKUP(H53,ResearchInput[Institution Name],ResearchInput[Email],"",0,1))</f>
        <v>james.webb@tsus.edu</v>
      </c>
      <c r="L53" s="122" t="str">
        <f>PROPER(_xlfn.XLOOKUP(H53,ResearchInput[Institution Name],ResearchInput[First.ALT],"",0,1)&amp;" "&amp;_xlfn.XLOOKUP(H53,ResearchInput[Institution Name],ResearchInput[Last.ALT],"",0,1))</f>
        <v>Daniel Harper</v>
      </c>
      <c r="M53" s="179">
        <f>_xlfn.XLOOKUP(H53,ResearchInput[Institution Name],ResearchInput[Phone.ALT],"",0,1)</f>
        <v>5124636449</v>
      </c>
      <c r="N53" s="122" t="str">
        <f>LOWER(_xlfn.XLOOKUP(H53,ResearchInput[Institution Name],ResearchInput[Email.ALT],"",0,1))</f>
        <v>daniel.harper@tsus.edu</v>
      </c>
      <c r="O53" s="43"/>
      <c r="P53" s="43"/>
      <c r="Q53" s="43"/>
      <c r="R53" s="43"/>
      <c r="S53" s="43"/>
    </row>
    <row r="54" spans="1:19" s="44" customFormat="1" ht="30" customHeight="1" x14ac:dyDescent="0.25">
      <c r="A54" s="43"/>
      <c r="B54" s="43"/>
      <c r="C54" s="43"/>
      <c r="D54" s="43"/>
      <c r="E54" s="43"/>
      <c r="F54" s="43"/>
      <c r="G54" s="43"/>
      <c r="H54" s="177" t="s">
        <v>191</v>
      </c>
      <c r="I54" s="177" t="str">
        <f>PROPER(_xlfn.XLOOKUP(H54,ResearchInput[Institution Name],ResearchInput[First],"",0,1)&amp;" "&amp;_xlfn.XLOOKUP(H54,ResearchInput[Institution Name],ResearchInput[Last],"",0,1))</f>
        <v>Lori Eppler</v>
      </c>
      <c r="J54" s="178">
        <f>_xlfn.XLOOKUP(H54,ResearchInput[Institution Name],ResearchInput[Phone],"",0,1)</f>
        <v>8068344640</v>
      </c>
      <c r="K54" s="177" t="str">
        <f>LOWER(_xlfn.XLOOKUP(H54,ResearchInput[Institution Name],ResearchInput[Email],"",0,1))</f>
        <v>lori.eppler@ttu.edu</v>
      </c>
      <c r="L54" s="177" t="str">
        <f>PROPER(_xlfn.XLOOKUP(H54,ResearchInput[Institution Name],ResearchInput[First.ALT],"",0,1)&amp;" "&amp;_xlfn.XLOOKUP(H54,ResearchInput[Institution Name],ResearchInput[Last.ALT],"",0,1))</f>
        <v>Eric Fisher</v>
      </c>
      <c r="M54" s="178">
        <f>_xlfn.XLOOKUP(H54,ResearchInput[Institution Name],ResearchInput[Phone.ALT],"",0,1)</f>
        <v>8068344713</v>
      </c>
      <c r="N54" s="177" t="str">
        <f>LOWER(_xlfn.XLOOKUP(H54,ResearchInput[Institution Name],ResearchInput[Email.ALT],"",0,1))</f>
        <v>eric.fisher@ttu.edu</v>
      </c>
      <c r="O54" s="43"/>
      <c r="P54" s="43"/>
      <c r="Q54" s="43"/>
      <c r="R54" s="43"/>
      <c r="S54" s="43"/>
    </row>
    <row r="55" spans="1:19" s="44" customFormat="1" ht="30" customHeight="1" x14ac:dyDescent="0.25">
      <c r="A55" s="43"/>
      <c r="B55" s="43"/>
      <c r="C55" s="43"/>
      <c r="D55" s="43"/>
      <c r="E55" s="43"/>
      <c r="F55" s="43"/>
      <c r="G55" s="43"/>
      <c r="H55" s="122" t="s">
        <v>204</v>
      </c>
      <c r="I55" s="122" t="str">
        <f>PROPER(_xlfn.XLOOKUP(H55,ResearchInput[Institution Name],ResearchInput[First],"",0,1)&amp;" "&amp;_xlfn.XLOOKUP(H55,ResearchInput[Institution Name],ResearchInput[Last],"",0,1))</f>
        <v>Rebecca Aguilar</v>
      </c>
      <c r="J55" s="179">
        <f>_xlfn.XLOOKUP(H55,ResearchInput[Institution Name],ResearchInput[Phone],"",0,1)</f>
        <v>8067437381</v>
      </c>
      <c r="K55" s="122" t="str">
        <f>LOWER(_xlfn.XLOOKUP(H55,ResearchInput[Institution Name],ResearchInput[Email],"",0,1))</f>
        <v>rebecca,.aguilar@ttuhsc.edu</v>
      </c>
      <c r="L55" s="122" t="str">
        <f>PROPER(_xlfn.XLOOKUP(H55,ResearchInput[Institution Name],ResearchInput[First.ALT],"",0,1)&amp;" "&amp;_xlfn.XLOOKUP(H55,ResearchInput[Institution Name],ResearchInput[Last.ALT],"",0,1))</f>
        <v>Mike West</v>
      </c>
      <c r="M55" s="179">
        <f>_xlfn.XLOOKUP(H55,ResearchInput[Institution Name],ResearchInput[Phone.ALT],"",0,1)</f>
        <v>8067439021</v>
      </c>
      <c r="N55" s="122" t="str">
        <f>LOWER(_xlfn.XLOOKUP(H55,ResearchInput[Institution Name],ResearchInput[Email.ALT],"",0,1))</f>
        <v>michael.west@ttuhsc.edu</v>
      </c>
      <c r="O55" s="43"/>
      <c r="P55" s="43"/>
      <c r="Q55" s="43"/>
      <c r="R55" s="43"/>
      <c r="S55" s="43"/>
    </row>
    <row r="56" spans="1:19" s="44" customFormat="1" ht="30" customHeight="1" x14ac:dyDescent="0.25">
      <c r="A56" s="43"/>
      <c r="B56" s="43"/>
      <c r="C56" s="43"/>
      <c r="D56" s="43"/>
      <c r="E56" s="43"/>
      <c r="F56" s="43"/>
      <c r="G56" s="43"/>
      <c r="H56" s="177" t="s">
        <v>205</v>
      </c>
      <c r="I56" s="177" t="str">
        <f>PROPER(_xlfn.XLOOKUP(H56,ResearchInput[Institution Name],ResearchInput[First],"",0,1)&amp;" "&amp;_xlfn.XLOOKUP(H56,ResearchInput[Institution Name],ResearchInput[Last],"",0,1))</f>
        <v xml:space="preserve">Cynthia Blessing Washington </v>
      </c>
      <c r="J56" s="178">
        <f>_xlfn.XLOOKUP(H56,ResearchInput[Institution Name],ResearchInput[Phone],"",0,1)</f>
        <v>9152155381</v>
      </c>
      <c r="K56" s="177" t="str">
        <f>LOWER(_xlfn.XLOOKUP(H56,ResearchInput[Institution Name],ResearchInput[Email],"",0,1))</f>
        <v>cblessin@ttuhsc.edu</v>
      </c>
      <c r="L56" s="177" t="str">
        <f>PROPER(_xlfn.XLOOKUP(H56,ResearchInput[Institution Name],ResearchInput[First.ALT],"",0,1)&amp;" "&amp;_xlfn.XLOOKUP(H56,ResearchInput[Institution Name],ResearchInput[Last.ALT],"",0,1))</f>
        <v>Karina Rodriguez</v>
      </c>
      <c r="M56" s="178">
        <f>_xlfn.XLOOKUP(H56,ResearchInput[Institution Name],ResearchInput[Phone.ALT],"",0,1)</f>
        <v>9152155045</v>
      </c>
      <c r="N56" s="177" t="str">
        <f>LOWER(_xlfn.XLOOKUP(H56,ResearchInput[Institution Name],ResearchInput[Email.ALT],"",0,1))</f>
        <v>karina1.rodriguez@ttuhsc.edu</v>
      </c>
      <c r="O56" s="43"/>
      <c r="P56" s="43"/>
      <c r="Q56" s="43"/>
      <c r="R56" s="43"/>
      <c r="S56" s="43"/>
    </row>
    <row r="57" spans="1:19" s="44" customFormat="1" ht="30" customHeight="1" x14ac:dyDescent="0.25">
      <c r="A57" s="43"/>
      <c r="B57" s="43"/>
      <c r="C57" s="43"/>
      <c r="D57" s="43"/>
      <c r="E57" s="43"/>
      <c r="F57" s="43"/>
      <c r="G57" s="43"/>
      <c r="H57" s="122" t="s">
        <v>767</v>
      </c>
      <c r="I57" s="122" t="str">
        <f>PROPER(_xlfn.XLOOKUP(H57,ResearchInput[Institution Name],ResearchInput[First],"",0,1)&amp;" "&amp;_xlfn.XLOOKUP(H57,ResearchInput[Institution Name],ResearchInput[Last],"",0,1))</f>
        <v>Mallory Barnes</v>
      </c>
      <c r="J57" s="179">
        <f>_xlfn.XLOOKUP(H57,ResearchInput[Institution Name],ResearchInput[Phone],"",0,1)</f>
        <v>8068346101</v>
      </c>
      <c r="K57" s="122" t="str">
        <f>LOWER(_xlfn.XLOOKUP(H57,ResearchInput[Institution Name],ResearchInput[Email],"",0,1))</f>
        <v>mallory.barnes@ttu.edu</v>
      </c>
      <c r="L57" s="122" t="str">
        <f>PROPER(_xlfn.XLOOKUP(H57,ResearchInput[Institution Name],ResearchInput[First.ALT],"",0,1)&amp;" "&amp;_xlfn.XLOOKUP(H57,ResearchInput[Institution Name],ResearchInput[Last.ALT],"",0,1))</f>
        <v>Carmichael Sarah</v>
      </c>
      <c r="M57" s="179">
        <f>_xlfn.XLOOKUP(H57,ResearchInput[Institution Name],ResearchInput[Phone.ALT],"",0,1)</f>
        <v>8068341838</v>
      </c>
      <c r="N57" s="122" t="str">
        <f>LOWER(_xlfn.XLOOKUP(H57,ResearchInput[Institution Name],ResearchInput[Email.ALT],"",0,1))</f>
        <v>sarah.carmichael@ttu.edu</v>
      </c>
      <c r="O57" s="43"/>
      <c r="P57" s="43"/>
      <c r="Q57" s="43"/>
      <c r="R57" s="43"/>
      <c r="S57" s="43"/>
    </row>
    <row r="58" spans="1:19" s="44" customFormat="1" ht="30" customHeight="1" x14ac:dyDescent="0.25">
      <c r="A58" s="43"/>
      <c r="B58" s="43"/>
      <c r="C58" s="43"/>
      <c r="D58" s="43"/>
      <c r="E58" s="43"/>
      <c r="F58" s="43"/>
      <c r="G58" s="43"/>
      <c r="H58" s="177" t="s">
        <v>238</v>
      </c>
      <c r="I58" s="177" t="str">
        <f>PROPER(_xlfn.XLOOKUP(H58,ResearchInput[Institution Name],ResearchInput[First],"",0,1)&amp;" "&amp;_xlfn.XLOOKUP(H58,ResearchInput[Institution Name],ResearchInput[Last],"",0,1))</f>
        <v>Paul Smith</v>
      </c>
      <c r="J58" s="178">
        <f>_xlfn.XLOOKUP(H58,ResearchInput[Institution Name],ResearchInput[Phone],"",0,1)</f>
        <v>9408983397</v>
      </c>
      <c r="K58" s="177" t="str">
        <f>LOWER(_xlfn.XLOOKUP(H58,ResearchInput[Institution Name],ResearchInput[Email],"",0,1))</f>
        <v>psmith19@twu.edu</v>
      </c>
      <c r="L58" s="177" t="str">
        <f>PROPER(_xlfn.XLOOKUP(H58,ResearchInput[Institution Name],ResearchInput[First.ALT],"",0,1)&amp;" "&amp;_xlfn.XLOOKUP(H58,ResearchInput[Institution Name],ResearchInput[Last.ALT],"",0,1))</f>
        <v>Barbara Newton</v>
      </c>
      <c r="M58" s="178">
        <f>_xlfn.XLOOKUP(H58,ResearchInput[Institution Name],ResearchInput[Phone.ALT],"",0,1)</f>
        <v>9408983543</v>
      </c>
      <c r="N58" s="177" t="str">
        <f>LOWER(_xlfn.XLOOKUP(H58,ResearchInput[Institution Name],ResearchInput[Email.ALT],"",0,1))</f>
        <v>bnewton@twu.edu</v>
      </c>
      <c r="O58" s="43"/>
      <c r="P58" s="43"/>
      <c r="Q58" s="43"/>
      <c r="R58" s="43"/>
      <c r="S58" s="43"/>
    </row>
    <row r="59" spans="1:19" s="44" customFormat="1" ht="30" customHeight="1" x14ac:dyDescent="0.25">
      <c r="A59" s="43"/>
      <c r="B59" s="43"/>
      <c r="C59" s="43"/>
      <c r="D59" s="43"/>
      <c r="E59" s="43"/>
      <c r="F59" s="43"/>
      <c r="G59" s="43"/>
      <c r="H59" s="122" t="s">
        <v>197</v>
      </c>
      <c r="I59" s="122" t="str">
        <f>PROPER(_xlfn.XLOOKUP(H59,ResearchInput[Institution Name],ResearchInput[First],"",0,1)&amp;" "&amp;_xlfn.XLOOKUP(H59,ResearchInput[Institution Name],ResearchInput[Last],"",0,1))</f>
        <v>Debra Johnson</v>
      </c>
      <c r="J59" s="179">
        <f>_xlfn.XLOOKUP(H59,ResearchInput[Institution Name],ResearchInput[Phone],"",0,1)</f>
        <v>8172723330</v>
      </c>
      <c r="K59" s="122" t="str">
        <f>LOWER(_xlfn.XLOOKUP(H59,ResearchInput[Institution Name],ResearchInput[Email],"",0,1))</f>
        <v>debra.johnson@uta.edu</v>
      </c>
      <c r="L59" s="122" t="str">
        <f>PROPER(_xlfn.XLOOKUP(H59,ResearchInput[Institution Name],ResearchInput[First.ALT],"",0,1)&amp;" "&amp;_xlfn.XLOOKUP(H59,ResearchInput[Institution Name],ResearchInput[Last.ALT],"",0,1))</f>
        <v>Marie Adams</v>
      </c>
      <c r="M59" s="179">
        <f>_xlfn.XLOOKUP(H59,ResearchInput[Institution Name],ResearchInput[Phone.ALT],"",0,1)</f>
        <v>8172723449</v>
      </c>
      <c r="N59" s="122" t="str">
        <f>LOWER(_xlfn.XLOOKUP(H59,ResearchInput[Institution Name],ResearchInput[Email.ALT],"",0,1))</f>
        <v>marie.adams@uta.edu</v>
      </c>
      <c r="O59" s="43"/>
      <c r="P59" s="43"/>
      <c r="Q59" s="43"/>
      <c r="R59" s="43"/>
      <c r="S59" s="43"/>
    </row>
    <row r="60" spans="1:19" s="44" customFormat="1" ht="30" customHeight="1" x14ac:dyDescent="0.25">
      <c r="A60" s="43"/>
      <c r="B60" s="43"/>
      <c r="C60" s="43"/>
      <c r="D60" s="43"/>
      <c r="E60" s="43"/>
      <c r="F60" s="43"/>
      <c r="G60" s="43"/>
      <c r="H60" s="177" t="s">
        <v>478</v>
      </c>
      <c r="I60" s="177" t="str">
        <f>PROPER(_xlfn.XLOOKUP(H60,ResearchInput[Institution Name],ResearchInput[First],"",0,1)&amp;" "&amp;_xlfn.XLOOKUP(H60,ResearchInput[Institution Name],ResearchInput[Last],"",0,1))</f>
        <v>Jared Ensign</v>
      </c>
      <c r="J60" s="178">
        <f>_xlfn.XLOOKUP(H60,ResearchInput[Institution Name],ResearchInput[Phone],"",0,1)</f>
        <v>5124716527</v>
      </c>
      <c r="K60" s="177" t="str">
        <f>LOWER(_xlfn.XLOOKUP(H60,ResearchInput[Institution Name],ResearchInput[Email],"",0,1))</f>
        <v>jared.ensign@austin.utexas.edu</v>
      </c>
      <c r="L60" s="177" t="str">
        <f>PROPER(_xlfn.XLOOKUP(H60,ResearchInput[Institution Name],ResearchInput[First.ALT],"",0,1)&amp;" "&amp;_xlfn.XLOOKUP(H60,ResearchInput[Institution Name],ResearchInput[Last.ALT],"",0,1))</f>
        <v>Michelle Lee</v>
      </c>
      <c r="M60" s="178">
        <f>_xlfn.XLOOKUP(H60,ResearchInput[Institution Name],ResearchInput[Phone.ALT],"",0,1)</f>
        <v>5122323566</v>
      </c>
      <c r="N60" s="177" t="str">
        <f>LOWER(_xlfn.XLOOKUP(H60,ResearchInput[Institution Name],ResearchInput[Email.ALT],"",0,1))</f>
        <v>michelle.lee2@austin.utexas.edu</v>
      </c>
      <c r="O60" s="43"/>
      <c r="P60" s="43"/>
      <c r="Q60" s="43"/>
      <c r="R60" s="43"/>
      <c r="S60" s="43"/>
    </row>
    <row r="61" spans="1:19" s="44" customFormat="1" ht="30" customHeight="1" x14ac:dyDescent="0.25">
      <c r="A61" s="43"/>
      <c r="B61" s="43"/>
      <c r="C61" s="43"/>
      <c r="D61" s="43"/>
      <c r="E61" s="43"/>
      <c r="F61" s="43"/>
      <c r="G61" s="43"/>
      <c r="H61" s="122" t="s">
        <v>220</v>
      </c>
      <c r="I61" s="122" t="str">
        <f>PROPER(_xlfn.XLOOKUP(H61,ResearchInput[Institution Name],ResearchInput[First],"",0,1)&amp;" "&amp;_xlfn.XLOOKUP(H61,ResearchInput[Institution Name],ResearchInput[Last],"",0,1))</f>
        <v>Cindy Milligan</v>
      </c>
      <c r="J61" s="179">
        <f>_xlfn.XLOOKUP(H61,ResearchInput[Institution Name],ResearchInput[Phone],"",0,1)</f>
        <v>9728832632</v>
      </c>
      <c r="K61" s="122" t="str">
        <f>LOWER(_xlfn.XLOOKUP(H61,ResearchInput[Institution Name],ResearchInput[Email],"",0,1))</f>
        <v>cxm133830@utdallas.edu</v>
      </c>
      <c r="L61" s="122" t="str">
        <f>PROPER(_xlfn.XLOOKUP(H61,ResearchInput[Institution Name],ResearchInput[First.ALT],"",0,1)&amp;" "&amp;_xlfn.XLOOKUP(H61,ResearchInput[Institution Name],ResearchInput[Last.ALT],"",0,1))</f>
        <v xml:space="preserve">Melody  Monjazeb </v>
      </c>
      <c r="M61" s="179" t="str">
        <f>_xlfn.XLOOKUP(H61,ResearchInput[Institution Name],ResearchInput[Phone.ALT],"",0,1)</f>
        <v>unavailable</v>
      </c>
      <c r="N61" s="122" t="str">
        <f>LOWER(_xlfn.XLOOKUP(H61,ResearchInput[Institution Name],ResearchInput[Email.ALT],"",0,1))</f>
        <v>melody.monjazeb@utdallas.edu</v>
      </c>
      <c r="O61" s="43"/>
      <c r="P61" s="43"/>
      <c r="Q61" s="43"/>
      <c r="R61" s="43"/>
      <c r="S61" s="43"/>
    </row>
    <row r="62" spans="1:19" s="44" customFormat="1" ht="30" customHeight="1" x14ac:dyDescent="0.25">
      <c r="A62" s="43"/>
      <c r="B62" s="43"/>
      <c r="C62" s="43"/>
      <c r="D62" s="43"/>
      <c r="E62" s="43"/>
      <c r="F62" s="43"/>
      <c r="G62" s="43"/>
      <c r="H62" s="177" t="s">
        <v>223</v>
      </c>
      <c r="I62" s="177" t="str">
        <f>PROPER(_xlfn.XLOOKUP(H62,ResearchInput[Institution Name],ResearchInput[First],"",0,1)&amp;" "&amp;_xlfn.XLOOKUP(H62,ResearchInput[Institution Name],ResearchInput[Last],"",0,1))</f>
        <v>Daniel Dominguez</v>
      </c>
      <c r="J62" s="178">
        <f>_xlfn.XLOOKUP(H62,ResearchInput[Institution Name],ResearchInput[Phone],"",0,1)</f>
        <v>9157475083</v>
      </c>
      <c r="K62" s="177" t="str">
        <f>LOWER(_xlfn.XLOOKUP(H62,ResearchInput[Institution Name],ResearchInput[Email],"",0,1))</f>
        <v>drdominguez@utep.edu</v>
      </c>
      <c r="L62" s="177" t="str">
        <f>PROPER(_xlfn.XLOOKUP(H62,ResearchInput[Institution Name],ResearchInput[First.ALT],"",0,1)&amp;" "&amp;_xlfn.XLOOKUP(H62,ResearchInput[Institution Name],ResearchInput[Last.ALT],"",0,1))</f>
        <v>Germán Hurtado</v>
      </c>
      <c r="M62" s="178">
        <f>_xlfn.XLOOKUP(H62,ResearchInput[Institution Name],ResearchInput[Phone.ALT],"",0,1)</f>
        <v>9157478034</v>
      </c>
      <c r="N62" s="177" t="str">
        <f>LOWER(_xlfn.XLOOKUP(H62,ResearchInput[Institution Name],ResearchInput[Email.ALT],"",0,1))</f>
        <v>hugerman@utep.edu</v>
      </c>
      <c r="O62" s="43"/>
      <c r="P62" s="43"/>
      <c r="Q62" s="43"/>
      <c r="R62" s="43"/>
      <c r="S62" s="43"/>
    </row>
    <row r="63" spans="1:19" s="44" customFormat="1" ht="30" customHeight="1" x14ac:dyDescent="0.25">
      <c r="A63" s="43"/>
      <c r="B63" s="43"/>
      <c r="C63" s="43"/>
      <c r="D63" s="43"/>
      <c r="E63" s="43"/>
      <c r="F63" s="43"/>
      <c r="G63" s="43"/>
      <c r="H63" s="122" t="s">
        <v>170</v>
      </c>
      <c r="I63" s="122" t="str">
        <f>PROPER(_xlfn.XLOOKUP(H63,ResearchInput[Institution Name],ResearchInput[First],"",0,1)&amp;" "&amp;_xlfn.XLOOKUP(H63,ResearchInput[Institution Name],ResearchInput[Last],"",0,1))</f>
        <v>Cynthia Schweers</v>
      </c>
      <c r="J63" s="179">
        <f>_xlfn.XLOOKUP(H63,ResearchInput[Institution Name],ResearchInput[Phone],"",0,1)</f>
        <v>2103554180</v>
      </c>
      <c r="K63" s="122" t="str">
        <f>LOWER(_xlfn.XLOOKUP(H63,ResearchInput[Institution Name],ResearchInput[Email],"",0,1))</f>
        <v>cynthia.schweers@utsa.edu</v>
      </c>
      <c r="L63" s="122" t="str">
        <f>PROPER(_xlfn.XLOOKUP(H63,ResearchInput[Institution Name],ResearchInput[First.ALT],"",0,1)&amp;" "&amp;_xlfn.XLOOKUP(H63,ResearchInput[Institution Name],ResearchInput[Last.ALT],"",0,1))</f>
        <v>Gregory Yturralde</v>
      </c>
      <c r="M63" s="179">
        <f>_xlfn.XLOOKUP(H63,ResearchInput[Institution Name],ResearchInput[Phone.ALT],"",0,1)</f>
        <v>2104584345</v>
      </c>
      <c r="N63" s="122" t="str">
        <f>LOWER(_xlfn.XLOOKUP(H63,ResearchInput[Institution Name],ResearchInput[Email.ALT],"",0,1))</f>
        <v>gregory.yturralde@utsa.edu</v>
      </c>
      <c r="O63" s="43"/>
      <c r="P63" s="43"/>
      <c r="Q63" s="43"/>
      <c r="R63" s="43"/>
      <c r="S63" s="43"/>
    </row>
    <row r="64" spans="1:19" s="44" customFormat="1" ht="30" customHeight="1" x14ac:dyDescent="0.25">
      <c r="A64" s="43"/>
      <c r="B64" s="43"/>
      <c r="C64" s="43"/>
      <c r="D64" s="43"/>
      <c r="E64" s="43"/>
      <c r="F64" s="43"/>
      <c r="G64" s="43"/>
      <c r="H64" s="177" t="s">
        <v>171</v>
      </c>
      <c r="I64" s="177" t="str">
        <f>PROPER(_xlfn.XLOOKUP(H64,ResearchInput[Institution Name],ResearchInput[First],"",0,1)&amp;" "&amp;_xlfn.XLOOKUP(H64,ResearchInput[Institution Name],ResearchInput[Last],"",0,1))</f>
        <v>Brenda Golemon</v>
      </c>
      <c r="J64" s="178" t="str">
        <f>_xlfn.XLOOKUP(H64,ResearchInput[Institution Name],ResearchInput[Phone],"",0,1)</f>
        <v>unavailable</v>
      </c>
      <c r="K64" s="177" t="str">
        <f>LOWER(_xlfn.XLOOKUP(H64,ResearchInput[Institution Name],ResearchInput[Email],"",0,1))</f>
        <v>bgolemon@uttyler.edu</v>
      </c>
      <c r="L64" s="177" t="str">
        <f>PROPER(_xlfn.XLOOKUP(H64,ResearchInput[Institution Name],ResearchInput[First.ALT],"",0,1)&amp;" "&amp;_xlfn.XLOOKUP(H64,ResearchInput[Institution Name],ResearchInput[Last.ALT],"",0,1))</f>
        <v>Charles Lemay</v>
      </c>
      <c r="M64" s="178" t="str">
        <f>_xlfn.XLOOKUP(H64,ResearchInput[Institution Name],ResearchInput[Phone.ALT],"",0,1)</f>
        <v>unavailable</v>
      </c>
      <c r="N64" s="177" t="str">
        <f>LOWER(_xlfn.XLOOKUP(H64,ResearchInput[Institution Name],ResearchInput[Email.ALT],"",0,1))</f>
        <v>clemay@uttyler.edu</v>
      </c>
      <c r="O64" s="43"/>
      <c r="P64" s="43"/>
      <c r="Q64" s="43"/>
      <c r="R64" s="43"/>
      <c r="S64" s="43"/>
    </row>
    <row r="65" spans="1:19" s="44" customFormat="1" ht="30" customHeight="1" x14ac:dyDescent="0.25">
      <c r="A65" s="43"/>
      <c r="B65" s="43"/>
      <c r="C65" s="43"/>
      <c r="D65" s="43"/>
      <c r="E65" s="43"/>
      <c r="F65" s="43"/>
      <c r="G65" s="43"/>
      <c r="H65" s="122" t="s">
        <v>199</v>
      </c>
      <c r="I65" s="122" t="str">
        <f>PROPER(_xlfn.XLOOKUP(H65,ResearchInput[Institution Name],ResearchInput[First],"",0,1)&amp;" "&amp;_xlfn.XLOOKUP(H65,ResearchInput[Institution Name],ResearchInput[Last],"",0,1))</f>
        <v>Scott Barnett</v>
      </c>
      <c r="J65" s="179">
        <f>_xlfn.XLOOKUP(H65,ResearchInput[Institution Name],ResearchInput[Phone],"",0,1)</f>
        <v>7005004915</v>
      </c>
      <c r="K65" s="122" t="str">
        <f>LOWER(_xlfn.XLOOKUP(H65,ResearchInput[Institution Name],ResearchInput[Email],"",0,1))</f>
        <v>scott.barnett@uth.tmc.edu</v>
      </c>
      <c r="L65" s="122" t="str">
        <f>PROPER(_xlfn.XLOOKUP(H65,ResearchInput[Institution Name],ResearchInput[First.ALT],"",0,1)&amp;" "&amp;_xlfn.XLOOKUP(H65,ResearchInput[Institution Name],ResearchInput[Last.ALT],"",0,1))</f>
        <v>Kristin Cao</v>
      </c>
      <c r="M65" s="179">
        <f>_xlfn.XLOOKUP(H65,ResearchInput[Institution Name],ResearchInput[Phone.ALT],"",0,1)</f>
        <v>7135004929</v>
      </c>
      <c r="N65" s="122" t="str">
        <f>LOWER(_xlfn.XLOOKUP(H65,ResearchInput[Institution Name],ResearchInput[Email.ALT],"",0,1))</f>
        <v>kristin.cao@uth.tmc.edu</v>
      </c>
      <c r="O65" s="43"/>
      <c r="P65" s="43"/>
      <c r="Q65" s="43"/>
      <c r="R65" s="43"/>
      <c r="S65" s="43"/>
    </row>
    <row r="66" spans="1:19" s="44" customFormat="1" ht="30" customHeight="1" x14ac:dyDescent="0.25">
      <c r="A66" s="43"/>
      <c r="B66" s="43"/>
      <c r="C66" s="43"/>
      <c r="D66" s="43"/>
      <c r="E66" s="43"/>
      <c r="F66" s="43"/>
      <c r="G66" s="43"/>
      <c r="H66" s="177" t="s">
        <v>200</v>
      </c>
      <c r="I66" s="177" t="str">
        <f>PROPER(_xlfn.XLOOKUP(H66,ResearchInput[Institution Name],ResearchInput[First],"",0,1)&amp;" "&amp;_xlfn.XLOOKUP(H66,ResearchInput[Institution Name],ResearchInput[Last],"",0,1))</f>
        <v>Yinwen Li</v>
      </c>
      <c r="J66" s="178">
        <f>_xlfn.XLOOKUP(H66,ResearchInput[Institution Name],ResearchInput[Phone],"",0,1)</f>
        <v>2105626268</v>
      </c>
      <c r="K66" s="177" t="str">
        <f>LOWER(_xlfn.XLOOKUP(H66,ResearchInput[Institution Name],ResearchInput[Email],"",0,1))</f>
        <v>liy2@uthscsa.edu</v>
      </c>
      <c r="L66" s="177" t="str">
        <f>PROPER(_xlfn.XLOOKUP(H66,ResearchInput[Institution Name],ResearchInput[First.ALT],"",0,1)&amp;" "&amp;_xlfn.XLOOKUP(H66,ResearchInput[Institution Name],ResearchInput[Last.ALT],"",0,1))</f>
        <v xml:space="preserve">Unavailable </v>
      </c>
      <c r="M66" s="178" t="str">
        <f>_xlfn.XLOOKUP(H66,ResearchInput[Institution Name],ResearchInput[Phone.ALT],"",0,1)</f>
        <v>unavailable</v>
      </c>
      <c r="N66" s="177" t="str">
        <f>LOWER(_xlfn.XLOOKUP(H66,ResearchInput[Institution Name],ResearchInput[Email.ALT],"",0,1))</f>
        <v>unavailable</v>
      </c>
      <c r="O66" s="43"/>
      <c r="P66" s="43"/>
      <c r="Q66" s="43"/>
      <c r="R66" s="43"/>
      <c r="S66" s="43"/>
    </row>
    <row r="67" spans="1:19" s="44" customFormat="1" ht="30" customHeight="1" x14ac:dyDescent="0.25">
      <c r="A67" s="43"/>
      <c r="B67" s="43"/>
      <c r="C67" s="43"/>
      <c r="D67" s="43"/>
      <c r="E67" s="43"/>
      <c r="F67" s="43"/>
      <c r="G67" s="43"/>
      <c r="H67" s="122" t="s">
        <v>202</v>
      </c>
      <c r="I67" s="122" t="str">
        <f>PROPER(_xlfn.XLOOKUP(H67,ResearchInput[Institution Name],ResearchInput[First],"",0,1)&amp;" "&amp;_xlfn.XLOOKUP(H67,ResearchInput[Institution Name],ResearchInput[Last],"",0,1))</f>
        <v>Brenda Golemon</v>
      </c>
      <c r="J67" s="179" t="str">
        <f>_xlfn.XLOOKUP(H67,ResearchInput[Institution Name],ResearchInput[Phone],"",0,1)</f>
        <v>unavailable</v>
      </c>
      <c r="K67" s="122" t="str">
        <f>LOWER(_xlfn.XLOOKUP(H67,ResearchInput[Institution Name],ResearchInput[Email],"",0,1))</f>
        <v>bgolemon@uttyler.edu</v>
      </c>
      <c r="L67" s="122" t="str">
        <f>PROPER(_xlfn.XLOOKUP(H67,ResearchInput[Institution Name],ResearchInput[First.ALT],"",0,1)&amp;" "&amp;_xlfn.XLOOKUP(H67,ResearchInput[Institution Name],ResearchInput[Last.ALT],"",0,1))</f>
        <v>Aaron Lemay</v>
      </c>
      <c r="M67" s="179" t="str">
        <f>_xlfn.XLOOKUP(H67,ResearchInput[Institution Name],ResearchInput[Phone.ALT],"",0,1)</f>
        <v>unavailable</v>
      </c>
      <c r="N67" s="122" t="str">
        <f>LOWER(_xlfn.XLOOKUP(H67,ResearchInput[Institution Name],ResearchInput[Email.ALT],"",0,1))</f>
        <v>clemay@utttyler.edu</v>
      </c>
      <c r="O67" s="43"/>
      <c r="P67" s="43"/>
      <c r="Q67" s="43"/>
      <c r="R67" s="43"/>
      <c r="S67" s="43"/>
    </row>
    <row r="68" spans="1:19" s="44" customFormat="1" ht="30" customHeight="1" x14ac:dyDescent="0.25">
      <c r="A68" s="43"/>
      <c r="B68" s="43"/>
      <c r="C68" s="43"/>
      <c r="D68" s="43"/>
      <c r="E68" s="43"/>
      <c r="F68" s="43"/>
      <c r="G68" s="43"/>
      <c r="H68" s="177" t="s">
        <v>201</v>
      </c>
      <c r="I68" s="177" t="str">
        <f>PROPER(_xlfn.XLOOKUP(H68,ResearchInput[Institution Name],ResearchInput[First],"",0,1)&amp;" "&amp;_xlfn.XLOOKUP(H68,ResearchInput[Institution Name],ResearchInput[Last],"",0,1))</f>
        <v xml:space="preserve">Monica Davila </v>
      </c>
      <c r="J68" s="178">
        <f>_xlfn.XLOOKUP(H68,ResearchInput[Institution Name],ResearchInput[Phone],"",0,1)</f>
        <v>8327501001</v>
      </c>
      <c r="K68" s="177" t="str">
        <f>LOWER(_xlfn.XLOOKUP(H68,ResearchInput[Institution Name],ResearchInput[Email],"",0,1))</f>
        <v>mdavila7@mdanderson.org</v>
      </c>
      <c r="L68" s="177" t="str">
        <f>PROPER(_xlfn.XLOOKUP(H68,ResearchInput[Institution Name],ResearchInput[First.ALT],"",0,1)&amp;" "&amp;_xlfn.XLOOKUP(H68,ResearchInput[Institution Name],ResearchInput[Last.ALT],"",0,1))</f>
        <v>Cristina Gonzales</v>
      </c>
      <c r="M68" s="178">
        <f>_xlfn.XLOOKUP(H68,ResearchInput[Institution Name],ResearchInput[Phone.ALT],"",0,1)</f>
        <v>7137453596</v>
      </c>
      <c r="N68" s="177" t="str">
        <f>LOWER(_xlfn.XLOOKUP(H68,ResearchInput[Institution Name],ResearchInput[Email.ALT],"",0,1))</f>
        <v>crisgonzales@mdanderson.org</v>
      </c>
      <c r="O68" s="43"/>
      <c r="P68" s="43"/>
      <c r="Q68" s="43"/>
      <c r="R68" s="43"/>
      <c r="S68" s="43"/>
    </row>
    <row r="69" spans="1:19" s="44" customFormat="1" ht="30" customHeight="1" x14ac:dyDescent="0.25">
      <c r="A69" s="43"/>
      <c r="B69" s="43"/>
      <c r="C69" s="43"/>
      <c r="D69" s="43"/>
      <c r="E69" s="43"/>
      <c r="F69" s="43"/>
      <c r="G69" s="43"/>
      <c r="H69" s="122" t="s">
        <v>198</v>
      </c>
      <c r="I69" s="122" t="str">
        <f>PROPER(_xlfn.XLOOKUP(H69,ResearchInput[Institution Name],ResearchInput[First],"",0,1)&amp;" "&amp;_xlfn.XLOOKUP(H69,ResearchInput[Institution Name],ResearchInput[Last],"",0,1))</f>
        <v>Joshua Tucker</v>
      </c>
      <c r="J69" s="179">
        <f>_xlfn.XLOOKUP(H69,ResearchInput[Institution Name],ResearchInput[Phone],"",0,1)</f>
        <v>4097727525</v>
      </c>
      <c r="K69" s="122" t="str">
        <f>LOWER(_xlfn.XLOOKUP(H69,ResearchInput[Institution Name],ResearchInput[Email],"",0,1))</f>
        <v>joatucke@utmb.edu</v>
      </c>
      <c r="L69" s="122" t="str">
        <f>PROPER(_xlfn.XLOOKUP(H69,ResearchInput[Institution Name],ResearchInput[First.ALT],"",0,1)&amp;" "&amp;_xlfn.XLOOKUP(H69,ResearchInput[Institution Name],ResearchInput[Last.ALT],"",0,1))</f>
        <v>Felicia Trigo</v>
      </c>
      <c r="M69" s="179">
        <f>_xlfn.XLOOKUP(H69,ResearchInput[Institution Name],ResearchInput[Phone.ALT],"",0,1)</f>
        <v>4097476305</v>
      </c>
      <c r="N69" s="122" t="str">
        <f>LOWER(_xlfn.XLOOKUP(H69,ResearchInput[Institution Name],ResearchInput[Email.ALT],"",0,1))</f>
        <v>fdtrigo@utmb.edu</v>
      </c>
      <c r="O69" s="43"/>
      <c r="P69" s="43"/>
      <c r="Q69" s="43"/>
      <c r="R69" s="43"/>
      <c r="S69" s="43"/>
    </row>
    <row r="70" spans="1:19" s="44" customFormat="1" ht="30" customHeight="1" x14ac:dyDescent="0.25">
      <c r="A70" s="43"/>
      <c r="B70" s="43"/>
      <c r="C70" s="43"/>
      <c r="D70" s="43"/>
      <c r="E70" s="43"/>
      <c r="F70" s="43"/>
      <c r="G70" s="43"/>
      <c r="H70" s="177" t="s">
        <v>169</v>
      </c>
      <c r="I70" s="177" t="str">
        <f>PROPER(_xlfn.XLOOKUP(H70,ResearchInput[Institution Name],ResearchInput[First],"",0,1)&amp;" "&amp;_xlfn.XLOOKUP(H70,ResearchInput[Institution Name],ResearchInput[Last],"",0,1))</f>
        <v>Carrie Mcmahan</v>
      </c>
      <c r="J70" s="178">
        <f>_xlfn.XLOOKUP(H70,ResearchInput[Institution Name],ResearchInput[Phone],"",0,1)</f>
        <v>9033602574</v>
      </c>
      <c r="K70" s="177" t="str">
        <f>LOWER(_xlfn.XLOOKUP(H70,ResearchInput[Institution Name],ResearchInput[Email],"",0,1))</f>
        <v>mcmahan_c@utpb.edu</v>
      </c>
      <c r="L70" s="177" t="str">
        <f>PROPER(_xlfn.XLOOKUP(H70,ResearchInput[Institution Name],ResearchInput[First.ALT],"",0,1)&amp;" "&amp;_xlfn.XLOOKUP(H70,ResearchInput[Institution Name],ResearchInput[Last.ALT],"",0,1))</f>
        <v>Natalie Harms</v>
      </c>
      <c r="M70" s="178">
        <f>_xlfn.XLOOKUP(H70,ResearchInput[Institution Name],ResearchInput[Phone.ALT],"",0,1)</f>
        <v>9033602574</v>
      </c>
      <c r="N70" s="177" t="str">
        <f>LOWER(_xlfn.XLOOKUP(H70,ResearchInput[Institution Name],ResearchInput[Email.ALT],"",0,1))</f>
        <v>harms_n@utpb.edu</v>
      </c>
      <c r="O70" s="43"/>
      <c r="P70" s="43"/>
      <c r="Q70" s="43"/>
      <c r="R70" s="43"/>
      <c r="S70" s="43"/>
    </row>
    <row r="71" spans="1:19" s="44" customFormat="1" ht="30" customHeight="1" x14ac:dyDescent="0.25">
      <c r="A71" s="43"/>
      <c r="B71" s="43"/>
      <c r="C71" s="43"/>
      <c r="D71" s="43"/>
      <c r="E71" s="43"/>
      <c r="F71" s="43"/>
      <c r="G71" s="43"/>
      <c r="H71" s="122" t="s">
        <v>763</v>
      </c>
      <c r="I71" s="122" t="str">
        <f>PROPER(_xlfn.XLOOKUP(H71,ResearchInput[Institution Name],ResearchInput[First],"",0,1)&amp;" "&amp;_xlfn.XLOOKUP(H71,ResearchInput[Institution Name],ResearchInput[Last],"",0,1))</f>
        <v>Steven Lerma</v>
      </c>
      <c r="J71" s="179">
        <f>_xlfn.XLOOKUP(H71,ResearchInput[Institution Name],ResearchInput[Phone],"",0,1)</f>
        <v>9568828262</v>
      </c>
      <c r="K71" s="122" t="str">
        <f>LOWER(_xlfn.XLOOKUP(H71,ResearchInput[Institution Name],ResearchInput[Email],"",0,1))</f>
        <v>steven.lerma@utrgv.edu</v>
      </c>
      <c r="L71" s="122" t="str">
        <f>PROPER(_xlfn.XLOOKUP(H71,ResearchInput[Institution Name],ResearchInput[First.ALT],"",0,1)&amp;" "&amp;_xlfn.XLOOKUP(H71,ResearchInput[Institution Name],ResearchInput[Last.ALT],"",0,1))</f>
        <v>Lilia St. Clair</v>
      </c>
      <c r="M71" s="179">
        <f>_xlfn.XLOOKUP(H71,ResearchInput[Institution Name],ResearchInput[Phone.ALT],"",0,1)</f>
        <v>9566657906</v>
      </c>
      <c r="N71" s="122" t="str">
        <f>LOWER(_xlfn.XLOOKUP(H71,ResearchInput[Institution Name],ResearchInput[Email.ALT],"",0,1))</f>
        <v>lilia.stclair@utrgv.edu</v>
      </c>
      <c r="O71" s="43"/>
      <c r="P71" s="43"/>
      <c r="Q71" s="43"/>
      <c r="R71" s="43"/>
      <c r="S71" s="43"/>
    </row>
    <row r="72" spans="1:19" s="44" customFormat="1" ht="30" customHeight="1" x14ac:dyDescent="0.25">
      <c r="A72" s="43"/>
      <c r="B72" s="43"/>
      <c r="C72" s="43"/>
      <c r="D72" s="43"/>
      <c r="E72" s="43"/>
      <c r="F72" s="43"/>
      <c r="G72" s="43"/>
      <c r="H72" s="177" t="s">
        <v>196</v>
      </c>
      <c r="I72" s="177" t="str">
        <f>PROPER(_xlfn.XLOOKUP(H72,ResearchInput[Institution Name],ResearchInput[First],"",0,1)&amp;" "&amp;_xlfn.XLOOKUP(H72,ResearchInput[Institution Name],ResearchInput[Last],"",0,1))</f>
        <v>Sharon Leary</v>
      </c>
      <c r="J72" s="178" t="str">
        <f>_xlfn.XLOOKUP(H72,ResearchInput[Institution Name],ResearchInput[Phone],"",0,1)</f>
        <v>unavailable</v>
      </c>
      <c r="K72" s="177" t="str">
        <f>LOWER(_xlfn.XLOOKUP(H72,ResearchInput[Institution Name],ResearchInput[Email],"",0,1))</f>
        <v>sharon.leary@utsouthwestern.edu</v>
      </c>
      <c r="L72" s="177" t="str">
        <f>PROPER(_xlfn.XLOOKUP(H72,ResearchInput[Institution Name],ResearchInput[First.ALT],"",0,1)&amp;" "&amp;_xlfn.XLOOKUP(H72,ResearchInput[Institution Name],ResearchInput[Last.ALT],"",0,1))</f>
        <v>John Schmidt</v>
      </c>
      <c r="M72" s="178" t="str">
        <f>_xlfn.XLOOKUP(H72,ResearchInput[Institution Name],ResearchInput[Phone.ALT],"",0,1)</f>
        <v>unavailable</v>
      </c>
      <c r="N72" s="177" t="str">
        <f>LOWER(_xlfn.XLOOKUP(H72,ResearchInput[Institution Name],ResearchInput[Email.ALT],"",0,1))</f>
        <v>john.schmidt@utsouthwestern.edu</v>
      </c>
      <c r="O72" s="43"/>
      <c r="P72" s="43"/>
      <c r="Q72" s="43"/>
      <c r="R72" s="43"/>
      <c r="S72" s="43"/>
    </row>
    <row r="73" spans="1:19" s="44" customFormat="1" ht="30" customHeight="1" x14ac:dyDescent="0.25">
      <c r="A73" s="43"/>
      <c r="B73" s="43"/>
      <c r="C73" s="43"/>
      <c r="D73" s="43"/>
      <c r="E73" s="43"/>
      <c r="F73" s="43"/>
      <c r="G73" s="43"/>
      <c r="H73" s="122" t="s">
        <v>765</v>
      </c>
      <c r="I73" s="122" t="str">
        <f>PROPER(_xlfn.XLOOKUP(H73,ResearchInput[Institution Name],ResearchInput[First],"",0,1)&amp;" "&amp;_xlfn.XLOOKUP(H73,ResearchInput[Institution Name],ResearchInput[Last],"",0,1))</f>
        <v>Paula Castanon</v>
      </c>
      <c r="J73" s="179">
        <f>_xlfn.XLOOKUP(H73,ResearchInput[Institution Name],ResearchInput[Phone],"",0,1)</f>
        <v>5124994458</v>
      </c>
      <c r="K73" s="122" t="str">
        <f>LOWER(_xlfn.XLOOKUP(H73,ResearchInput[Institution Name],ResearchInput[Email],"",0,1))</f>
        <v>pcastanon@utsystem.edu</v>
      </c>
      <c r="L73" s="122" t="str">
        <f>PROPER(_xlfn.XLOOKUP(H73,ResearchInput[Institution Name],ResearchInput[First.ALT],"",0,1)&amp;" "&amp;_xlfn.XLOOKUP(H73,ResearchInput[Institution Name],ResearchInput[Last.ALT],"",0,1))</f>
        <v>Rayomand Ghadiali</v>
      </c>
      <c r="M73" s="179">
        <f>_xlfn.XLOOKUP(H73,ResearchInput[Institution Name],ResearchInput[Phone.ALT],"",0,1)</f>
        <v>5124994213</v>
      </c>
      <c r="N73" s="122" t="str">
        <f>LOWER(_xlfn.XLOOKUP(H73,ResearchInput[Institution Name],ResearchInput[Email.ALT],"",0,1))</f>
        <v>rghadiali@utsystem.edu</v>
      </c>
      <c r="O73" s="43"/>
      <c r="P73" s="43"/>
      <c r="Q73" s="43"/>
      <c r="R73" s="43"/>
      <c r="S73" s="43"/>
    </row>
    <row r="74" spans="1:19" s="44" customFormat="1" ht="30" customHeight="1" x14ac:dyDescent="0.25">
      <c r="A74" s="43"/>
      <c r="B74" s="43"/>
      <c r="C74" s="43"/>
      <c r="D74" s="43"/>
      <c r="E74" s="43"/>
      <c r="F74" s="43"/>
      <c r="G74" s="43"/>
      <c r="H74" s="177" t="s">
        <v>649</v>
      </c>
      <c r="I74" s="177" t="str">
        <f>PROPER(_xlfn.XLOOKUP(H74,ResearchInput[Institution Name],ResearchInput[First],"",0,1)&amp;" "&amp;_xlfn.XLOOKUP(H74,ResearchInput[Institution Name],ResearchInput[Last],"",0,1))</f>
        <v>Sheila Brell</v>
      </c>
      <c r="J74" s="178">
        <f>_xlfn.XLOOKUP(H74,ResearchInput[Institution Name],ResearchInput[Phone],"",0,1)</f>
        <v>2104737359</v>
      </c>
      <c r="K74" s="177" t="str">
        <f>LOWER(_xlfn.XLOOKUP(H74,ResearchInput[Institution Name],ResearchInput[Email],"",0,1))</f>
        <v>sbrell@trinity.edu</v>
      </c>
      <c r="L74" s="177" t="str">
        <f>PROPER(_xlfn.XLOOKUP(H74,ResearchInput[Institution Name],ResearchInput[First.ALT],"",0,1)&amp;" "&amp;_xlfn.XLOOKUP(H74,ResearchInput[Institution Name],ResearchInput[Last.ALT],"",0,1))</f>
        <v xml:space="preserve">Unavailable </v>
      </c>
      <c r="M74" s="178" t="str">
        <f>_xlfn.XLOOKUP(H74,ResearchInput[Institution Name],ResearchInput[Phone.ALT],"",0,1)</f>
        <v>unavailable</v>
      </c>
      <c r="N74" s="177" t="str">
        <f>LOWER(_xlfn.XLOOKUP(H74,ResearchInput[Institution Name],ResearchInput[Email.ALT],"",0,1))</f>
        <v>unavailable</v>
      </c>
      <c r="O74" s="43"/>
      <c r="P74" s="43"/>
      <c r="Q74" s="43"/>
      <c r="R74" s="43"/>
      <c r="S74" s="43"/>
    </row>
    <row r="75" spans="1:19" s="44" customFormat="1" ht="30" customHeight="1" x14ac:dyDescent="0.25">
      <c r="A75" s="43"/>
      <c r="B75" s="43"/>
      <c r="C75" s="43"/>
      <c r="D75" s="43"/>
      <c r="E75" s="43"/>
      <c r="F75" s="43"/>
      <c r="G75" s="43"/>
      <c r="H75" s="122" t="s">
        <v>652</v>
      </c>
      <c r="I75" s="122" t="str">
        <f>PROPER(_xlfn.XLOOKUP(H75,ResearchInput[Institution Name],ResearchInput[First],"",0,1)&amp;" "&amp;_xlfn.XLOOKUP(H75,ResearchInput[Institution Name],ResearchInput[Last],"",0,1))</f>
        <v>Deborah Zimmerman</v>
      </c>
      <c r="J75" s="179">
        <f>_xlfn.XLOOKUP(H75,ResearchInput[Institution Name],ResearchInput[Phone],"",0,1)</f>
        <v>9727215177</v>
      </c>
      <c r="K75" s="122" t="str">
        <f>LOWER(_xlfn.XLOOKUP(H75,ResearchInput[Institution Name],ResearchInput[Email],"",0,1))</f>
        <v>dbzimmerman@udallas.edu</v>
      </c>
      <c r="L75" s="122" t="str">
        <f>PROPER(_xlfn.XLOOKUP(H75,ResearchInput[Institution Name],ResearchInput[First.ALT],"",0,1)&amp;" "&amp;_xlfn.XLOOKUP(H75,ResearchInput[Institution Name],ResearchInput[Last.ALT],"",0,1))</f>
        <v>Unavailable Horvath</v>
      </c>
      <c r="M75" s="179">
        <f>_xlfn.XLOOKUP(H75,ResearchInput[Institution Name],ResearchInput[Phone.ALT],"",0,1)</f>
        <v>2158961891</v>
      </c>
      <c r="N75" s="122" t="str">
        <f>LOWER(_xlfn.XLOOKUP(H75,ResearchInput[Institution Name],ResearchInput[Email.ALT],"",0,1))</f>
        <v>khorvath@udallas.edu</v>
      </c>
      <c r="O75" s="43"/>
      <c r="P75" s="43"/>
      <c r="Q75" s="43"/>
      <c r="R75" s="43"/>
      <c r="S75" s="43"/>
    </row>
    <row r="76" spans="1:19" s="44" customFormat="1" ht="30" customHeight="1" x14ac:dyDescent="0.25">
      <c r="A76" s="43"/>
      <c r="B76" s="43"/>
      <c r="C76" s="43"/>
      <c r="D76" s="43"/>
      <c r="E76" s="43"/>
      <c r="F76" s="43"/>
      <c r="G76" s="43"/>
      <c r="H76" s="177" t="s">
        <v>185</v>
      </c>
      <c r="I76" s="177" t="str">
        <f>PROPER(_xlfn.XLOOKUP(H76,ResearchInput[Institution Name],ResearchInput[First],"",0,1)&amp;" "&amp;_xlfn.XLOOKUP(H76,ResearchInput[Institution Name],ResearchInput[Last],"",0,1))</f>
        <v>Tanjina Rahman</v>
      </c>
      <c r="J76" s="178">
        <f>_xlfn.XLOOKUP(H76,ResearchInput[Institution Name],ResearchInput[Phone],"",0,1)</f>
        <v>2812832131</v>
      </c>
      <c r="K76" s="177" t="str">
        <f>LOWER(_xlfn.XLOOKUP(H76,ResearchInput[Institution Name],ResearchInput[Email],"",0,1))</f>
        <v>rahman@uhcl.edu</v>
      </c>
      <c r="L76" s="177" t="str">
        <f>PROPER(_xlfn.XLOOKUP(H76,ResearchInput[Institution Name],ResearchInput[First.ALT],"",0,1)&amp;" "&amp;_xlfn.XLOOKUP(H76,ResearchInput[Institution Name],ResearchInput[Last.ALT],"",0,1))</f>
        <v>Charlotte Abrams</v>
      </c>
      <c r="M76" s="178">
        <f>_xlfn.XLOOKUP(H76,ResearchInput[Institution Name],ResearchInput[Phone.ALT],"",0,1)</f>
        <v>2812832129</v>
      </c>
      <c r="N76" s="177" t="str">
        <f>LOWER(_xlfn.XLOOKUP(H76,ResearchInput[Institution Name],ResearchInput[Email.ALT],"",0,1))</f>
        <v>abrams@uhcl.edu</v>
      </c>
      <c r="O76" s="43"/>
      <c r="P76" s="43"/>
      <c r="Q76" s="43"/>
      <c r="R76" s="43"/>
      <c r="S76" s="43"/>
    </row>
    <row r="77" spans="1:19" s="44" customFormat="1" ht="30" customHeight="1" x14ac:dyDescent="0.25">
      <c r="A77" s="43"/>
      <c r="B77" s="43"/>
      <c r="C77" s="43"/>
      <c r="D77" s="43"/>
      <c r="E77" s="43"/>
      <c r="F77" s="43"/>
      <c r="G77" s="43"/>
      <c r="H77" s="122" t="s">
        <v>186</v>
      </c>
      <c r="I77" s="122" t="str">
        <f>PROPER(_xlfn.XLOOKUP(H77,ResearchInput[Institution Name],ResearchInput[First],"",0,1)&amp;" "&amp;_xlfn.XLOOKUP(H77,ResearchInput[Institution Name],ResearchInput[Last],"",0,1))</f>
        <v>Tiffany Luong</v>
      </c>
      <c r="J77" s="179">
        <f>_xlfn.XLOOKUP(H77,ResearchInput[Institution Name],ResearchInput[Phone],"",0,1)</f>
        <v>7132218617</v>
      </c>
      <c r="K77" s="122" t="str">
        <f>LOWER(_xlfn.XLOOKUP(H77,ResearchInput[Institution Name],ResearchInput[Email],"",0,1))</f>
        <v>nguyent@uhd.edu</v>
      </c>
      <c r="L77" s="122" t="str">
        <f>PROPER(_xlfn.XLOOKUP(H77,ResearchInput[Institution Name],ResearchInput[First.ALT],"",0,1)&amp;" "&amp;_xlfn.XLOOKUP(H77,ResearchInput[Institution Name],ResearchInput[Last.ALT],"",0,1))</f>
        <v>Theresa Meneley</v>
      </c>
      <c r="M77" s="179">
        <f>_xlfn.XLOOKUP(H77,ResearchInput[Institution Name],ResearchInput[Phone.ALT],"",0,1)</f>
        <v>7132218612</v>
      </c>
      <c r="N77" s="122" t="str">
        <f>LOWER(_xlfn.XLOOKUP(H77,ResearchInput[Institution Name],ResearchInput[Email.ALT],"",0,1))</f>
        <v>meneleyt@uhd.edu</v>
      </c>
      <c r="O77" s="43"/>
      <c r="P77" s="43"/>
      <c r="Q77" s="43"/>
      <c r="R77" s="43"/>
      <c r="S77" s="43"/>
    </row>
    <row r="78" spans="1:19" s="44" customFormat="1" ht="30" customHeight="1" x14ac:dyDescent="0.25">
      <c r="A78" s="43"/>
      <c r="B78" s="43"/>
      <c r="C78" s="43"/>
      <c r="D78" s="43"/>
      <c r="E78" s="43"/>
      <c r="F78" s="43"/>
      <c r="G78" s="43"/>
      <c r="H78" s="177" t="s">
        <v>187</v>
      </c>
      <c r="I78" s="177" t="str">
        <f>PROPER(_xlfn.XLOOKUP(H78,ResearchInput[Institution Name],ResearchInput[First],"",0,1)&amp;" "&amp;_xlfn.XLOOKUP(H78,ResearchInput[Institution Name],ResearchInput[Last],"",0,1))</f>
        <v>June Nelson</v>
      </c>
      <c r="J78" s="178">
        <f>_xlfn.XLOOKUP(H78,ResearchInput[Institution Name],ResearchInput[Phone],"",0,1)</f>
        <v>3615704873</v>
      </c>
      <c r="K78" s="177" t="str">
        <f>LOWER(_xlfn.XLOOKUP(H78,ResearchInput[Institution Name],ResearchInput[Email],"",0,1))</f>
        <v>nelsonj@tamuv.edu</v>
      </c>
      <c r="L78" s="177" t="str">
        <f>PROPER(_xlfn.XLOOKUP(H78,ResearchInput[Institution Name],ResearchInput[First.ALT],"",0,1)&amp;" "&amp;_xlfn.XLOOKUP(H78,ResearchInput[Institution Name],ResearchInput[Last.ALT],"",0,1))</f>
        <v>Mollie Holt</v>
      </c>
      <c r="M78" s="178">
        <f>_xlfn.XLOOKUP(H78,ResearchInput[Institution Name],ResearchInput[Phone.ALT],"",0,1)</f>
        <v>3615704815</v>
      </c>
      <c r="N78" s="177" t="str">
        <f>LOWER(_xlfn.XLOOKUP(H78,ResearchInput[Institution Name],ResearchInput[Email.ALT],"",0,1))</f>
        <v>holtm@tamuv.edu</v>
      </c>
      <c r="O78" s="43"/>
      <c r="P78" s="43"/>
      <c r="Q78" s="43"/>
      <c r="R78" s="43"/>
      <c r="S78" s="43"/>
    </row>
    <row r="79" spans="1:19" s="44" customFormat="1" ht="30" customHeight="1" x14ac:dyDescent="0.25">
      <c r="A79" s="43"/>
      <c r="B79" s="43"/>
      <c r="C79" s="43"/>
      <c r="D79" s="43"/>
      <c r="E79" s="43"/>
      <c r="F79" s="43"/>
      <c r="G79" s="43"/>
      <c r="H79" s="122" t="s">
        <v>347</v>
      </c>
      <c r="I79" s="122" t="str">
        <f>PROPER(_xlfn.XLOOKUP(H79,ResearchInput[Institution Name],ResearchInput[First],"",0,1)&amp;" "&amp;_xlfn.XLOOKUP(H79,ResearchInput[Institution Name],ResearchInput[Last],"",0,1))</f>
        <v>Folasade Baker</v>
      </c>
      <c r="J79" s="179">
        <f>_xlfn.XLOOKUP(H79,ResearchInput[Institution Name],ResearchInput[Phone],"",0,1)</f>
        <v>7137438188</v>
      </c>
      <c r="K79" s="122" t="str">
        <f>LOWER(_xlfn.XLOOKUP(H79,ResearchInput[Institution Name],ResearchInput[Email],"",0,1))</f>
        <v>fbaker@central.uh.edu</v>
      </c>
      <c r="L79" s="122" t="str">
        <f>PROPER(_xlfn.XLOOKUP(H79,ResearchInput[Institution Name],ResearchInput[First.ALT],"",0,1)&amp;" "&amp;_xlfn.XLOOKUP(H79,ResearchInput[Institution Name],ResearchInput[Last.ALT],"",0,1))</f>
        <v>Leslie Fluharty</v>
      </c>
      <c r="M79" s="179">
        <f>_xlfn.XLOOKUP(H79,ResearchInput[Institution Name],ResearchInput[Phone.ALT],"",0,1)</f>
        <v>7137431533</v>
      </c>
      <c r="N79" s="122" t="str">
        <f>LOWER(_xlfn.XLOOKUP(H79,ResearchInput[Institution Name],ResearchInput[Email.ALT],"",0,1))</f>
        <v>laskweres@uh.edu</v>
      </c>
      <c r="O79" s="43"/>
      <c r="P79" s="43"/>
      <c r="Q79" s="43"/>
      <c r="R79" s="43"/>
      <c r="S79" s="43"/>
    </row>
    <row r="80" spans="1:19" s="44" customFormat="1" ht="30" customHeight="1" x14ac:dyDescent="0.25">
      <c r="A80" s="43"/>
      <c r="B80" s="43"/>
      <c r="C80" s="43"/>
      <c r="D80" s="43"/>
      <c r="E80" s="43"/>
      <c r="F80" s="43"/>
      <c r="G80" s="43"/>
      <c r="H80" s="177" t="s">
        <v>766</v>
      </c>
      <c r="I80" s="177" t="str">
        <f>PROPER(_xlfn.XLOOKUP(H80,ResearchInput[Institution Name],ResearchInput[First],"",0,1)&amp;" "&amp;_xlfn.XLOOKUP(H80,ResearchInput[Institution Name],ResearchInput[Last],"",0,1))</f>
        <v>Folasade Baker</v>
      </c>
      <c r="J80" s="178">
        <f>_xlfn.XLOOKUP(H80,ResearchInput[Institution Name],ResearchInput[Phone],"",0,1)</f>
        <v>7137438188</v>
      </c>
      <c r="K80" s="177" t="str">
        <f>LOWER(_xlfn.XLOOKUP(H80,ResearchInput[Institution Name],ResearchInput[Email],"",0,1))</f>
        <v>fbaker@central.uh.edu</v>
      </c>
      <c r="L80" s="177" t="str">
        <f>PROPER(_xlfn.XLOOKUP(H80,ResearchInput[Institution Name],ResearchInput[First.ALT],"",0,1)&amp;" "&amp;_xlfn.XLOOKUP(H80,ResearchInput[Institution Name],ResearchInput[Last.ALT],"",0,1))</f>
        <v>Leslie Fluharty</v>
      </c>
      <c r="M80" s="178">
        <f>_xlfn.XLOOKUP(H80,ResearchInput[Institution Name],ResearchInput[Phone.ALT],"",0,1)</f>
        <v>7137431533</v>
      </c>
      <c r="N80" s="177" t="str">
        <f>LOWER(_xlfn.XLOOKUP(H80,ResearchInput[Institution Name],ResearchInput[Email.ALT],"",0,1))</f>
        <v>laskweres@uh.edu</v>
      </c>
      <c r="O80" s="43"/>
      <c r="P80" s="43"/>
      <c r="Q80" s="43"/>
      <c r="R80" s="43"/>
      <c r="S80" s="43"/>
    </row>
    <row r="81" spans="1:19" s="44" customFormat="1" ht="30" customHeight="1" x14ac:dyDescent="0.25">
      <c r="A81" s="43"/>
      <c r="B81" s="43"/>
      <c r="C81" s="43"/>
      <c r="D81" s="43"/>
      <c r="E81" s="43"/>
      <c r="F81" s="43"/>
      <c r="G81" s="43"/>
      <c r="H81" s="122" t="s">
        <v>236</v>
      </c>
      <c r="I81" s="122" t="str">
        <f>PROPER(_xlfn.XLOOKUP(H81,ResearchInput[Institution Name],ResearchInput[First],"",0,1)&amp;" "&amp;_xlfn.XLOOKUP(H81,ResearchInput[Institution Name],ResearchInput[Last],"",0,1))</f>
        <v>Rafiu Fashina</v>
      </c>
      <c r="J81" s="179">
        <f>_xlfn.XLOOKUP(H81,ResearchInput[Institution Name],ResearchInput[Phone],"",0,1)</f>
        <v>9403695518</v>
      </c>
      <c r="K81" s="122" t="str">
        <f>LOWER(_xlfn.XLOOKUP(H81,ResearchInput[Institution Name],ResearchInput[Email],"",0,1))</f>
        <v>rafiu.fashina@unt.edu</v>
      </c>
      <c r="L81" s="122" t="str">
        <f>PROPER(_xlfn.XLOOKUP(H81,ResearchInput[Institution Name],ResearchInput[First.ALT],"",0,1)&amp;" "&amp;_xlfn.XLOOKUP(H81,ResearchInput[Institution Name],ResearchInput[Last.ALT],"",0,1))</f>
        <v>Kristel Mcclaran</v>
      </c>
      <c r="M81" s="179">
        <f>_xlfn.XLOOKUP(H81,ResearchInput[Institution Name],ResearchInput[Phone.ALT],"",0,1)</f>
        <v>9403695095</v>
      </c>
      <c r="N81" s="122" t="str">
        <f>LOWER(_xlfn.XLOOKUP(H81,ResearchInput[Institution Name],ResearchInput[Email.ALT],"",0,1))</f>
        <v>kristel.mcclaran@unt.edu</v>
      </c>
      <c r="O81" s="43"/>
      <c r="P81" s="43"/>
      <c r="Q81" s="43"/>
      <c r="R81" s="43"/>
      <c r="S81" s="43"/>
    </row>
    <row r="82" spans="1:19" s="44" customFormat="1" ht="30" customHeight="1" x14ac:dyDescent="0.25">
      <c r="A82" s="43"/>
      <c r="B82" s="43"/>
      <c r="C82" s="43"/>
      <c r="D82" s="43"/>
      <c r="E82" s="43"/>
      <c r="F82" s="43"/>
      <c r="G82" s="43"/>
      <c r="H82" s="177" t="s">
        <v>193</v>
      </c>
      <c r="I82" s="177" t="str">
        <f>PROPER(_xlfn.XLOOKUP(H82,ResearchInput[Institution Name],ResearchInput[First],"",0,1)&amp;" "&amp;_xlfn.XLOOKUP(H82,ResearchInput[Institution Name],ResearchInput[Last],"",0,1))</f>
        <v>Leigh-Ann Fashina</v>
      </c>
      <c r="J82" s="178">
        <f>_xlfn.XLOOKUP(H82,ResearchInput[Institution Name],ResearchInput[Phone],"",0,1)</f>
        <v>9723381404</v>
      </c>
      <c r="K82" s="177" t="str">
        <f>LOWER(_xlfn.XLOOKUP(H82,ResearchInput[Institution Name],ResearchInput[Email],"",0,1))</f>
        <v>leigh-ann.fashina@untdallas.edu</v>
      </c>
      <c r="L82" s="177" t="str">
        <f>PROPER(_xlfn.XLOOKUP(H82,ResearchInput[Institution Name],ResearchInput[First.ALT],"",0,1)&amp;" "&amp;_xlfn.XLOOKUP(H82,ResearchInput[Institution Name],ResearchInput[Last.ALT],"",0,1))</f>
        <v>Gia Doss</v>
      </c>
      <c r="M82" s="178" t="str">
        <f>_xlfn.XLOOKUP(H82,ResearchInput[Institution Name],ResearchInput[Phone.ALT],"",0,1)</f>
        <v>unavailable</v>
      </c>
      <c r="N82" s="177" t="str">
        <f>LOWER(_xlfn.XLOOKUP(H82,ResearchInput[Institution Name],ResearchInput[Email.ALT],"",0,1))</f>
        <v>gia.doss@untdallas.edu</v>
      </c>
      <c r="O82" s="43"/>
      <c r="P82" s="43"/>
      <c r="Q82" s="43"/>
      <c r="R82" s="43"/>
      <c r="S82" s="43"/>
    </row>
    <row r="83" spans="1:19" s="44" customFormat="1" ht="30" customHeight="1" x14ac:dyDescent="0.25">
      <c r="A83" s="43"/>
      <c r="B83" s="43"/>
      <c r="C83" s="43"/>
      <c r="D83" s="43"/>
      <c r="E83" s="43"/>
      <c r="F83" s="43"/>
      <c r="G83" s="43"/>
      <c r="H83" s="122" t="s">
        <v>203</v>
      </c>
      <c r="I83" s="122" t="str">
        <f>PROPER(_xlfn.XLOOKUP(H83,ResearchInput[Institution Name],ResearchInput[First],"",0,1)&amp;" "&amp;_xlfn.XLOOKUP(H83,ResearchInput[Institution Name],ResearchInput[Last],"",0,1))</f>
        <v>Julie Meisinger</v>
      </c>
      <c r="J83" s="179">
        <f>_xlfn.XLOOKUP(H83,ResearchInput[Institution Name],ResearchInput[Phone],"",0,1)</f>
        <v>8177352609</v>
      </c>
      <c r="K83" s="122" t="str">
        <f>LOWER(_xlfn.XLOOKUP(H83,ResearchInput[Institution Name],ResearchInput[Email],"",0,1))</f>
        <v>julie.meisinger@unthealth.edu</v>
      </c>
      <c r="L83" s="122" t="str">
        <f>PROPER(_xlfn.XLOOKUP(H83,ResearchInput[Institution Name],ResearchInput[First.ALT],"",0,1)&amp;" "&amp;_xlfn.XLOOKUP(H83,ResearchInput[Institution Name],ResearchInput[Last.ALT],"",0,1))</f>
        <v>Tonya Woodrow</v>
      </c>
      <c r="M83" s="179">
        <f>_xlfn.XLOOKUP(H83,ResearchInput[Institution Name],ResearchInput[Phone.ALT],"",0,1)</f>
        <v>8177355413</v>
      </c>
      <c r="N83" s="122" t="str">
        <f>LOWER(_xlfn.XLOOKUP(H83,ResearchInput[Institution Name],ResearchInput[Email.ALT],"",0,1))</f>
        <v>tonya.woodrow@unthealth.edu</v>
      </c>
      <c r="O83" s="43"/>
      <c r="P83" s="43"/>
      <c r="Q83" s="43"/>
      <c r="R83" s="43"/>
      <c r="S83" s="43"/>
    </row>
    <row r="84" spans="1:19" s="44" customFormat="1" ht="30" customHeight="1" x14ac:dyDescent="0.25">
      <c r="A84" s="43"/>
      <c r="B84" s="43"/>
      <c r="C84" s="43"/>
      <c r="D84" s="43"/>
      <c r="E84" s="43"/>
      <c r="F84" s="43"/>
      <c r="G84" s="43"/>
      <c r="H84" s="177" t="s">
        <v>768</v>
      </c>
      <c r="I84" s="177" t="str">
        <f>PROPER(_xlfn.XLOOKUP(H84,ResearchInput[Institution Name],ResearchInput[First],"",0,1)&amp;" "&amp;_xlfn.XLOOKUP(H84,ResearchInput[Institution Name],ResearchInput[Last],"",0,1))</f>
        <v>Micchael Hensley</v>
      </c>
      <c r="J84" s="178">
        <f>_xlfn.XLOOKUP(H84,ResearchInput[Institution Name],ResearchInput[Phone],"",0,1)</f>
        <v>9403695097</v>
      </c>
      <c r="K84" s="177" t="str">
        <f>LOWER(_xlfn.XLOOKUP(H84,ResearchInput[Institution Name],ResearchInput[Email],"",0,1))</f>
        <v>michael.hensley@untsystem.edu</v>
      </c>
      <c r="L84" s="177" t="str">
        <f>PROPER(_xlfn.XLOOKUP(H84,ResearchInput[Institution Name],ResearchInput[First.ALT],"",0,1)&amp;" "&amp;_xlfn.XLOOKUP(H84,ResearchInput[Institution Name],ResearchInput[Last.ALT],"",0,1))</f>
        <v>Brittany Wisdom</v>
      </c>
      <c r="M84" s="178">
        <f>_xlfn.XLOOKUP(H84,ResearchInput[Institution Name],ResearchInput[Phone.ALT],"",0,1)</f>
        <v>9403695524</v>
      </c>
      <c r="N84" s="177" t="str">
        <f>LOWER(_xlfn.XLOOKUP(H84,ResearchInput[Institution Name],ResearchInput[Email.ALT],"",0,1))</f>
        <v>brittany.wisdom@untsystem.edu</v>
      </c>
      <c r="O84" s="43"/>
      <c r="P84" s="43"/>
      <c r="Q84" s="43"/>
      <c r="R84" s="43"/>
      <c r="S84" s="43"/>
    </row>
    <row r="85" spans="1:19" s="44" customFormat="1" ht="30" customHeight="1" x14ac:dyDescent="0.25">
      <c r="A85" s="43"/>
      <c r="B85" s="43"/>
      <c r="C85" s="43"/>
      <c r="D85" s="43"/>
      <c r="E85" s="43"/>
      <c r="F85" s="43"/>
      <c r="G85" s="43"/>
      <c r="H85" s="122" t="s">
        <v>658</v>
      </c>
      <c r="I85" s="122" t="str">
        <f>PROPER(_xlfn.XLOOKUP(H85,ResearchInput[Institution Name],ResearchInput[First],"",0,1)&amp;" "&amp;_xlfn.XLOOKUP(H85,ResearchInput[Institution Name],ResearchInput[Last],"",0,1))</f>
        <v>Gregg Greer</v>
      </c>
      <c r="J85" s="179">
        <f>_xlfn.XLOOKUP(H85,ResearchInput[Institution Name],ResearchInput[Phone],"",0,1)</f>
        <v>8062913406</v>
      </c>
      <c r="K85" s="122" t="str">
        <f>LOWER(_xlfn.XLOOKUP(H85,ResearchInput[Institution Name],ResearchInput[Email],"",0,1))</f>
        <v>greerg@wbu.edu</v>
      </c>
      <c r="L85" s="122" t="str">
        <f>PROPER(_xlfn.XLOOKUP(H85,ResearchInput[Institution Name],ResearchInput[First.ALT],"",0,1)&amp;" "&amp;_xlfn.XLOOKUP(H85,ResearchInput[Institution Name],ResearchInput[Last.ALT],"",0,1))</f>
        <v>Unavailable Mcclenagan</v>
      </c>
      <c r="M85" s="179">
        <f>_xlfn.XLOOKUP(H85,ResearchInput[Institution Name],ResearchInput[Phone.ALT],"",0,1)</f>
        <v>8062913411</v>
      </c>
      <c r="N85" s="122" t="str">
        <f>LOWER(_xlfn.XLOOKUP(H85,ResearchInput[Institution Name],ResearchInput[Email.ALT],"",0,1))</f>
        <v>cindym@wbu.edu</v>
      </c>
      <c r="O85" s="43"/>
      <c r="P85" s="43"/>
      <c r="Q85" s="43"/>
      <c r="R85" s="43"/>
      <c r="S85" s="43"/>
    </row>
    <row r="86" spans="1:19" s="44" customFormat="1" ht="30" customHeight="1" x14ac:dyDescent="0.25">
      <c r="A86" s="43"/>
      <c r="B86" s="43"/>
      <c r="C86" s="43"/>
      <c r="D86" s="43"/>
      <c r="E86" s="43"/>
      <c r="F86" s="43"/>
      <c r="G86" s="43"/>
      <c r="H86" s="177" t="s">
        <v>179</v>
      </c>
      <c r="I86" s="177" t="str">
        <f>PROPER(_xlfn.XLOOKUP(H86,ResearchInput[Institution Name],ResearchInput[First],"",0,1)&amp;" "&amp;_xlfn.XLOOKUP(H86,ResearchInput[Institution Name],ResearchInput[Last],"",0,1))</f>
        <v>Nancy Hranicky</v>
      </c>
      <c r="J86" s="178">
        <f>_xlfn.XLOOKUP(H86,ResearchInput[Institution Name],ResearchInput[Phone],"",0,1)</f>
        <v>9798459761</v>
      </c>
      <c r="K86" s="177" t="str">
        <f>LOWER(_xlfn.XLOOKUP(H86,ResearchInput[Institution Name],ResearchInput[Email],"",0,1))</f>
        <v>nhranicky@tamus.edu</v>
      </c>
      <c r="L86" s="177" t="str">
        <f>PROPER(_xlfn.XLOOKUP(H86,ResearchInput[Institution Name],ResearchInput[First.ALT],"",0,1)&amp;" "&amp;_xlfn.XLOOKUP(H86,ResearchInput[Institution Name],ResearchInput[Last.ALT],"",0,1))</f>
        <v xml:space="preserve">Unavailable </v>
      </c>
      <c r="M86" s="178" t="str">
        <f>_xlfn.XLOOKUP(H86,ResearchInput[Institution Name],ResearchInput[Phone.ALT],"",0,1)</f>
        <v>unavailable</v>
      </c>
      <c r="N86" s="177" t="str">
        <f>LOWER(_xlfn.XLOOKUP(H86,ResearchInput[Institution Name],ResearchInput[Email.ALT],"",0,1))</f>
        <v>unavailable</v>
      </c>
      <c r="O86" s="43"/>
      <c r="P86" s="43"/>
      <c r="Q86" s="43"/>
      <c r="R86" s="43"/>
      <c r="S86" s="43"/>
    </row>
    <row r="87" spans="1:19" s="44" customFormat="1" ht="30" customHeight="1" x14ac:dyDescent="0.25">
      <c r="A87" s="43"/>
      <c r="B87" s="43"/>
      <c r="C87" s="43"/>
      <c r="D87" s="43"/>
      <c r="E87" s="43"/>
      <c r="F87" s="43"/>
      <c r="G87" s="43"/>
      <c r="H87" s="122" t="s">
        <v>224</v>
      </c>
      <c r="I87" s="122" t="str">
        <f>PROPER(_xlfn.XLOOKUP(H87,ResearchInput[Institution Name],ResearchInput[First],"",0,1)&amp;" "&amp;_xlfn.XLOOKUP(H87,ResearchInput[Institution Name],ResearchInput[Last],"",0,1))</f>
        <v>Megan Buie</v>
      </c>
      <c r="J87" s="179">
        <f>_xlfn.XLOOKUP(H87,ResearchInput[Institution Name],ResearchInput[Phone],"",0,1)</f>
        <v>7133483120</v>
      </c>
      <c r="K87" s="122" t="str">
        <f>LOWER(_xlfn.XLOOKUP(H87,ResearchInput[Institution Name],ResearchInput[Email],"",0,1))</f>
        <v>mb218@rice.edu</v>
      </c>
      <c r="L87" s="122" t="str">
        <f>PROPER(_xlfn.XLOOKUP(H87,ResearchInput[Institution Name],ResearchInput[First.ALT],"",0,1)&amp;" "&amp;_xlfn.XLOOKUP(H87,ResearchInput[Institution Name],ResearchInput[Last.ALT],"",0,1))</f>
        <v>Unavailable Yeung</v>
      </c>
      <c r="M87" s="179">
        <f>_xlfn.XLOOKUP(H87,ResearchInput[Institution Name],ResearchInput[Phone.ALT],"",0,1)</f>
        <v>7133484794</v>
      </c>
      <c r="N87" s="122" t="str">
        <f>LOWER(_xlfn.XLOOKUP(H87,ResearchInput[Institution Name],ResearchInput[Email.ALT],"",0,1))</f>
        <v>jayeung@rice.edu</v>
      </c>
      <c r="O87" s="43"/>
      <c r="P87" s="43"/>
      <c r="Q87" s="43"/>
      <c r="R87" s="43"/>
      <c r="S87" s="43"/>
    </row>
    <row r="88" spans="1:19" s="44" customFormat="1" ht="30" customHeight="1" x14ac:dyDescent="0.25">
      <c r="A88" s="43"/>
      <c r="B88" s="43"/>
      <c r="C88" s="43"/>
      <c r="D88" s="43"/>
      <c r="E88" s="43"/>
      <c r="F88" s="43"/>
      <c r="G88" s="43"/>
      <c r="H88" s="122"/>
      <c r="I88" s="122"/>
      <c r="J88" s="180"/>
      <c r="K88" s="43"/>
      <c r="L88" s="43"/>
      <c r="M88" s="180"/>
      <c r="N88" s="43"/>
      <c r="O88" s="43"/>
      <c r="P88" s="43"/>
      <c r="Q88" s="43"/>
      <c r="R88" s="43"/>
      <c r="S88" s="43"/>
    </row>
    <row r="89" spans="1:19" s="44" customFormat="1" ht="30" customHeight="1" x14ac:dyDescent="0.25">
      <c r="A89" s="43"/>
      <c r="B89" s="43"/>
      <c r="C89" s="43"/>
      <c r="D89" s="43"/>
      <c r="E89" s="43"/>
      <c r="F89" s="43"/>
      <c r="G89" s="43"/>
      <c r="H89" s="122"/>
      <c r="I89" s="122"/>
      <c r="J89" s="180"/>
      <c r="K89" s="43"/>
      <c r="L89" s="43"/>
      <c r="M89" s="180"/>
      <c r="N89" s="43"/>
      <c r="O89" s="43"/>
      <c r="P89" s="43"/>
      <c r="Q89" s="43"/>
      <c r="R89" s="43"/>
      <c r="S89" s="43"/>
    </row>
  </sheetData>
  <sheetProtection algorithmName="SHA-512" hashValue="Pr7MxCk5+sOlXX+j4IKpHOK/GGYS/TSSAfgZ/JVwW9WgXBlKkF1a9rzLRIRLBD/9bjY4rnkQSAl0+1AtB2SDOw==" saltValue="d4WCIv2QBMdmEwL2VmKDUg==" spinCount="100000" sheet="1" objects="1" scenarios="1" formatCells="0" formatColumns="0" formatRows="0"/>
  <pageMargins left="0.7" right="0.7" top="0.75" bottom="0.75" header="0.3" footer="0.3"/>
  <drawing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5F0853-562D-48AD-9B1E-0F618514A769}">
  <sheetPr codeName="Sheet14">
    <tabColor theme="6"/>
    <pageSetUpPr fitToPage="1"/>
  </sheetPr>
  <dimension ref="A1:AL99"/>
  <sheetViews>
    <sheetView zoomScale="80" zoomScaleNormal="80" workbookViewId="0"/>
  </sheetViews>
  <sheetFormatPr defaultColWidth="11.453125" defaultRowHeight="15.6" x14ac:dyDescent="0.3"/>
  <cols>
    <col min="1" max="7" width="6.6328125" style="110" customWidth="1"/>
    <col min="8" max="25" width="6.6328125" style="105" customWidth="1"/>
    <col min="26" max="38" width="6.6328125" style="98" customWidth="1"/>
    <col min="39" max="16384" width="11.453125" style="98"/>
  </cols>
  <sheetData>
    <row r="1" spans="1:38" ht="30" customHeight="1" x14ac:dyDescent="0.3">
      <c r="A1" s="106" t="s">
        <v>932</v>
      </c>
      <c r="B1" s="106"/>
      <c r="C1" s="106"/>
      <c r="D1" s="106"/>
      <c r="E1" s="106"/>
      <c r="F1" s="106"/>
      <c r="G1" s="106"/>
      <c r="H1" s="306" t="s">
        <v>931</v>
      </c>
      <c r="I1" s="306"/>
      <c r="J1" s="306"/>
      <c r="K1" s="306"/>
      <c r="L1" s="306"/>
      <c r="M1" s="306"/>
      <c r="N1" s="306"/>
      <c r="O1" s="306"/>
      <c r="P1" s="306"/>
      <c r="Q1" s="306"/>
      <c r="R1" s="306"/>
      <c r="S1" s="306"/>
      <c r="T1" s="306"/>
      <c r="U1" s="306"/>
      <c r="V1" s="306"/>
      <c r="W1" s="306"/>
      <c r="X1" s="306"/>
      <c r="Y1" s="306"/>
      <c r="Z1" s="97"/>
      <c r="AA1" s="311" t="s">
        <v>930</v>
      </c>
      <c r="AB1" s="312"/>
      <c r="AC1" s="312"/>
      <c r="AD1" s="312"/>
      <c r="AE1" s="312"/>
      <c r="AF1" s="312"/>
      <c r="AG1" s="312"/>
      <c r="AH1" s="312"/>
      <c r="AI1" s="312"/>
      <c r="AJ1" s="312"/>
      <c r="AK1" s="313"/>
      <c r="AL1" s="97"/>
    </row>
    <row r="2" spans="1:38" ht="30" customHeight="1" x14ac:dyDescent="0.3">
      <c r="A2" s="106"/>
      <c r="B2" s="106"/>
      <c r="C2" s="106"/>
      <c r="D2" s="106"/>
      <c r="E2" s="106"/>
      <c r="F2" s="106"/>
      <c r="G2" s="106"/>
      <c r="H2" s="307"/>
      <c r="I2" s="307"/>
      <c r="J2" s="307"/>
      <c r="K2" s="307"/>
      <c r="L2" s="307"/>
      <c r="M2" s="307"/>
      <c r="N2" s="307"/>
      <c r="O2" s="307"/>
      <c r="P2" s="307"/>
      <c r="Q2" s="307"/>
      <c r="R2" s="307"/>
      <c r="S2" s="307"/>
      <c r="T2" s="307"/>
      <c r="U2" s="307"/>
      <c r="V2" s="307"/>
      <c r="W2" s="307"/>
      <c r="X2" s="307"/>
      <c r="Y2" s="307"/>
      <c r="Z2" s="97"/>
      <c r="AA2" s="213" t="s">
        <v>942</v>
      </c>
      <c r="AB2" s="214"/>
      <c r="AC2" s="214"/>
      <c r="AD2" s="214"/>
      <c r="AE2" s="214"/>
      <c r="AF2" s="214"/>
      <c r="AG2" s="214"/>
      <c r="AH2" s="214"/>
      <c r="AI2" s="214"/>
      <c r="AJ2" s="214"/>
      <c r="AK2" s="215"/>
      <c r="AL2" s="97"/>
    </row>
    <row r="3" spans="1:38" s="100" customFormat="1" ht="30" customHeight="1" x14ac:dyDescent="0.25">
      <c r="A3" s="106"/>
      <c r="B3" s="106"/>
      <c r="C3" s="106"/>
      <c r="D3" s="106"/>
      <c r="E3" s="106"/>
      <c r="F3" s="106"/>
      <c r="G3" s="106"/>
      <c r="H3" s="308" t="s">
        <v>929</v>
      </c>
      <c r="I3" s="309"/>
      <c r="J3" s="309"/>
      <c r="K3" s="309"/>
      <c r="L3" s="309"/>
      <c r="M3" s="309"/>
      <c r="N3" s="309"/>
      <c r="O3" s="309"/>
      <c r="P3" s="309"/>
      <c r="Q3" s="309"/>
      <c r="R3" s="309"/>
      <c r="S3" s="309"/>
      <c r="T3" s="309"/>
      <c r="U3" s="309"/>
      <c r="V3" s="309"/>
      <c r="W3" s="309"/>
      <c r="X3" s="309"/>
      <c r="Y3" s="310"/>
      <c r="Z3" s="99"/>
      <c r="AA3" s="284"/>
      <c r="AB3" s="285"/>
      <c r="AC3" s="285"/>
      <c r="AD3" s="285"/>
      <c r="AE3" s="285"/>
      <c r="AF3" s="285"/>
      <c r="AG3" s="285"/>
      <c r="AH3" s="285"/>
      <c r="AI3" s="285"/>
      <c r="AJ3" s="285"/>
      <c r="AK3" s="286"/>
      <c r="AL3" s="99"/>
    </row>
    <row r="4" spans="1:38" ht="30" customHeight="1" x14ac:dyDescent="0.3">
      <c r="A4" s="106"/>
      <c r="B4" s="106"/>
      <c r="C4" s="106"/>
      <c r="D4" s="106"/>
      <c r="E4" s="106"/>
      <c r="F4" s="106"/>
      <c r="G4" s="106"/>
      <c r="H4" s="302" t="s">
        <v>956</v>
      </c>
      <c r="I4" s="303"/>
      <c r="J4" s="303"/>
      <c r="K4" s="303"/>
      <c r="L4" s="303"/>
      <c r="M4" s="303"/>
      <c r="N4" s="303"/>
      <c r="O4" s="303"/>
      <c r="P4" s="303"/>
      <c r="Q4" s="303"/>
      <c r="R4" s="303"/>
      <c r="S4" s="303"/>
      <c r="T4" s="303"/>
      <c r="U4" s="303"/>
      <c r="V4" s="303"/>
      <c r="W4" s="303"/>
      <c r="X4" s="303"/>
      <c r="Y4" s="275"/>
      <c r="Z4" s="97"/>
      <c r="AA4" s="204" t="s">
        <v>928</v>
      </c>
      <c r="AB4" s="205"/>
      <c r="AC4" s="205"/>
      <c r="AD4" s="205"/>
      <c r="AE4" s="205"/>
      <c r="AF4" s="205"/>
      <c r="AG4" s="205"/>
      <c r="AH4" s="205"/>
      <c r="AI4" s="205"/>
      <c r="AJ4" s="205"/>
      <c r="AK4" s="206"/>
      <c r="AL4" s="97"/>
    </row>
    <row r="5" spans="1:38" ht="30" customHeight="1" x14ac:dyDescent="0.3">
      <c r="A5" s="106"/>
      <c r="B5" s="106"/>
      <c r="C5" s="106"/>
      <c r="D5" s="106"/>
      <c r="E5" s="106"/>
      <c r="F5" s="106"/>
      <c r="G5" s="106"/>
      <c r="H5" s="314"/>
      <c r="I5" s="315"/>
      <c r="J5" s="315"/>
      <c r="K5" s="315"/>
      <c r="L5" s="315"/>
      <c r="M5" s="315"/>
      <c r="N5" s="315"/>
      <c r="O5" s="315"/>
      <c r="P5" s="315"/>
      <c r="Q5" s="315"/>
      <c r="R5" s="315"/>
      <c r="S5" s="315"/>
      <c r="T5" s="315"/>
      <c r="U5" s="315"/>
      <c r="V5" s="315"/>
      <c r="W5" s="315"/>
      <c r="X5" s="315"/>
      <c r="Y5" s="276"/>
      <c r="Z5" s="97"/>
      <c r="AA5" s="216" t="s">
        <v>941</v>
      </c>
      <c r="AB5" s="217"/>
      <c r="AC5" s="217"/>
      <c r="AD5" s="217"/>
      <c r="AE5" s="217"/>
      <c r="AF5" s="217"/>
      <c r="AG5" s="217"/>
      <c r="AH5" s="217"/>
      <c r="AI5" s="217"/>
      <c r="AJ5" s="217"/>
      <c r="AK5" s="218"/>
      <c r="AL5" s="97"/>
    </row>
    <row r="6" spans="1:38" ht="30" customHeight="1" x14ac:dyDescent="0.3">
      <c r="A6" s="106"/>
      <c r="B6" s="106"/>
      <c r="C6" s="106"/>
      <c r="D6" s="106"/>
      <c r="E6" s="106"/>
      <c r="F6" s="106"/>
      <c r="G6" s="106"/>
      <c r="H6" s="304"/>
      <c r="I6" s="305"/>
      <c r="J6" s="305"/>
      <c r="K6" s="305"/>
      <c r="L6" s="305"/>
      <c r="M6" s="305"/>
      <c r="N6" s="305"/>
      <c r="O6" s="305"/>
      <c r="P6" s="305"/>
      <c r="Q6" s="305"/>
      <c r="R6" s="305"/>
      <c r="S6" s="305"/>
      <c r="T6" s="305"/>
      <c r="U6" s="305"/>
      <c r="V6" s="305"/>
      <c r="W6" s="305"/>
      <c r="X6" s="305"/>
      <c r="Y6" s="277"/>
      <c r="Z6" s="97"/>
      <c r="AA6" s="287"/>
      <c r="AB6" s="288"/>
      <c r="AC6" s="288"/>
      <c r="AD6" s="288"/>
      <c r="AE6" s="288"/>
      <c r="AF6" s="288"/>
      <c r="AG6" s="288"/>
      <c r="AH6" s="288"/>
      <c r="AI6" s="288"/>
      <c r="AJ6" s="288"/>
      <c r="AK6" s="289"/>
      <c r="AL6" s="97"/>
    </row>
    <row r="7" spans="1:38" ht="30" customHeight="1" x14ac:dyDescent="0.3">
      <c r="A7" s="106"/>
      <c r="B7" s="106"/>
      <c r="C7" s="106"/>
      <c r="D7" s="106"/>
      <c r="E7" s="106"/>
      <c r="F7" s="106"/>
      <c r="G7" s="106"/>
      <c r="H7" s="270" t="s">
        <v>927</v>
      </c>
      <c r="I7" s="271"/>
      <c r="J7" s="271"/>
      <c r="K7" s="271"/>
      <c r="L7" s="271"/>
      <c r="M7" s="271"/>
      <c r="N7" s="271"/>
      <c r="O7" s="271"/>
      <c r="P7" s="271"/>
      <c r="Q7" s="271"/>
      <c r="R7" s="271"/>
      <c r="S7" s="271"/>
      <c r="T7" s="271"/>
      <c r="U7" s="271"/>
      <c r="V7" s="271"/>
      <c r="W7" s="271"/>
      <c r="X7" s="271"/>
      <c r="Y7" s="293"/>
      <c r="Z7" s="97"/>
      <c r="AA7" s="210" t="s">
        <v>937</v>
      </c>
      <c r="AB7" s="211"/>
      <c r="AC7" s="211"/>
      <c r="AD7" s="211"/>
      <c r="AE7" s="211"/>
      <c r="AF7" s="211"/>
      <c r="AG7" s="211"/>
      <c r="AH7" s="211"/>
      <c r="AI7" s="211"/>
      <c r="AJ7" s="211"/>
      <c r="AK7" s="212"/>
      <c r="AL7" s="97"/>
    </row>
    <row r="8" spans="1:38" ht="30" customHeight="1" x14ac:dyDescent="0.3">
      <c r="A8" s="106"/>
      <c r="B8" s="106"/>
      <c r="C8" s="106"/>
      <c r="D8" s="106"/>
      <c r="E8" s="106"/>
      <c r="F8" s="106"/>
      <c r="G8" s="106"/>
      <c r="H8" s="302" t="s">
        <v>997</v>
      </c>
      <c r="I8" s="303"/>
      <c r="J8" s="303"/>
      <c r="K8" s="303"/>
      <c r="L8" s="303"/>
      <c r="M8" s="303"/>
      <c r="N8" s="303"/>
      <c r="O8" s="303"/>
      <c r="P8" s="303"/>
      <c r="Q8" s="303"/>
      <c r="R8" s="303"/>
      <c r="S8" s="303"/>
      <c r="T8" s="303"/>
      <c r="U8" s="303"/>
      <c r="V8" s="303"/>
      <c r="W8" s="303"/>
      <c r="X8" s="303"/>
      <c r="Y8" s="275"/>
      <c r="Z8" s="97"/>
      <c r="AA8" s="290"/>
      <c r="AB8" s="291"/>
      <c r="AC8" s="291"/>
      <c r="AD8" s="291"/>
      <c r="AE8" s="291"/>
      <c r="AF8" s="291"/>
      <c r="AG8" s="291"/>
      <c r="AH8" s="291"/>
      <c r="AI8" s="291"/>
      <c r="AJ8" s="291"/>
      <c r="AK8" s="292"/>
      <c r="AL8" s="97"/>
    </row>
    <row r="9" spans="1:38" ht="30" customHeight="1" x14ac:dyDescent="0.3">
      <c r="A9" s="106"/>
      <c r="B9" s="106"/>
      <c r="C9" s="106"/>
      <c r="D9" s="106"/>
      <c r="E9" s="106"/>
      <c r="F9" s="106"/>
      <c r="G9" s="106"/>
      <c r="H9" s="314"/>
      <c r="I9" s="315"/>
      <c r="J9" s="315"/>
      <c r="K9" s="315"/>
      <c r="L9" s="315"/>
      <c r="M9" s="315"/>
      <c r="N9" s="315"/>
      <c r="O9" s="315"/>
      <c r="P9" s="315"/>
      <c r="Q9" s="315"/>
      <c r="R9" s="315"/>
      <c r="S9" s="315"/>
      <c r="T9" s="315"/>
      <c r="U9" s="315"/>
      <c r="V9" s="315"/>
      <c r="W9" s="315"/>
      <c r="X9" s="315"/>
      <c r="Y9" s="276"/>
      <c r="Z9" s="97"/>
      <c r="AA9" s="284" t="s">
        <v>926</v>
      </c>
      <c r="AB9" s="285"/>
      <c r="AC9" s="285"/>
      <c r="AD9" s="285"/>
      <c r="AE9" s="285"/>
      <c r="AF9" s="285"/>
      <c r="AG9" s="285"/>
      <c r="AH9" s="285"/>
      <c r="AI9" s="285"/>
      <c r="AJ9" s="285"/>
      <c r="AK9" s="286"/>
      <c r="AL9" s="97"/>
    </row>
    <row r="10" spans="1:38" ht="30" customHeight="1" x14ac:dyDescent="0.3">
      <c r="A10" s="106"/>
      <c r="B10" s="106"/>
      <c r="C10" s="106"/>
      <c r="D10" s="106"/>
      <c r="E10" s="106"/>
      <c r="F10" s="106"/>
      <c r="G10" s="106"/>
      <c r="H10" s="314"/>
      <c r="I10" s="315"/>
      <c r="J10" s="315"/>
      <c r="K10" s="315"/>
      <c r="L10" s="315"/>
      <c r="M10" s="315"/>
      <c r="N10" s="315"/>
      <c r="O10" s="315"/>
      <c r="P10" s="315"/>
      <c r="Q10" s="315"/>
      <c r="R10" s="315"/>
      <c r="S10" s="315"/>
      <c r="T10" s="315"/>
      <c r="U10" s="315"/>
      <c r="V10" s="315"/>
      <c r="W10" s="315"/>
      <c r="X10" s="315"/>
      <c r="Y10" s="276"/>
      <c r="Z10" s="97"/>
      <c r="AA10" s="204" t="s">
        <v>938</v>
      </c>
      <c r="AB10" s="205"/>
      <c r="AC10" s="205"/>
      <c r="AD10" s="205"/>
      <c r="AE10" s="205"/>
      <c r="AF10" s="205"/>
      <c r="AG10" s="205"/>
      <c r="AH10" s="205"/>
      <c r="AI10" s="205"/>
      <c r="AJ10" s="205"/>
      <c r="AK10" s="206"/>
      <c r="AL10" s="97"/>
    </row>
    <row r="11" spans="1:38" ht="30" customHeight="1" x14ac:dyDescent="0.3">
      <c r="A11" s="106"/>
      <c r="B11" s="106"/>
      <c r="C11" s="106"/>
      <c r="D11" s="106"/>
      <c r="E11" s="106"/>
      <c r="F11" s="106"/>
      <c r="G11" s="106"/>
      <c r="H11" s="304"/>
      <c r="I11" s="305"/>
      <c r="J11" s="305"/>
      <c r="K11" s="305"/>
      <c r="L11" s="305"/>
      <c r="M11" s="305"/>
      <c r="N11" s="305"/>
      <c r="O11" s="305"/>
      <c r="P11" s="305"/>
      <c r="Q11" s="305"/>
      <c r="R11" s="305"/>
      <c r="S11" s="305"/>
      <c r="T11" s="305"/>
      <c r="U11" s="305"/>
      <c r="V11" s="305"/>
      <c r="W11" s="305"/>
      <c r="X11" s="305"/>
      <c r="Y11" s="277"/>
      <c r="Z11" s="97"/>
      <c r="AA11" s="204"/>
      <c r="AB11" s="205"/>
      <c r="AC11" s="205"/>
      <c r="AD11" s="205"/>
      <c r="AE11" s="205"/>
      <c r="AF11" s="205"/>
      <c r="AG11" s="205"/>
      <c r="AH11" s="205"/>
      <c r="AI11" s="205"/>
      <c r="AJ11" s="205"/>
      <c r="AK11" s="206"/>
      <c r="AL11" s="97"/>
    </row>
    <row r="12" spans="1:38" ht="30" customHeight="1" x14ac:dyDescent="0.3">
      <c r="A12" s="106"/>
      <c r="B12" s="106"/>
      <c r="C12" s="106"/>
      <c r="D12" s="106"/>
      <c r="E12" s="106"/>
      <c r="F12" s="106"/>
      <c r="G12" s="106"/>
      <c r="H12" s="296" t="s">
        <v>998</v>
      </c>
      <c r="I12" s="297"/>
      <c r="J12" s="297"/>
      <c r="K12" s="297"/>
      <c r="L12" s="297"/>
      <c r="M12" s="297"/>
      <c r="N12" s="297"/>
      <c r="O12" s="297"/>
      <c r="P12" s="297"/>
      <c r="Q12" s="297"/>
      <c r="R12" s="297"/>
      <c r="S12" s="297"/>
      <c r="T12" s="297"/>
      <c r="U12" s="297"/>
      <c r="V12" s="297"/>
      <c r="W12" s="297"/>
      <c r="X12" s="297"/>
      <c r="Y12" s="278"/>
      <c r="Z12" s="97"/>
      <c r="AA12" s="216" t="s">
        <v>945</v>
      </c>
      <c r="AB12" s="217"/>
      <c r="AC12" s="217"/>
      <c r="AD12" s="217"/>
      <c r="AE12" s="217"/>
      <c r="AF12" s="217"/>
      <c r="AG12" s="217"/>
      <c r="AH12" s="217"/>
      <c r="AI12" s="217"/>
      <c r="AJ12" s="217"/>
      <c r="AK12" s="218"/>
      <c r="AL12" s="97"/>
    </row>
    <row r="13" spans="1:38" ht="30" customHeight="1" x14ac:dyDescent="0.3">
      <c r="A13" s="106"/>
      <c r="B13" s="106"/>
      <c r="C13" s="106"/>
      <c r="D13" s="106"/>
      <c r="E13" s="106"/>
      <c r="F13" s="106"/>
      <c r="G13" s="106"/>
      <c r="H13" s="298"/>
      <c r="I13" s="299"/>
      <c r="J13" s="299"/>
      <c r="K13" s="299"/>
      <c r="L13" s="299"/>
      <c r="M13" s="299"/>
      <c r="N13" s="299"/>
      <c r="O13" s="299"/>
      <c r="P13" s="299"/>
      <c r="Q13" s="299"/>
      <c r="R13" s="299"/>
      <c r="S13" s="299"/>
      <c r="T13" s="299"/>
      <c r="U13" s="299"/>
      <c r="V13" s="299"/>
      <c r="W13" s="299"/>
      <c r="X13" s="299"/>
      <c r="Y13" s="279"/>
      <c r="Z13" s="97"/>
      <c r="AA13" s="287"/>
      <c r="AB13" s="288"/>
      <c r="AC13" s="288"/>
      <c r="AD13" s="288"/>
      <c r="AE13" s="288"/>
      <c r="AF13" s="288"/>
      <c r="AG13" s="288"/>
      <c r="AH13" s="288"/>
      <c r="AI13" s="288"/>
      <c r="AJ13" s="288"/>
      <c r="AK13" s="289"/>
      <c r="AL13" s="97"/>
    </row>
    <row r="14" spans="1:38" ht="30" customHeight="1" x14ac:dyDescent="0.3">
      <c r="A14" s="106"/>
      <c r="B14" s="106"/>
      <c r="C14" s="106"/>
      <c r="D14" s="106"/>
      <c r="E14" s="106"/>
      <c r="F14" s="106"/>
      <c r="G14" s="106"/>
      <c r="H14" s="300"/>
      <c r="I14" s="301"/>
      <c r="J14" s="301"/>
      <c r="K14" s="301"/>
      <c r="L14" s="301"/>
      <c r="M14" s="301"/>
      <c r="N14" s="301"/>
      <c r="O14" s="301"/>
      <c r="P14" s="301"/>
      <c r="Q14" s="301"/>
      <c r="R14" s="301"/>
      <c r="S14" s="301"/>
      <c r="T14" s="301"/>
      <c r="U14" s="301"/>
      <c r="V14" s="301"/>
      <c r="W14" s="301"/>
      <c r="X14" s="301"/>
      <c r="Y14" s="280"/>
      <c r="Z14" s="97"/>
      <c r="AA14" s="210" t="s">
        <v>925</v>
      </c>
      <c r="AB14" s="211"/>
      <c r="AC14" s="211"/>
      <c r="AD14" s="211"/>
      <c r="AE14" s="211"/>
      <c r="AF14" s="211"/>
      <c r="AG14" s="211"/>
      <c r="AH14" s="211"/>
      <c r="AI14" s="211"/>
      <c r="AJ14" s="211"/>
      <c r="AK14" s="212"/>
      <c r="AL14" s="97"/>
    </row>
    <row r="15" spans="1:38" ht="30" customHeight="1" x14ac:dyDescent="0.3">
      <c r="A15" s="106"/>
      <c r="B15" s="106"/>
      <c r="C15" s="106"/>
      <c r="D15" s="106"/>
      <c r="E15" s="106"/>
      <c r="F15" s="106"/>
      <c r="G15" s="106"/>
      <c r="H15" s="302" t="s">
        <v>999</v>
      </c>
      <c r="I15" s="303"/>
      <c r="J15" s="303"/>
      <c r="K15" s="303"/>
      <c r="L15" s="303"/>
      <c r="M15" s="303"/>
      <c r="N15" s="303"/>
      <c r="O15" s="303"/>
      <c r="P15" s="303"/>
      <c r="Q15" s="303"/>
      <c r="R15" s="303"/>
      <c r="S15" s="303"/>
      <c r="T15" s="303"/>
      <c r="U15" s="303"/>
      <c r="V15" s="303"/>
      <c r="W15" s="303"/>
      <c r="X15" s="303"/>
      <c r="Y15" s="275"/>
      <c r="Z15" s="97"/>
      <c r="AA15" s="213" t="s">
        <v>946</v>
      </c>
      <c r="AB15" s="214"/>
      <c r="AC15" s="214"/>
      <c r="AD15" s="214"/>
      <c r="AE15" s="214"/>
      <c r="AF15" s="214"/>
      <c r="AG15" s="214"/>
      <c r="AH15" s="214"/>
      <c r="AI15" s="214"/>
      <c r="AJ15" s="214"/>
      <c r="AK15" s="215"/>
      <c r="AL15" s="97"/>
    </row>
    <row r="16" spans="1:38" s="100" customFormat="1" ht="30" customHeight="1" x14ac:dyDescent="0.25">
      <c r="A16" s="106"/>
      <c r="B16" s="106"/>
      <c r="C16" s="106"/>
      <c r="D16" s="106"/>
      <c r="E16" s="106"/>
      <c r="F16" s="106"/>
      <c r="G16" s="106"/>
      <c r="H16" s="304"/>
      <c r="I16" s="305"/>
      <c r="J16" s="305"/>
      <c r="K16" s="305"/>
      <c r="L16" s="305"/>
      <c r="M16" s="305"/>
      <c r="N16" s="305"/>
      <c r="O16" s="305"/>
      <c r="P16" s="305"/>
      <c r="Q16" s="305"/>
      <c r="R16" s="305"/>
      <c r="S16" s="305"/>
      <c r="T16" s="305"/>
      <c r="U16" s="305"/>
      <c r="V16" s="305"/>
      <c r="W16" s="305"/>
      <c r="X16" s="305"/>
      <c r="Y16" s="277"/>
      <c r="Z16" s="99"/>
      <c r="AA16" s="284"/>
      <c r="AB16" s="285"/>
      <c r="AC16" s="285"/>
      <c r="AD16" s="285"/>
      <c r="AE16" s="285"/>
      <c r="AF16" s="285"/>
      <c r="AG16" s="285"/>
      <c r="AH16" s="285"/>
      <c r="AI16" s="285"/>
      <c r="AJ16" s="285"/>
      <c r="AK16" s="286"/>
      <c r="AL16" s="99"/>
    </row>
    <row r="17" spans="1:38" ht="30" customHeight="1" x14ac:dyDescent="0.3">
      <c r="A17" s="106"/>
      <c r="B17" s="106"/>
      <c r="C17" s="106"/>
      <c r="D17" s="106"/>
      <c r="E17" s="106"/>
      <c r="F17" s="106"/>
      <c r="G17" s="106"/>
      <c r="H17" s="270" t="s">
        <v>924</v>
      </c>
      <c r="I17" s="271"/>
      <c r="J17" s="271"/>
      <c r="K17" s="271"/>
      <c r="L17" s="271"/>
      <c r="M17" s="271"/>
      <c r="N17" s="271"/>
      <c r="O17" s="271"/>
      <c r="P17" s="293"/>
      <c r="Q17" s="270" t="s">
        <v>923</v>
      </c>
      <c r="R17" s="271"/>
      <c r="S17" s="271"/>
      <c r="T17" s="271"/>
      <c r="U17" s="271"/>
      <c r="V17" s="271"/>
      <c r="W17" s="271"/>
      <c r="X17" s="271"/>
      <c r="Y17" s="293"/>
      <c r="Z17" s="97"/>
      <c r="AA17" s="207" t="s">
        <v>922</v>
      </c>
      <c r="AB17" s="208"/>
      <c r="AC17" s="208"/>
      <c r="AD17" s="208"/>
      <c r="AE17" s="208"/>
      <c r="AF17" s="208"/>
      <c r="AG17" s="208"/>
      <c r="AH17" s="208"/>
      <c r="AI17" s="208"/>
      <c r="AJ17" s="208"/>
      <c r="AK17" s="209"/>
      <c r="AL17" s="97"/>
    </row>
    <row r="18" spans="1:38" ht="30" customHeight="1" x14ac:dyDescent="0.3">
      <c r="A18" s="106"/>
      <c r="B18" s="106"/>
      <c r="C18" s="106"/>
      <c r="D18" s="106"/>
      <c r="E18" s="106"/>
      <c r="F18" s="106"/>
      <c r="G18" s="106"/>
      <c r="H18" s="224" t="s">
        <v>988</v>
      </c>
      <c r="I18" s="225"/>
      <c r="J18" s="225"/>
      <c r="K18" s="225"/>
      <c r="L18" s="225"/>
      <c r="M18" s="225"/>
      <c r="N18" s="225"/>
      <c r="O18" s="225"/>
      <c r="P18" s="203"/>
      <c r="Q18" s="294" t="s">
        <v>979</v>
      </c>
      <c r="R18" s="294"/>
      <c r="S18" s="294"/>
      <c r="T18" s="294"/>
      <c r="U18" s="294"/>
      <c r="V18" s="294"/>
      <c r="W18" s="294"/>
      <c r="X18" s="295"/>
      <c r="Y18" s="203"/>
      <c r="Z18" s="97"/>
      <c r="AA18" s="216" t="s">
        <v>921</v>
      </c>
      <c r="AB18" s="217"/>
      <c r="AC18" s="217"/>
      <c r="AD18" s="217"/>
      <c r="AE18" s="217"/>
      <c r="AF18" s="217"/>
      <c r="AG18" s="217"/>
      <c r="AH18" s="217"/>
      <c r="AI18" s="217"/>
      <c r="AJ18" s="217"/>
      <c r="AK18" s="218"/>
      <c r="AL18" s="97"/>
    </row>
    <row r="19" spans="1:38" ht="30" customHeight="1" x14ac:dyDescent="0.3">
      <c r="A19" s="106"/>
      <c r="B19" s="106"/>
      <c r="C19" s="106"/>
      <c r="D19" s="106"/>
      <c r="E19" s="106"/>
      <c r="F19" s="106"/>
      <c r="G19" s="106"/>
      <c r="H19" s="226"/>
      <c r="I19" s="227"/>
      <c r="J19" s="227"/>
      <c r="K19" s="227"/>
      <c r="L19" s="227"/>
      <c r="M19" s="227"/>
      <c r="N19" s="227"/>
      <c r="O19" s="227"/>
      <c r="P19" s="203"/>
      <c r="Q19" s="294"/>
      <c r="R19" s="294"/>
      <c r="S19" s="294"/>
      <c r="T19" s="294"/>
      <c r="U19" s="294"/>
      <c r="V19" s="294"/>
      <c r="W19" s="294"/>
      <c r="X19" s="295"/>
      <c r="Y19" s="203"/>
      <c r="Z19" s="97"/>
      <c r="AA19" s="210" t="s">
        <v>944</v>
      </c>
      <c r="AB19" s="211"/>
      <c r="AC19" s="211"/>
      <c r="AD19" s="211"/>
      <c r="AE19" s="211"/>
      <c r="AF19" s="211"/>
      <c r="AG19" s="211"/>
      <c r="AH19" s="211"/>
      <c r="AI19" s="211"/>
      <c r="AJ19" s="211"/>
      <c r="AK19" s="212"/>
      <c r="AL19" s="97"/>
    </row>
    <row r="20" spans="1:38" ht="30" customHeight="1" x14ac:dyDescent="0.3">
      <c r="A20" s="106"/>
      <c r="B20" s="106"/>
      <c r="C20" s="106"/>
      <c r="D20" s="106"/>
      <c r="E20" s="106"/>
      <c r="F20" s="106"/>
      <c r="G20" s="106"/>
      <c r="H20" s="228"/>
      <c r="I20" s="229"/>
      <c r="J20" s="229"/>
      <c r="K20" s="229"/>
      <c r="L20" s="229"/>
      <c r="M20" s="229"/>
      <c r="N20" s="229"/>
      <c r="O20" s="229"/>
      <c r="P20" s="203"/>
      <c r="Q20" s="294"/>
      <c r="R20" s="294"/>
      <c r="S20" s="294"/>
      <c r="T20" s="294"/>
      <c r="U20" s="294"/>
      <c r="V20" s="294"/>
      <c r="W20" s="294"/>
      <c r="X20" s="295"/>
      <c r="Y20" s="203"/>
      <c r="Z20" s="97"/>
      <c r="AA20" s="290"/>
      <c r="AB20" s="291"/>
      <c r="AC20" s="291"/>
      <c r="AD20" s="291"/>
      <c r="AE20" s="291"/>
      <c r="AF20" s="291"/>
      <c r="AG20" s="291"/>
      <c r="AH20" s="291"/>
      <c r="AI20" s="291"/>
      <c r="AJ20" s="291"/>
      <c r="AK20" s="292"/>
      <c r="AL20" s="97"/>
    </row>
    <row r="21" spans="1:38" ht="30" customHeight="1" x14ac:dyDescent="0.3">
      <c r="A21" s="106"/>
      <c r="B21" s="106"/>
      <c r="C21" s="106"/>
      <c r="D21" s="106"/>
      <c r="E21" s="106"/>
      <c r="F21" s="106"/>
      <c r="G21" s="106"/>
      <c r="H21" s="230" t="s">
        <v>989</v>
      </c>
      <c r="I21" s="231"/>
      <c r="J21" s="231"/>
      <c r="K21" s="231"/>
      <c r="L21" s="231"/>
      <c r="M21" s="231"/>
      <c r="N21" s="231"/>
      <c r="O21" s="231"/>
      <c r="P21" s="202"/>
      <c r="Q21" s="245" t="s">
        <v>980</v>
      </c>
      <c r="R21" s="245"/>
      <c r="S21" s="245"/>
      <c r="T21" s="245"/>
      <c r="U21" s="245"/>
      <c r="V21" s="245"/>
      <c r="W21" s="245"/>
      <c r="X21" s="246"/>
      <c r="Y21" s="202"/>
      <c r="Z21" s="97"/>
      <c r="AA21" s="213" t="s">
        <v>920</v>
      </c>
      <c r="AB21" s="214"/>
      <c r="AC21" s="214"/>
      <c r="AD21" s="214"/>
      <c r="AE21" s="214"/>
      <c r="AF21" s="214"/>
      <c r="AG21" s="214"/>
      <c r="AH21" s="214"/>
      <c r="AI21" s="214"/>
      <c r="AJ21" s="214"/>
      <c r="AK21" s="215"/>
      <c r="AL21" s="97"/>
    </row>
    <row r="22" spans="1:38" ht="30" customHeight="1" x14ac:dyDescent="0.3">
      <c r="A22" s="106"/>
      <c r="B22" s="106"/>
      <c r="C22" s="106"/>
      <c r="D22" s="106"/>
      <c r="E22" s="106"/>
      <c r="F22" s="106"/>
      <c r="G22" s="106"/>
      <c r="H22" s="232"/>
      <c r="I22" s="233"/>
      <c r="J22" s="233"/>
      <c r="K22" s="233"/>
      <c r="L22" s="233"/>
      <c r="M22" s="233"/>
      <c r="N22" s="233"/>
      <c r="O22" s="233"/>
      <c r="P22" s="202"/>
      <c r="Q22" s="245"/>
      <c r="R22" s="245"/>
      <c r="S22" s="245"/>
      <c r="T22" s="245"/>
      <c r="U22" s="245"/>
      <c r="V22" s="245"/>
      <c r="W22" s="245"/>
      <c r="X22" s="246"/>
      <c r="Y22" s="202"/>
      <c r="Z22" s="97"/>
      <c r="AA22" s="204" t="s">
        <v>939</v>
      </c>
      <c r="AB22" s="205"/>
      <c r="AC22" s="205"/>
      <c r="AD22" s="205"/>
      <c r="AE22" s="205"/>
      <c r="AF22" s="205"/>
      <c r="AG22" s="205"/>
      <c r="AH22" s="205"/>
      <c r="AI22" s="205"/>
      <c r="AJ22" s="205"/>
      <c r="AK22" s="206"/>
      <c r="AL22" s="97"/>
    </row>
    <row r="23" spans="1:38" ht="30" customHeight="1" x14ac:dyDescent="0.3">
      <c r="A23" s="106"/>
      <c r="B23" s="106"/>
      <c r="C23" s="106"/>
      <c r="D23" s="106"/>
      <c r="E23" s="106"/>
      <c r="F23" s="106"/>
      <c r="G23" s="106"/>
      <c r="H23" s="234"/>
      <c r="I23" s="235"/>
      <c r="J23" s="235"/>
      <c r="K23" s="235"/>
      <c r="L23" s="235"/>
      <c r="M23" s="235"/>
      <c r="N23" s="235"/>
      <c r="O23" s="235"/>
      <c r="P23" s="202"/>
      <c r="Q23" s="245"/>
      <c r="R23" s="245"/>
      <c r="S23" s="245"/>
      <c r="T23" s="245"/>
      <c r="U23" s="245"/>
      <c r="V23" s="245"/>
      <c r="W23" s="245"/>
      <c r="X23" s="246"/>
      <c r="Y23" s="202"/>
      <c r="Z23" s="97"/>
      <c r="AA23" s="204"/>
      <c r="AB23" s="205"/>
      <c r="AC23" s="205"/>
      <c r="AD23" s="205"/>
      <c r="AE23" s="205"/>
      <c r="AF23" s="205"/>
      <c r="AG23" s="205"/>
      <c r="AH23" s="205"/>
      <c r="AI23" s="205"/>
      <c r="AJ23" s="205"/>
      <c r="AK23" s="206"/>
      <c r="AL23" s="97"/>
    </row>
    <row r="24" spans="1:38" ht="30" customHeight="1" x14ac:dyDescent="0.3">
      <c r="A24" s="106"/>
      <c r="B24" s="106"/>
      <c r="C24" s="106"/>
      <c r="D24" s="106"/>
      <c r="E24" s="106"/>
      <c r="F24" s="106"/>
      <c r="G24" s="106"/>
      <c r="H24" s="224" t="s">
        <v>990</v>
      </c>
      <c r="I24" s="225"/>
      <c r="J24" s="225"/>
      <c r="K24" s="225"/>
      <c r="L24" s="225"/>
      <c r="M24" s="225"/>
      <c r="N24" s="225"/>
      <c r="O24" s="225"/>
      <c r="P24" s="203"/>
      <c r="Q24" s="294" t="s">
        <v>981</v>
      </c>
      <c r="R24" s="294"/>
      <c r="S24" s="294"/>
      <c r="T24" s="294"/>
      <c r="U24" s="294"/>
      <c r="V24" s="294"/>
      <c r="W24" s="294"/>
      <c r="X24" s="295"/>
      <c r="Y24" s="203"/>
      <c r="Z24" s="97"/>
      <c r="AA24" s="216" t="s">
        <v>919</v>
      </c>
      <c r="AB24" s="217"/>
      <c r="AC24" s="217"/>
      <c r="AD24" s="217"/>
      <c r="AE24" s="217"/>
      <c r="AF24" s="217"/>
      <c r="AG24" s="217"/>
      <c r="AH24" s="217"/>
      <c r="AI24" s="217"/>
      <c r="AJ24" s="217"/>
      <c r="AK24" s="218"/>
      <c r="AL24" s="97"/>
    </row>
    <row r="25" spans="1:38" ht="30" customHeight="1" x14ac:dyDescent="0.3">
      <c r="A25" s="106"/>
      <c r="B25" s="106"/>
      <c r="C25" s="106"/>
      <c r="D25" s="106"/>
      <c r="E25" s="106"/>
      <c r="F25" s="106"/>
      <c r="G25" s="106"/>
      <c r="H25" s="226"/>
      <c r="I25" s="227"/>
      <c r="J25" s="227"/>
      <c r="K25" s="227"/>
      <c r="L25" s="227"/>
      <c r="M25" s="227"/>
      <c r="N25" s="227"/>
      <c r="O25" s="227"/>
      <c r="P25" s="203"/>
      <c r="Q25" s="294"/>
      <c r="R25" s="294"/>
      <c r="S25" s="294"/>
      <c r="T25" s="294"/>
      <c r="U25" s="294"/>
      <c r="V25" s="294"/>
      <c r="W25" s="294"/>
      <c r="X25" s="295"/>
      <c r="Y25" s="203"/>
      <c r="Z25" s="97"/>
      <c r="AA25" s="210" t="s">
        <v>943</v>
      </c>
      <c r="AB25" s="211"/>
      <c r="AC25" s="211"/>
      <c r="AD25" s="211"/>
      <c r="AE25" s="211"/>
      <c r="AF25" s="211"/>
      <c r="AG25" s="211"/>
      <c r="AH25" s="211"/>
      <c r="AI25" s="211"/>
      <c r="AJ25" s="211"/>
      <c r="AK25" s="212"/>
      <c r="AL25" s="97"/>
    </row>
    <row r="26" spans="1:38" ht="30" customHeight="1" x14ac:dyDescent="0.3">
      <c r="A26" s="106"/>
      <c r="B26" s="106"/>
      <c r="C26" s="106"/>
      <c r="D26" s="106"/>
      <c r="E26" s="106"/>
      <c r="F26" s="106"/>
      <c r="G26" s="106"/>
      <c r="H26" s="228"/>
      <c r="I26" s="229"/>
      <c r="J26" s="229"/>
      <c r="K26" s="229"/>
      <c r="L26" s="229"/>
      <c r="M26" s="229"/>
      <c r="N26" s="229"/>
      <c r="O26" s="229"/>
      <c r="P26" s="203"/>
      <c r="Q26" s="294"/>
      <c r="R26" s="294"/>
      <c r="S26" s="294"/>
      <c r="T26" s="294"/>
      <c r="U26" s="294"/>
      <c r="V26" s="294"/>
      <c r="W26" s="294"/>
      <c r="X26" s="295"/>
      <c r="Y26" s="203"/>
      <c r="Z26" s="97"/>
      <c r="AA26" s="210"/>
      <c r="AB26" s="211"/>
      <c r="AC26" s="211"/>
      <c r="AD26" s="211"/>
      <c r="AE26" s="211"/>
      <c r="AF26" s="211"/>
      <c r="AG26" s="211"/>
      <c r="AH26" s="211"/>
      <c r="AI26" s="211"/>
      <c r="AJ26" s="211"/>
      <c r="AK26" s="212"/>
      <c r="AL26" s="97"/>
    </row>
    <row r="27" spans="1:38" ht="30" customHeight="1" x14ac:dyDescent="0.3">
      <c r="A27" s="106"/>
      <c r="B27" s="106"/>
      <c r="C27" s="106"/>
      <c r="D27" s="106"/>
      <c r="E27" s="106"/>
      <c r="F27" s="106"/>
      <c r="G27" s="106"/>
      <c r="H27" s="230" t="s">
        <v>991</v>
      </c>
      <c r="I27" s="231"/>
      <c r="J27" s="231"/>
      <c r="K27" s="231"/>
      <c r="L27" s="231"/>
      <c r="M27" s="231"/>
      <c r="N27" s="231"/>
      <c r="O27" s="231"/>
      <c r="P27" s="202"/>
      <c r="Q27" s="245" t="s">
        <v>982</v>
      </c>
      <c r="R27" s="245"/>
      <c r="S27" s="245"/>
      <c r="T27" s="245"/>
      <c r="U27" s="245"/>
      <c r="V27" s="245"/>
      <c r="W27" s="245"/>
      <c r="X27" s="246"/>
      <c r="Y27" s="202"/>
      <c r="Z27" s="97"/>
      <c r="AA27" s="213" t="s">
        <v>917</v>
      </c>
      <c r="AB27" s="214"/>
      <c r="AC27" s="214"/>
      <c r="AD27" s="214"/>
      <c r="AE27" s="214"/>
      <c r="AF27" s="214"/>
      <c r="AG27" s="214"/>
      <c r="AH27" s="214"/>
      <c r="AI27" s="214"/>
      <c r="AJ27" s="214"/>
      <c r="AK27" s="215"/>
      <c r="AL27" s="97"/>
    </row>
    <row r="28" spans="1:38" ht="30" customHeight="1" x14ac:dyDescent="0.3">
      <c r="A28" s="106"/>
      <c r="B28" s="106"/>
      <c r="C28" s="106"/>
      <c r="D28" s="106"/>
      <c r="E28" s="106"/>
      <c r="F28" s="106"/>
      <c r="G28" s="106"/>
      <c r="H28" s="232"/>
      <c r="I28" s="233"/>
      <c r="J28" s="233"/>
      <c r="K28" s="233"/>
      <c r="L28" s="233"/>
      <c r="M28" s="233"/>
      <c r="N28" s="233"/>
      <c r="O28" s="233"/>
      <c r="P28" s="202"/>
      <c r="Q28" s="245"/>
      <c r="R28" s="245"/>
      <c r="S28" s="245"/>
      <c r="T28" s="245"/>
      <c r="U28" s="245"/>
      <c r="V28" s="245"/>
      <c r="W28" s="245"/>
      <c r="X28" s="246"/>
      <c r="Y28" s="202"/>
      <c r="Z28" s="97"/>
      <c r="AA28" s="204" t="s">
        <v>940</v>
      </c>
      <c r="AB28" s="205"/>
      <c r="AC28" s="205"/>
      <c r="AD28" s="205"/>
      <c r="AE28" s="205"/>
      <c r="AF28" s="205"/>
      <c r="AG28" s="205"/>
      <c r="AH28" s="205"/>
      <c r="AI28" s="205"/>
      <c r="AJ28" s="205"/>
      <c r="AK28" s="206"/>
      <c r="AL28" s="97"/>
    </row>
    <row r="29" spans="1:38" ht="30" customHeight="1" x14ac:dyDescent="0.3">
      <c r="A29" s="106"/>
      <c r="B29" s="106"/>
      <c r="C29" s="106"/>
      <c r="D29" s="106"/>
      <c r="E29" s="106"/>
      <c r="F29" s="106"/>
      <c r="G29" s="106"/>
      <c r="H29" s="234"/>
      <c r="I29" s="235"/>
      <c r="J29" s="235"/>
      <c r="K29" s="235"/>
      <c r="L29" s="235"/>
      <c r="M29" s="235"/>
      <c r="N29" s="235"/>
      <c r="O29" s="235"/>
      <c r="P29" s="202"/>
      <c r="Q29" s="245"/>
      <c r="R29" s="245"/>
      <c r="S29" s="245"/>
      <c r="T29" s="245"/>
      <c r="U29" s="245"/>
      <c r="V29" s="245"/>
      <c r="W29" s="245"/>
      <c r="X29" s="246"/>
      <c r="Y29" s="202"/>
      <c r="Z29" s="97"/>
      <c r="AA29" s="207"/>
      <c r="AB29" s="208"/>
      <c r="AC29" s="208"/>
      <c r="AD29" s="208"/>
      <c r="AE29" s="208"/>
      <c r="AF29" s="208"/>
      <c r="AG29" s="208"/>
      <c r="AH29" s="208"/>
      <c r="AI29" s="208"/>
      <c r="AJ29" s="208"/>
      <c r="AK29" s="209"/>
      <c r="AL29" s="97"/>
    </row>
    <row r="30" spans="1:38" ht="30" customHeight="1" x14ac:dyDescent="0.3">
      <c r="A30" s="106"/>
      <c r="B30" s="106"/>
      <c r="C30" s="106"/>
      <c r="D30" s="106"/>
      <c r="E30" s="106"/>
      <c r="F30" s="106"/>
      <c r="G30" s="106"/>
      <c r="H30" s="224" t="s">
        <v>992</v>
      </c>
      <c r="I30" s="225"/>
      <c r="J30" s="225"/>
      <c r="K30" s="225"/>
      <c r="L30" s="225"/>
      <c r="M30" s="225"/>
      <c r="N30" s="225"/>
      <c r="O30" s="225"/>
      <c r="P30" s="203"/>
      <c r="Q30" s="294" t="s">
        <v>918</v>
      </c>
      <c r="R30" s="294"/>
      <c r="S30" s="294"/>
      <c r="T30" s="294"/>
      <c r="U30" s="294"/>
      <c r="V30" s="294"/>
      <c r="W30" s="294"/>
      <c r="X30" s="295"/>
      <c r="Y30" s="203"/>
      <c r="Z30" s="97"/>
      <c r="AA30" s="97"/>
      <c r="AB30" s="97"/>
      <c r="AC30" s="97"/>
      <c r="AD30" s="97"/>
      <c r="AE30" s="97"/>
      <c r="AF30" s="97"/>
      <c r="AG30" s="97"/>
      <c r="AH30" s="97"/>
      <c r="AI30" s="97"/>
      <c r="AJ30" s="97"/>
      <c r="AK30" s="97"/>
      <c r="AL30" s="97"/>
    </row>
    <row r="31" spans="1:38" ht="30" customHeight="1" x14ac:dyDescent="0.3">
      <c r="A31" s="106"/>
      <c r="B31" s="106"/>
      <c r="C31" s="106"/>
      <c r="D31" s="106"/>
      <c r="E31" s="106"/>
      <c r="F31" s="106"/>
      <c r="G31" s="106"/>
      <c r="H31" s="226"/>
      <c r="I31" s="227"/>
      <c r="J31" s="227"/>
      <c r="K31" s="227"/>
      <c r="L31" s="227"/>
      <c r="M31" s="227"/>
      <c r="N31" s="227"/>
      <c r="O31" s="227"/>
      <c r="P31" s="203"/>
      <c r="Q31" s="294"/>
      <c r="R31" s="294"/>
      <c r="S31" s="294"/>
      <c r="T31" s="294"/>
      <c r="U31" s="294"/>
      <c r="V31" s="294"/>
      <c r="W31" s="294"/>
      <c r="X31" s="295"/>
      <c r="Y31" s="203"/>
      <c r="Z31" s="97"/>
      <c r="AA31" s="97"/>
      <c r="AB31" s="97"/>
      <c r="AC31" s="97"/>
      <c r="AD31" s="97"/>
      <c r="AE31" s="97"/>
      <c r="AF31" s="97"/>
      <c r="AG31" s="97"/>
      <c r="AH31" s="97"/>
      <c r="AI31" s="97"/>
      <c r="AJ31" s="97"/>
      <c r="AK31" s="97"/>
      <c r="AL31" s="97"/>
    </row>
    <row r="32" spans="1:38" ht="30" customHeight="1" x14ac:dyDescent="0.3">
      <c r="A32" s="106"/>
      <c r="B32" s="106"/>
      <c r="C32" s="106"/>
      <c r="D32" s="106"/>
      <c r="E32" s="106"/>
      <c r="F32" s="106"/>
      <c r="G32" s="106"/>
      <c r="H32" s="228"/>
      <c r="I32" s="229"/>
      <c r="J32" s="229"/>
      <c r="K32" s="229"/>
      <c r="L32" s="229"/>
      <c r="M32" s="229"/>
      <c r="N32" s="229"/>
      <c r="O32" s="229"/>
      <c r="P32" s="203"/>
      <c r="Q32" s="294"/>
      <c r="R32" s="294"/>
      <c r="S32" s="294"/>
      <c r="T32" s="294"/>
      <c r="U32" s="294"/>
      <c r="V32" s="294"/>
      <c r="W32" s="294"/>
      <c r="X32" s="295"/>
      <c r="Y32" s="203"/>
      <c r="Z32" s="97"/>
      <c r="AA32" s="97"/>
      <c r="AB32" s="97"/>
      <c r="AC32" s="97"/>
      <c r="AD32" s="97"/>
      <c r="AE32" s="97"/>
      <c r="AF32" s="97"/>
      <c r="AG32" s="97"/>
      <c r="AH32" s="97"/>
      <c r="AI32" s="97"/>
      <c r="AJ32" s="97"/>
      <c r="AK32" s="97"/>
      <c r="AL32" s="97"/>
    </row>
    <row r="33" spans="1:38" ht="30" customHeight="1" x14ac:dyDescent="0.3">
      <c r="A33" s="106"/>
      <c r="B33" s="106"/>
      <c r="C33" s="106"/>
      <c r="D33" s="106"/>
      <c r="E33" s="106"/>
      <c r="F33" s="106"/>
      <c r="G33" s="106"/>
      <c r="H33" s="230" t="s">
        <v>934</v>
      </c>
      <c r="I33" s="231"/>
      <c r="J33" s="231"/>
      <c r="K33" s="231"/>
      <c r="L33" s="231"/>
      <c r="M33" s="231"/>
      <c r="N33" s="231"/>
      <c r="O33" s="231"/>
      <c r="P33" s="202"/>
      <c r="Q33" s="245" t="s">
        <v>983</v>
      </c>
      <c r="R33" s="245"/>
      <c r="S33" s="245"/>
      <c r="T33" s="245"/>
      <c r="U33" s="245"/>
      <c r="V33" s="245"/>
      <c r="W33" s="245"/>
      <c r="X33" s="246"/>
      <c r="Y33" s="202"/>
      <c r="Z33" s="97"/>
      <c r="AA33" s="97"/>
      <c r="AB33" s="97"/>
      <c r="AC33" s="97"/>
      <c r="AD33" s="97"/>
      <c r="AE33" s="97"/>
      <c r="AF33" s="97"/>
      <c r="AG33" s="97"/>
      <c r="AH33" s="97"/>
      <c r="AI33" s="97"/>
      <c r="AJ33" s="97"/>
      <c r="AK33" s="97"/>
      <c r="AL33" s="97"/>
    </row>
    <row r="34" spans="1:38" ht="30" customHeight="1" x14ac:dyDescent="0.3">
      <c r="A34" s="106"/>
      <c r="B34" s="106"/>
      <c r="C34" s="106"/>
      <c r="D34" s="106"/>
      <c r="E34" s="106"/>
      <c r="F34" s="106"/>
      <c r="G34" s="106"/>
      <c r="H34" s="232"/>
      <c r="I34" s="233"/>
      <c r="J34" s="233"/>
      <c r="K34" s="233"/>
      <c r="L34" s="233"/>
      <c r="M34" s="233"/>
      <c r="N34" s="233"/>
      <c r="O34" s="233"/>
      <c r="P34" s="202"/>
      <c r="Q34" s="245"/>
      <c r="R34" s="245"/>
      <c r="S34" s="245"/>
      <c r="T34" s="245"/>
      <c r="U34" s="245"/>
      <c r="V34" s="245"/>
      <c r="W34" s="245"/>
      <c r="X34" s="246"/>
      <c r="Y34" s="202"/>
      <c r="Z34" s="97"/>
      <c r="AA34" s="97"/>
      <c r="AB34" s="97"/>
      <c r="AC34" s="97"/>
      <c r="AD34" s="97"/>
      <c r="AE34" s="97"/>
      <c r="AF34" s="97"/>
      <c r="AG34" s="97"/>
      <c r="AH34" s="97"/>
      <c r="AI34" s="97"/>
      <c r="AJ34" s="97"/>
      <c r="AK34" s="97"/>
      <c r="AL34" s="97"/>
    </row>
    <row r="35" spans="1:38" ht="30" customHeight="1" x14ac:dyDescent="0.3">
      <c r="A35" s="106"/>
      <c r="B35" s="106"/>
      <c r="C35" s="106"/>
      <c r="D35" s="106"/>
      <c r="E35" s="106"/>
      <c r="F35" s="106"/>
      <c r="G35" s="106"/>
      <c r="H35" s="234"/>
      <c r="I35" s="235"/>
      <c r="J35" s="235"/>
      <c r="K35" s="235"/>
      <c r="L35" s="235"/>
      <c r="M35" s="235"/>
      <c r="N35" s="235"/>
      <c r="O35" s="235"/>
      <c r="P35" s="202"/>
      <c r="Q35" s="245"/>
      <c r="R35" s="245"/>
      <c r="S35" s="245"/>
      <c r="T35" s="245"/>
      <c r="U35" s="245"/>
      <c r="V35" s="245"/>
      <c r="W35" s="245"/>
      <c r="X35" s="246"/>
      <c r="Y35" s="202"/>
      <c r="Z35" s="97"/>
      <c r="AA35" s="97"/>
      <c r="AB35" s="97"/>
      <c r="AC35" s="97"/>
      <c r="AD35" s="97"/>
      <c r="AE35" s="97"/>
      <c r="AF35" s="97"/>
      <c r="AG35" s="97"/>
      <c r="AH35" s="97"/>
      <c r="AI35" s="97"/>
      <c r="AJ35" s="97"/>
      <c r="AK35" s="97"/>
      <c r="AL35" s="97"/>
    </row>
    <row r="36" spans="1:38" ht="30" customHeight="1" x14ac:dyDescent="0.3">
      <c r="A36" s="106"/>
      <c r="B36" s="106"/>
      <c r="C36" s="106"/>
      <c r="D36" s="106"/>
      <c r="E36" s="106"/>
      <c r="F36" s="106"/>
      <c r="G36" s="106"/>
      <c r="H36" s="224" t="s">
        <v>993</v>
      </c>
      <c r="I36" s="225"/>
      <c r="J36" s="225"/>
      <c r="K36" s="225"/>
      <c r="L36" s="225"/>
      <c r="M36" s="225"/>
      <c r="N36" s="225"/>
      <c r="O36" s="225"/>
      <c r="P36" s="203"/>
      <c r="Q36" s="294" t="s">
        <v>984</v>
      </c>
      <c r="R36" s="294"/>
      <c r="S36" s="294"/>
      <c r="T36" s="294"/>
      <c r="U36" s="294"/>
      <c r="V36" s="294"/>
      <c r="W36" s="294"/>
      <c r="X36" s="295"/>
      <c r="Y36" s="203"/>
      <c r="Z36" s="97"/>
      <c r="AA36" s="97"/>
      <c r="AB36" s="97"/>
      <c r="AC36" s="97"/>
      <c r="AD36" s="97"/>
      <c r="AE36" s="97"/>
      <c r="AF36" s="97"/>
      <c r="AG36" s="97"/>
      <c r="AH36" s="97"/>
      <c r="AI36" s="97"/>
      <c r="AJ36" s="97"/>
      <c r="AK36" s="97"/>
      <c r="AL36" s="97"/>
    </row>
    <row r="37" spans="1:38" ht="30" customHeight="1" x14ac:dyDescent="0.3">
      <c r="A37" s="106"/>
      <c r="B37" s="106"/>
      <c r="C37" s="106"/>
      <c r="D37" s="106"/>
      <c r="E37" s="106"/>
      <c r="F37" s="106"/>
      <c r="G37" s="106"/>
      <c r="H37" s="226"/>
      <c r="I37" s="227"/>
      <c r="J37" s="227"/>
      <c r="K37" s="227"/>
      <c r="L37" s="227"/>
      <c r="M37" s="227"/>
      <c r="N37" s="227"/>
      <c r="O37" s="227"/>
      <c r="P37" s="203"/>
      <c r="Q37" s="294"/>
      <c r="R37" s="294"/>
      <c r="S37" s="294"/>
      <c r="T37" s="294"/>
      <c r="U37" s="294"/>
      <c r="V37" s="294"/>
      <c r="W37" s="294"/>
      <c r="X37" s="295"/>
      <c r="Y37" s="203"/>
      <c r="Z37" s="97"/>
      <c r="AA37" s="97"/>
      <c r="AB37" s="97"/>
      <c r="AC37" s="97"/>
      <c r="AD37" s="97"/>
      <c r="AE37" s="97"/>
      <c r="AF37" s="97"/>
      <c r="AG37" s="97"/>
      <c r="AH37" s="97"/>
      <c r="AI37" s="97"/>
      <c r="AJ37" s="97"/>
      <c r="AK37" s="97"/>
      <c r="AL37" s="97"/>
    </row>
    <row r="38" spans="1:38" ht="30" customHeight="1" x14ac:dyDescent="0.3">
      <c r="A38" s="106"/>
      <c r="B38" s="106"/>
      <c r="C38" s="106"/>
      <c r="D38" s="106"/>
      <c r="E38" s="106"/>
      <c r="F38" s="106"/>
      <c r="G38" s="106"/>
      <c r="H38" s="228"/>
      <c r="I38" s="229"/>
      <c r="J38" s="229"/>
      <c r="K38" s="229"/>
      <c r="L38" s="229"/>
      <c r="M38" s="229"/>
      <c r="N38" s="229"/>
      <c r="O38" s="229"/>
      <c r="P38" s="203"/>
      <c r="Q38" s="294"/>
      <c r="R38" s="294"/>
      <c r="S38" s="294"/>
      <c r="T38" s="294"/>
      <c r="U38" s="294"/>
      <c r="V38" s="294"/>
      <c r="W38" s="294"/>
      <c r="X38" s="295"/>
      <c r="Y38" s="203"/>
      <c r="Z38" s="97"/>
      <c r="AA38" s="97"/>
      <c r="AB38" s="97"/>
      <c r="AC38" s="97"/>
      <c r="AD38" s="97"/>
      <c r="AE38" s="97"/>
      <c r="AF38" s="97"/>
      <c r="AG38" s="97"/>
      <c r="AH38" s="97"/>
      <c r="AI38" s="97"/>
      <c r="AJ38" s="97"/>
      <c r="AK38" s="97"/>
      <c r="AL38" s="97"/>
    </row>
    <row r="39" spans="1:38" ht="30" customHeight="1" x14ac:dyDescent="0.3">
      <c r="A39" s="106"/>
      <c r="B39" s="106"/>
      <c r="C39" s="106"/>
      <c r="D39" s="106"/>
      <c r="E39" s="106"/>
      <c r="F39" s="106"/>
      <c r="G39" s="106"/>
      <c r="H39" s="230" t="s">
        <v>994</v>
      </c>
      <c r="I39" s="231"/>
      <c r="J39" s="231"/>
      <c r="K39" s="231"/>
      <c r="L39" s="231"/>
      <c r="M39" s="231"/>
      <c r="N39" s="231"/>
      <c r="O39" s="231"/>
      <c r="P39" s="202"/>
      <c r="Q39" s="245" t="s">
        <v>985</v>
      </c>
      <c r="R39" s="245"/>
      <c r="S39" s="245"/>
      <c r="T39" s="245"/>
      <c r="U39" s="245"/>
      <c r="V39" s="245"/>
      <c r="W39" s="245"/>
      <c r="X39" s="246"/>
      <c r="Y39" s="202"/>
      <c r="Z39" s="97"/>
      <c r="AA39" s="97"/>
      <c r="AB39" s="97"/>
      <c r="AC39" s="97"/>
      <c r="AD39" s="97"/>
      <c r="AE39" s="97"/>
      <c r="AF39" s="97"/>
      <c r="AG39" s="97"/>
      <c r="AH39" s="97"/>
      <c r="AI39" s="97"/>
      <c r="AJ39" s="97"/>
      <c r="AK39" s="97"/>
      <c r="AL39" s="97"/>
    </row>
    <row r="40" spans="1:38" ht="30" customHeight="1" x14ac:dyDescent="0.3">
      <c r="A40" s="106"/>
      <c r="B40" s="106"/>
      <c r="C40" s="106"/>
      <c r="D40" s="106"/>
      <c r="E40" s="106"/>
      <c r="F40" s="106"/>
      <c r="G40" s="106"/>
      <c r="H40" s="232"/>
      <c r="I40" s="233"/>
      <c r="J40" s="233"/>
      <c r="K40" s="233"/>
      <c r="L40" s="233"/>
      <c r="M40" s="233"/>
      <c r="N40" s="233"/>
      <c r="O40" s="233"/>
      <c r="P40" s="202"/>
      <c r="Q40" s="245"/>
      <c r="R40" s="245"/>
      <c r="S40" s="245"/>
      <c r="T40" s="245"/>
      <c r="U40" s="245"/>
      <c r="V40" s="245"/>
      <c r="W40" s="245"/>
      <c r="X40" s="246"/>
      <c r="Y40" s="202"/>
      <c r="Z40" s="97"/>
      <c r="AA40" s="97"/>
      <c r="AB40" s="97"/>
      <c r="AC40" s="97"/>
      <c r="AD40" s="97"/>
      <c r="AE40" s="97"/>
      <c r="AF40" s="97"/>
      <c r="AG40" s="97"/>
      <c r="AH40" s="97"/>
      <c r="AI40" s="97"/>
      <c r="AJ40" s="97"/>
      <c r="AK40" s="97"/>
      <c r="AL40" s="97"/>
    </row>
    <row r="41" spans="1:38" ht="30" customHeight="1" x14ac:dyDescent="0.3">
      <c r="A41" s="106"/>
      <c r="B41" s="106"/>
      <c r="C41" s="106"/>
      <c r="D41" s="106"/>
      <c r="E41" s="106"/>
      <c r="F41" s="106"/>
      <c r="G41" s="106"/>
      <c r="H41" s="224" t="s">
        <v>995</v>
      </c>
      <c r="I41" s="225"/>
      <c r="J41" s="225"/>
      <c r="K41" s="225"/>
      <c r="L41" s="225"/>
      <c r="M41" s="225"/>
      <c r="N41" s="225"/>
      <c r="O41" s="225"/>
      <c r="P41" s="203"/>
      <c r="Q41" s="294" t="s">
        <v>986</v>
      </c>
      <c r="R41" s="294"/>
      <c r="S41" s="294"/>
      <c r="T41" s="294"/>
      <c r="U41" s="294"/>
      <c r="V41" s="294"/>
      <c r="W41" s="294"/>
      <c r="X41" s="295"/>
      <c r="Y41" s="203"/>
      <c r="Z41" s="97"/>
      <c r="AA41" s="97"/>
      <c r="AB41" s="97"/>
      <c r="AC41" s="97"/>
      <c r="AD41" s="97"/>
      <c r="AE41" s="97"/>
      <c r="AF41" s="97"/>
      <c r="AG41" s="97"/>
      <c r="AH41" s="97"/>
      <c r="AI41" s="97"/>
      <c r="AJ41" s="97"/>
      <c r="AK41" s="97"/>
      <c r="AL41" s="97"/>
    </row>
    <row r="42" spans="1:38" ht="30" customHeight="1" x14ac:dyDescent="0.3">
      <c r="A42" s="106"/>
      <c r="B42" s="106"/>
      <c r="C42" s="106"/>
      <c r="D42" s="106"/>
      <c r="E42" s="106"/>
      <c r="F42" s="106"/>
      <c r="G42" s="106"/>
      <c r="H42" s="226"/>
      <c r="I42" s="227"/>
      <c r="J42" s="227"/>
      <c r="K42" s="227"/>
      <c r="L42" s="227"/>
      <c r="M42" s="227"/>
      <c r="N42" s="227"/>
      <c r="O42" s="227"/>
      <c r="P42" s="203"/>
      <c r="Q42" s="294"/>
      <c r="R42" s="294"/>
      <c r="S42" s="294"/>
      <c r="T42" s="294"/>
      <c r="U42" s="294"/>
      <c r="V42" s="294"/>
      <c r="W42" s="294"/>
      <c r="X42" s="295"/>
      <c r="Y42" s="203"/>
      <c r="Z42" s="97"/>
      <c r="AA42" s="97"/>
      <c r="AB42" s="97"/>
      <c r="AC42" s="97"/>
      <c r="AD42" s="97"/>
      <c r="AE42" s="97"/>
      <c r="AF42" s="97"/>
      <c r="AG42" s="97"/>
      <c r="AH42" s="97"/>
      <c r="AI42" s="97"/>
      <c r="AJ42" s="97"/>
      <c r="AK42" s="97"/>
      <c r="AL42" s="97"/>
    </row>
    <row r="43" spans="1:38" ht="30" customHeight="1" x14ac:dyDescent="0.3">
      <c r="A43" s="106"/>
      <c r="B43" s="106"/>
      <c r="C43" s="106"/>
      <c r="D43" s="106"/>
      <c r="E43" s="106"/>
      <c r="F43" s="106"/>
      <c r="G43" s="106"/>
      <c r="H43" s="230" t="s">
        <v>996</v>
      </c>
      <c r="I43" s="231"/>
      <c r="J43" s="231"/>
      <c r="K43" s="231"/>
      <c r="L43" s="231"/>
      <c r="M43" s="231"/>
      <c r="N43" s="231"/>
      <c r="O43" s="231"/>
      <c r="P43" s="202"/>
      <c r="Q43" s="245" t="s">
        <v>987</v>
      </c>
      <c r="R43" s="245"/>
      <c r="S43" s="245"/>
      <c r="T43" s="245"/>
      <c r="U43" s="245"/>
      <c r="V43" s="245"/>
      <c r="W43" s="245"/>
      <c r="X43" s="246"/>
      <c r="Y43" s="202"/>
      <c r="Z43" s="97"/>
      <c r="AA43" s="97"/>
      <c r="AB43" s="97"/>
      <c r="AC43" s="97"/>
      <c r="AD43" s="97"/>
      <c r="AE43" s="97"/>
      <c r="AF43" s="97"/>
      <c r="AG43" s="97"/>
      <c r="AH43" s="97"/>
      <c r="AI43" s="97"/>
      <c r="AJ43" s="97"/>
      <c r="AK43" s="97"/>
      <c r="AL43" s="97"/>
    </row>
    <row r="44" spans="1:38" ht="30" customHeight="1" x14ac:dyDescent="0.3">
      <c r="A44" s="106"/>
      <c r="B44" s="106"/>
      <c r="C44" s="106"/>
      <c r="D44" s="106"/>
      <c r="E44" s="106"/>
      <c r="F44" s="106"/>
      <c r="G44" s="106"/>
      <c r="H44" s="232"/>
      <c r="I44" s="233"/>
      <c r="J44" s="233"/>
      <c r="K44" s="233"/>
      <c r="L44" s="233"/>
      <c r="M44" s="233"/>
      <c r="N44" s="233"/>
      <c r="O44" s="233"/>
      <c r="P44" s="202"/>
      <c r="Q44" s="245"/>
      <c r="R44" s="245"/>
      <c r="S44" s="245"/>
      <c r="T44" s="245"/>
      <c r="U44" s="245"/>
      <c r="V44" s="245"/>
      <c r="W44" s="245"/>
      <c r="X44" s="246"/>
      <c r="Y44" s="202"/>
      <c r="Z44" s="101"/>
      <c r="AA44" s="97"/>
      <c r="AB44" s="97"/>
      <c r="AC44" s="97"/>
      <c r="AD44" s="97"/>
      <c r="AE44" s="97"/>
      <c r="AF44" s="97"/>
      <c r="AG44" s="97"/>
      <c r="AH44" s="97"/>
      <c r="AI44" s="97"/>
      <c r="AJ44" s="97"/>
      <c r="AK44" s="97"/>
      <c r="AL44" s="97"/>
    </row>
    <row r="45" spans="1:38" ht="30" customHeight="1" x14ac:dyDescent="0.3">
      <c r="A45" s="106"/>
      <c r="B45" s="106"/>
      <c r="C45" s="106"/>
      <c r="D45" s="106"/>
      <c r="E45" s="106"/>
      <c r="F45" s="106"/>
      <c r="G45" s="106"/>
      <c r="H45" s="234"/>
      <c r="I45" s="235"/>
      <c r="J45" s="235"/>
      <c r="K45" s="235"/>
      <c r="L45" s="235"/>
      <c r="M45" s="235"/>
      <c r="N45" s="235"/>
      <c r="O45" s="235"/>
      <c r="P45" s="202"/>
      <c r="Q45" s="245"/>
      <c r="R45" s="245"/>
      <c r="S45" s="245"/>
      <c r="T45" s="245"/>
      <c r="U45" s="245"/>
      <c r="V45" s="245"/>
      <c r="W45" s="245"/>
      <c r="X45" s="246"/>
      <c r="Y45" s="202"/>
      <c r="Z45" s="97"/>
      <c r="AA45" s="97"/>
      <c r="AB45" s="97"/>
      <c r="AC45" s="97"/>
      <c r="AD45" s="97"/>
      <c r="AE45" s="97"/>
      <c r="AF45" s="97"/>
      <c r="AG45" s="97"/>
      <c r="AH45" s="97"/>
      <c r="AI45" s="97"/>
      <c r="AJ45" s="97"/>
      <c r="AK45" s="97"/>
      <c r="AL45" s="97"/>
    </row>
    <row r="46" spans="1:38" ht="30" customHeight="1" x14ac:dyDescent="0.3">
      <c r="A46" s="106"/>
      <c r="B46" s="106"/>
      <c r="C46" s="106"/>
      <c r="D46" s="106"/>
      <c r="E46" s="106"/>
      <c r="F46" s="106"/>
      <c r="G46" s="106"/>
      <c r="H46" s="249" t="s">
        <v>916</v>
      </c>
      <c r="I46" s="250"/>
      <c r="J46" s="250"/>
      <c r="K46" s="250"/>
      <c r="L46" s="250"/>
      <c r="M46" s="250"/>
      <c r="N46" s="250"/>
      <c r="O46" s="250"/>
      <c r="P46" s="250"/>
      <c r="Q46" s="250"/>
      <c r="R46" s="250"/>
      <c r="S46" s="250"/>
      <c r="T46" s="250"/>
      <c r="U46" s="250"/>
      <c r="V46" s="250"/>
      <c r="W46" s="250"/>
      <c r="X46" s="250"/>
      <c r="Y46" s="251"/>
      <c r="Z46" s="97"/>
      <c r="AA46" s="97"/>
      <c r="AB46" s="97"/>
      <c r="AC46" s="97"/>
      <c r="AD46" s="97"/>
      <c r="AE46" s="97"/>
      <c r="AF46" s="97"/>
      <c r="AG46" s="97"/>
      <c r="AH46" s="97"/>
      <c r="AI46" s="97"/>
      <c r="AJ46" s="97"/>
      <c r="AK46" s="97"/>
      <c r="AL46" s="97"/>
    </row>
    <row r="47" spans="1:38" ht="30" customHeight="1" x14ac:dyDescent="0.3">
      <c r="A47" s="106"/>
      <c r="B47" s="106"/>
      <c r="C47" s="106"/>
      <c r="D47" s="106"/>
      <c r="E47" s="106"/>
      <c r="F47" s="106"/>
      <c r="G47" s="106"/>
      <c r="H47" s="302" t="s">
        <v>978</v>
      </c>
      <c r="I47" s="303"/>
      <c r="J47" s="303"/>
      <c r="K47" s="303"/>
      <c r="L47" s="303"/>
      <c r="M47" s="303"/>
      <c r="N47" s="303"/>
      <c r="O47" s="303"/>
      <c r="P47" s="303"/>
      <c r="Q47" s="303"/>
      <c r="R47" s="303"/>
      <c r="S47" s="303"/>
      <c r="T47" s="303"/>
      <c r="U47" s="303"/>
      <c r="V47" s="303"/>
      <c r="W47" s="303"/>
      <c r="X47" s="303"/>
      <c r="Y47" s="275"/>
      <c r="Z47" s="97"/>
      <c r="AA47" s="236" t="s">
        <v>953</v>
      </c>
      <c r="AB47" s="237"/>
      <c r="AC47" s="237"/>
      <c r="AD47" s="237"/>
      <c r="AE47" s="237"/>
      <c r="AF47" s="237"/>
      <c r="AG47" s="237"/>
      <c r="AH47" s="237"/>
      <c r="AI47" s="237"/>
      <c r="AJ47" s="237"/>
      <c r="AK47" s="238"/>
      <c r="AL47" s="97"/>
    </row>
    <row r="48" spans="1:38" ht="30" customHeight="1" x14ac:dyDescent="0.3">
      <c r="A48" s="106"/>
      <c r="B48" s="106"/>
      <c r="C48" s="106"/>
      <c r="D48" s="106"/>
      <c r="E48" s="106"/>
      <c r="F48" s="106"/>
      <c r="G48" s="106"/>
      <c r="H48" s="314"/>
      <c r="I48" s="315"/>
      <c r="J48" s="315"/>
      <c r="K48" s="315"/>
      <c r="L48" s="315"/>
      <c r="M48" s="315"/>
      <c r="N48" s="315"/>
      <c r="O48" s="315"/>
      <c r="P48" s="315"/>
      <c r="Q48" s="315"/>
      <c r="R48" s="315"/>
      <c r="S48" s="315"/>
      <c r="T48" s="315"/>
      <c r="U48" s="315"/>
      <c r="V48" s="315"/>
      <c r="W48" s="315"/>
      <c r="X48" s="315"/>
      <c r="Y48" s="276"/>
      <c r="Z48" s="97"/>
      <c r="AA48" s="239"/>
      <c r="AB48" s="240"/>
      <c r="AC48" s="240"/>
      <c r="AD48" s="240"/>
      <c r="AE48" s="240"/>
      <c r="AF48" s="240"/>
      <c r="AG48" s="240"/>
      <c r="AH48" s="240"/>
      <c r="AI48" s="240"/>
      <c r="AJ48" s="240"/>
      <c r="AK48" s="241"/>
      <c r="AL48" s="97"/>
    </row>
    <row r="49" spans="1:38" ht="30" customHeight="1" x14ac:dyDescent="0.3">
      <c r="A49" s="106"/>
      <c r="B49" s="106"/>
      <c r="C49" s="106"/>
      <c r="D49" s="106"/>
      <c r="E49" s="106"/>
      <c r="F49" s="106"/>
      <c r="G49" s="106"/>
      <c r="H49" s="304"/>
      <c r="I49" s="305"/>
      <c r="J49" s="305"/>
      <c r="K49" s="305"/>
      <c r="L49" s="305"/>
      <c r="M49" s="305"/>
      <c r="N49" s="305"/>
      <c r="O49" s="305"/>
      <c r="P49" s="305"/>
      <c r="Q49" s="305"/>
      <c r="R49" s="305"/>
      <c r="S49" s="305"/>
      <c r="T49" s="305"/>
      <c r="U49" s="305"/>
      <c r="V49" s="305"/>
      <c r="W49" s="305"/>
      <c r="X49" s="305"/>
      <c r="Y49" s="277"/>
      <c r="Z49" s="97"/>
      <c r="AA49" s="242"/>
      <c r="AB49" s="243"/>
      <c r="AC49" s="243"/>
      <c r="AD49" s="243"/>
      <c r="AE49" s="243"/>
      <c r="AF49" s="243"/>
      <c r="AG49" s="243"/>
      <c r="AH49" s="243"/>
      <c r="AI49" s="243"/>
      <c r="AJ49" s="243"/>
      <c r="AK49" s="244"/>
      <c r="AL49" s="97"/>
    </row>
    <row r="50" spans="1:38" ht="30" customHeight="1" x14ac:dyDescent="0.3">
      <c r="A50" s="106"/>
      <c r="B50" s="106"/>
      <c r="C50" s="106"/>
      <c r="D50" s="106"/>
      <c r="E50" s="106"/>
      <c r="F50" s="106"/>
      <c r="G50" s="106"/>
      <c r="H50" s="296" t="s">
        <v>977</v>
      </c>
      <c r="I50" s="297"/>
      <c r="J50" s="297"/>
      <c r="K50" s="297"/>
      <c r="L50" s="297"/>
      <c r="M50" s="297"/>
      <c r="N50" s="297"/>
      <c r="O50" s="297"/>
      <c r="P50" s="297"/>
      <c r="Q50" s="297"/>
      <c r="R50" s="297"/>
      <c r="S50" s="297"/>
      <c r="T50" s="297"/>
      <c r="U50" s="297"/>
      <c r="V50" s="297"/>
      <c r="W50" s="297"/>
      <c r="X50" s="297"/>
      <c r="Y50" s="278"/>
      <c r="Z50" s="97"/>
      <c r="AA50" s="107"/>
      <c r="AB50" s="107"/>
      <c r="AC50" s="107"/>
      <c r="AD50" s="107"/>
      <c r="AE50" s="107"/>
      <c r="AF50" s="107"/>
      <c r="AG50" s="107"/>
      <c r="AH50" s="107"/>
      <c r="AI50" s="107"/>
      <c r="AJ50" s="107"/>
      <c r="AK50" s="97"/>
      <c r="AL50" s="97"/>
    </row>
    <row r="51" spans="1:38" ht="30" customHeight="1" x14ac:dyDescent="0.3">
      <c r="A51" s="106"/>
      <c r="B51" s="106"/>
      <c r="C51" s="106"/>
      <c r="D51" s="106"/>
      <c r="E51" s="106"/>
      <c r="F51" s="106"/>
      <c r="G51" s="106"/>
      <c r="H51" s="298"/>
      <c r="I51" s="299"/>
      <c r="J51" s="299"/>
      <c r="K51" s="299"/>
      <c r="L51" s="299"/>
      <c r="M51" s="299"/>
      <c r="N51" s="299"/>
      <c r="O51" s="299"/>
      <c r="P51" s="299"/>
      <c r="Q51" s="299"/>
      <c r="R51" s="299"/>
      <c r="S51" s="299"/>
      <c r="T51" s="299"/>
      <c r="U51" s="299"/>
      <c r="V51" s="299"/>
      <c r="W51" s="299"/>
      <c r="X51" s="299"/>
      <c r="Y51" s="279"/>
      <c r="Z51" s="97"/>
      <c r="AA51" s="107"/>
      <c r="AB51" s="107"/>
      <c r="AC51" s="107"/>
      <c r="AD51" s="107"/>
      <c r="AE51" s="107"/>
      <c r="AF51" s="107"/>
      <c r="AG51" s="107"/>
      <c r="AH51" s="107"/>
      <c r="AI51" s="107"/>
      <c r="AJ51" s="107"/>
      <c r="AK51" s="97"/>
      <c r="AL51" s="97"/>
    </row>
    <row r="52" spans="1:38" ht="30" customHeight="1" x14ac:dyDescent="0.3">
      <c r="A52" s="106"/>
      <c r="B52" s="106"/>
      <c r="C52" s="106"/>
      <c r="D52" s="106"/>
      <c r="E52" s="106"/>
      <c r="F52" s="106"/>
      <c r="G52" s="106"/>
      <c r="H52" s="300"/>
      <c r="I52" s="301"/>
      <c r="J52" s="301"/>
      <c r="K52" s="301"/>
      <c r="L52" s="301"/>
      <c r="M52" s="301"/>
      <c r="N52" s="301"/>
      <c r="O52" s="301"/>
      <c r="P52" s="301"/>
      <c r="Q52" s="301"/>
      <c r="R52" s="301"/>
      <c r="S52" s="301"/>
      <c r="T52" s="301"/>
      <c r="U52" s="301"/>
      <c r="V52" s="301"/>
      <c r="W52" s="301"/>
      <c r="X52" s="301"/>
      <c r="Y52" s="280"/>
      <c r="Z52" s="97"/>
      <c r="AA52" s="108"/>
      <c r="AB52" s="108"/>
      <c r="AC52" s="108"/>
      <c r="AD52" s="108"/>
      <c r="AE52" s="108"/>
      <c r="AF52" s="108"/>
      <c r="AG52" s="108"/>
      <c r="AH52" s="108"/>
      <c r="AI52" s="108"/>
      <c r="AJ52" s="108"/>
      <c r="AK52" s="102"/>
      <c r="AL52" s="97"/>
    </row>
    <row r="53" spans="1:38" ht="30" customHeight="1" x14ac:dyDescent="0.3">
      <c r="A53" s="106"/>
      <c r="B53" s="106"/>
      <c r="C53" s="106"/>
      <c r="D53" s="106"/>
      <c r="E53" s="106"/>
      <c r="F53" s="106"/>
      <c r="G53" s="106"/>
      <c r="H53" s="325" t="s">
        <v>976</v>
      </c>
      <c r="I53" s="326"/>
      <c r="J53" s="326"/>
      <c r="K53" s="326"/>
      <c r="L53" s="326"/>
      <c r="M53" s="326"/>
      <c r="N53" s="326"/>
      <c r="O53" s="326"/>
      <c r="P53" s="326"/>
      <c r="Q53" s="326"/>
      <c r="R53" s="326"/>
      <c r="S53" s="326"/>
      <c r="T53" s="326"/>
      <c r="U53" s="326"/>
      <c r="V53" s="326"/>
      <c r="W53" s="326"/>
      <c r="X53" s="326"/>
      <c r="Y53" s="281"/>
      <c r="Z53" s="97"/>
      <c r="AA53" s="108"/>
      <c r="AB53" s="108"/>
      <c r="AC53" s="108"/>
      <c r="AD53" s="108"/>
      <c r="AE53" s="108"/>
      <c r="AF53" s="108"/>
      <c r="AG53" s="108"/>
      <c r="AH53" s="108"/>
      <c r="AI53" s="108"/>
      <c r="AJ53" s="108"/>
      <c r="AK53" s="102"/>
      <c r="AL53" s="97"/>
    </row>
    <row r="54" spans="1:38" ht="30" customHeight="1" x14ac:dyDescent="0.3">
      <c r="A54" s="106"/>
      <c r="B54" s="106"/>
      <c r="C54" s="106"/>
      <c r="D54" s="106"/>
      <c r="E54" s="106"/>
      <c r="F54" s="106"/>
      <c r="G54" s="106"/>
      <c r="H54" s="327"/>
      <c r="I54" s="328"/>
      <c r="J54" s="328"/>
      <c r="K54" s="328"/>
      <c r="L54" s="328"/>
      <c r="M54" s="328"/>
      <c r="N54" s="328"/>
      <c r="O54" s="328"/>
      <c r="P54" s="328"/>
      <c r="Q54" s="328"/>
      <c r="R54" s="328"/>
      <c r="S54" s="328"/>
      <c r="T54" s="328"/>
      <c r="U54" s="328"/>
      <c r="V54" s="328"/>
      <c r="W54" s="328"/>
      <c r="X54" s="328"/>
      <c r="Y54" s="282"/>
      <c r="Z54" s="97"/>
      <c r="AA54" s="108"/>
      <c r="AB54" s="108"/>
      <c r="AC54" s="108"/>
      <c r="AD54" s="108"/>
      <c r="AE54" s="108"/>
      <c r="AF54" s="108"/>
      <c r="AG54" s="108"/>
      <c r="AH54" s="108"/>
      <c r="AI54" s="108"/>
      <c r="AJ54" s="108"/>
      <c r="AK54" s="102"/>
      <c r="AL54" s="97"/>
    </row>
    <row r="55" spans="1:38" ht="30" customHeight="1" x14ac:dyDescent="0.3">
      <c r="A55" s="106"/>
      <c r="B55" s="106"/>
      <c r="C55" s="106"/>
      <c r="D55" s="106"/>
      <c r="E55" s="106"/>
      <c r="F55" s="106"/>
      <c r="G55" s="106"/>
      <c r="H55" s="327"/>
      <c r="I55" s="328"/>
      <c r="J55" s="328"/>
      <c r="K55" s="328"/>
      <c r="L55" s="328"/>
      <c r="M55" s="328"/>
      <c r="N55" s="328"/>
      <c r="O55" s="328"/>
      <c r="P55" s="328"/>
      <c r="Q55" s="328"/>
      <c r="R55" s="328"/>
      <c r="S55" s="328"/>
      <c r="T55" s="328"/>
      <c r="U55" s="328"/>
      <c r="V55" s="328"/>
      <c r="W55" s="328"/>
      <c r="X55" s="328"/>
      <c r="Y55" s="282"/>
      <c r="Z55" s="97"/>
      <c r="AA55" s="109"/>
      <c r="AB55" s="109"/>
      <c r="AC55" s="109"/>
      <c r="AD55" s="109"/>
      <c r="AE55" s="109"/>
      <c r="AF55" s="109"/>
      <c r="AG55" s="109"/>
      <c r="AH55" s="109"/>
      <c r="AI55" s="109"/>
      <c r="AJ55" s="109"/>
      <c r="AK55" s="109"/>
      <c r="AL55" s="97"/>
    </row>
    <row r="56" spans="1:38" ht="30" customHeight="1" x14ac:dyDescent="0.3">
      <c r="A56" s="106"/>
      <c r="B56" s="106"/>
      <c r="C56" s="106"/>
      <c r="D56" s="106"/>
      <c r="E56" s="106"/>
      <c r="F56" s="106"/>
      <c r="G56" s="106"/>
      <c r="H56" s="333" t="s">
        <v>973</v>
      </c>
      <c r="I56" s="334"/>
      <c r="J56" s="334"/>
      <c r="K56" s="334"/>
      <c r="L56" s="334"/>
      <c r="M56" s="334"/>
      <c r="N56" s="334"/>
      <c r="O56" s="334"/>
      <c r="P56" s="334"/>
      <c r="Q56" s="334"/>
      <c r="R56" s="334"/>
      <c r="S56" s="334"/>
      <c r="T56" s="334"/>
      <c r="U56" s="334"/>
      <c r="V56" s="334"/>
      <c r="W56" s="334"/>
      <c r="X56" s="334"/>
      <c r="Y56" s="282"/>
      <c r="Z56" s="97"/>
      <c r="AA56" s="109"/>
      <c r="AB56" s="109"/>
      <c r="AC56" s="109"/>
      <c r="AD56" s="109"/>
      <c r="AE56" s="109"/>
      <c r="AF56" s="109"/>
      <c r="AG56" s="109"/>
      <c r="AH56" s="109"/>
      <c r="AI56" s="109"/>
      <c r="AJ56" s="109"/>
      <c r="AK56" s="109"/>
      <c r="AL56" s="97"/>
    </row>
    <row r="57" spans="1:38" ht="30" customHeight="1" x14ac:dyDescent="0.3">
      <c r="A57" s="106"/>
      <c r="B57" s="106"/>
      <c r="C57" s="106"/>
      <c r="D57" s="106"/>
      <c r="E57" s="106"/>
      <c r="F57" s="106"/>
      <c r="G57" s="106"/>
      <c r="H57" s="333"/>
      <c r="I57" s="334"/>
      <c r="J57" s="334"/>
      <c r="K57" s="334"/>
      <c r="L57" s="334"/>
      <c r="M57" s="334"/>
      <c r="N57" s="334"/>
      <c r="O57" s="334"/>
      <c r="P57" s="334"/>
      <c r="Q57" s="334"/>
      <c r="R57" s="334"/>
      <c r="S57" s="334"/>
      <c r="T57" s="334"/>
      <c r="U57" s="334"/>
      <c r="V57" s="334"/>
      <c r="W57" s="334"/>
      <c r="X57" s="334"/>
      <c r="Y57" s="282"/>
      <c r="Z57" s="97"/>
      <c r="AA57" s="109"/>
      <c r="AB57" s="109"/>
      <c r="AC57" s="109"/>
      <c r="AD57" s="109"/>
      <c r="AE57" s="109"/>
      <c r="AF57" s="109"/>
      <c r="AG57" s="109"/>
      <c r="AH57" s="109"/>
      <c r="AI57" s="109"/>
      <c r="AJ57" s="109"/>
      <c r="AK57" s="109"/>
      <c r="AL57" s="97"/>
    </row>
    <row r="58" spans="1:38" ht="30" customHeight="1" x14ac:dyDescent="0.3">
      <c r="A58" s="106"/>
      <c r="B58" s="106"/>
      <c r="C58" s="106"/>
      <c r="D58" s="106"/>
      <c r="E58" s="106"/>
      <c r="F58" s="106"/>
      <c r="G58" s="106"/>
      <c r="H58" s="333" t="s">
        <v>974</v>
      </c>
      <c r="I58" s="334"/>
      <c r="J58" s="334"/>
      <c r="K58" s="334"/>
      <c r="L58" s="334"/>
      <c r="M58" s="334"/>
      <c r="N58" s="334"/>
      <c r="O58" s="334"/>
      <c r="P58" s="334"/>
      <c r="Q58" s="334"/>
      <c r="R58" s="334"/>
      <c r="S58" s="334"/>
      <c r="T58" s="334"/>
      <c r="U58" s="334"/>
      <c r="V58" s="334"/>
      <c r="W58" s="334"/>
      <c r="X58" s="334"/>
      <c r="Y58" s="282"/>
      <c r="Z58" s="97"/>
      <c r="AA58" s="109"/>
      <c r="AB58" s="109"/>
      <c r="AC58" s="109"/>
      <c r="AD58" s="109"/>
      <c r="AE58" s="109"/>
      <c r="AF58" s="109"/>
      <c r="AG58" s="109"/>
      <c r="AH58" s="109"/>
      <c r="AI58" s="109"/>
      <c r="AJ58" s="109"/>
      <c r="AK58" s="109"/>
      <c r="AL58" s="97"/>
    </row>
    <row r="59" spans="1:38" ht="30" customHeight="1" x14ac:dyDescent="0.3">
      <c r="A59" s="106"/>
      <c r="B59" s="106"/>
      <c r="C59" s="106"/>
      <c r="D59" s="106"/>
      <c r="E59" s="106"/>
      <c r="F59" s="106"/>
      <c r="G59" s="106"/>
      <c r="H59" s="333"/>
      <c r="I59" s="334"/>
      <c r="J59" s="334"/>
      <c r="K59" s="334"/>
      <c r="L59" s="334"/>
      <c r="M59" s="334"/>
      <c r="N59" s="334"/>
      <c r="O59" s="334"/>
      <c r="P59" s="334"/>
      <c r="Q59" s="334"/>
      <c r="R59" s="334"/>
      <c r="S59" s="334"/>
      <c r="T59" s="334"/>
      <c r="U59" s="334"/>
      <c r="V59" s="334"/>
      <c r="W59" s="334"/>
      <c r="X59" s="334"/>
      <c r="Y59" s="282"/>
      <c r="AA59" s="236" t="s">
        <v>954</v>
      </c>
      <c r="AB59" s="237"/>
      <c r="AC59" s="237"/>
      <c r="AD59" s="237"/>
      <c r="AE59" s="237"/>
      <c r="AF59" s="237"/>
      <c r="AG59" s="237"/>
      <c r="AH59" s="237"/>
      <c r="AI59" s="237"/>
      <c r="AJ59" s="237"/>
      <c r="AK59" s="238"/>
      <c r="AL59" s="97"/>
    </row>
    <row r="60" spans="1:38" ht="30" customHeight="1" x14ac:dyDescent="0.3">
      <c r="A60" s="106"/>
      <c r="B60" s="106"/>
      <c r="C60" s="106"/>
      <c r="D60" s="106"/>
      <c r="E60" s="106"/>
      <c r="F60" s="106"/>
      <c r="G60" s="106"/>
      <c r="H60" s="335" t="s">
        <v>975</v>
      </c>
      <c r="I60" s="336"/>
      <c r="J60" s="336"/>
      <c r="K60" s="336"/>
      <c r="L60" s="336"/>
      <c r="M60" s="336"/>
      <c r="N60" s="336"/>
      <c r="O60" s="336"/>
      <c r="P60" s="336"/>
      <c r="Q60" s="336"/>
      <c r="R60" s="336"/>
      <c r="S60" s="336"/>
      <c r="T60" s="336"/>
      <c r="U60" s="336"/>
      <c r="V60" s="336"/>
      <c r="W60" s="336"/>
      <c r="X60" s="336"/>
      <c r="Y60" s="282"/>
      <c r="Z60" s="97"/>
      <c r="AA60" s="239"/>
      <c r="AB60" s="240"/>
      <c r="AC60" s="240"/>
      <c r="AD60" s="240"/>
      <c r="AE60" s="240"/>
      <c r="AF60" s="240"/>
      <c r="AG60" s="240"/>
      <c r="AH60" s="240"/>
      <c r="AI60" s="240"/>
      <c r="AJ60" s="240"/>
      <c r="AK60" s="241"/>
      <c r="AL60" s="97"/>
    </row>
    <row r="61" spans="1:38" ht="30" customHeight="1" x14ac:dyDescent="0.3">
      <c r="A61" s="106"/>
      <c r="B61" s="106"/>
      <c r="C61" s="106"/>
      <c r="D61" s="106"/>
      <c r="E61" s="106"/>
      <c r="F61" s="106"/>
      <c r="G61" s="106"/>
      <c r="H61" s="335"/>
      <c r="I61" s="336"/>
      <c r="J61" s="336"/>
      <c r="K61" s="336"/>
      <c r="L61" s="336"/>
      <c r="M61" s="336"/>
      <c r="N61" s="336"/>
      <c r="O61" s="336"/>
      <c r="P61" s="336"/>
      <c r="Q61" s="336"/>
      <c r="R61" s="336"/>
      <c r="S61" s="336"/>
      <c r="T61" s="336"/>
      <c r="U61" s="336"/>
      <c r="V61" s="336"/>
      <c r="W61" s="336"/>
      <c r="X61" s="336"/>
      <c r="Y61" s="283"/>
      <c r="Z61" s="97"/>
      <c r="AA61" s="242"/>
      <c r="AB61" s="243"/>
      <c r="AC61" s="243"/>
      <c r="AD61" s="243"/>
      <c r="AE61" s="243"/>
      <c r="AF61" s="243"/>
      <c r="AG61" s="243"/>
      <c r="AH61" s="243"/>
      <c r="AI61" s="243"/>
      <c r="AJ61" s="243"/>
      <c r="AK61" s="244"/>
      <c r="AL61" s="97"/>
    </row>
    <row r="62" spans="1:38" ht="30" customHeight="1" x14ac:dyDescent="0.3">
      <c r="A62" s="106"/>
      <c r="B62" s="106"/>
      <c r="C62" s="106"/>
      <c r="D62" s="106"/>
      <c r="E62" s="106"/>
      <c r="F62" s="106"/>
      <c r="G62" s="106"/>
      <c r="H62" s="302" t="s">
        <v>972</v>
      </c>
      <c r="I62" s="303"/>
      <c r="J62" s="303"/>
      <c r="K62" s="303"/>
      <c r="L62" s="303"/>
      <c r="M62" s="303"/>
      <c r="N62" s="303"/>
      <c r="O62" s="303"/>
      <c r="P62" s="303"/>
      <c r="Q62" s="303"/>
      <c r="R62" s="303"/>
      <c r="S62" s="303"/>
      <c r="T62" s="303"/>
      <c r="U62" s="303"/>
      <c r="V62" s="303"/>
      <c r="W62" s="303"/>
      <c r="X62" s="303"/>
      <c r="Y62" s="139"/>
      <c r="Z62" s="97"/>
      <c r="AA62" s="107"/>
      <c r="AB62" s="107"/>
      <c r="AC62" s="107"/>
      <c r="AD62" s="107"/>
      <c r="AE62" s="107"/>
      <c r="AF62" s="107"/>
      <c r="AG62" s="107"/>
      <c r="AH62" s="107"/>
      <c r="AI62" s="107"/>
      <c r="AJ62" s="107"/>
      <c r="AK62" s="97"/>
      <c r="AL62" s="97"/>
    </row>
    <row r="63" spans="1:38" ht="30" customHeight="1" x14ac:dyDescent="0.3">
      <c r="A63" s="106"/>
      <c r="B63" s="106"/>
      <c r="C63" s="106"/>
      <c r="D63" s="106"/>
      <c r="E63" s="106"/>
      <c r="F63" s="106"/>
      <c r="G63" s="106"/>
      <c r="H63" s="314"/>
      <c r="I63" s="315"/>
      <c r="J63" s="315"/>
      <c r="K63" s="315"/>
      <c r="L63" s="315"/>
      <c r="M63" s="315"/>
      <c r="N63" s="315"/>
      <c r="O63" s="315"/>
      <c r="P63" s="315"/>
      <c r="Q63" s="315"/>
      <c r="R63" s="315"/>
      <c r="S63" s="315"/>
      <c r="T63" s="315"/>
      <c r="U63" s="315"/>
      <c r="V63" s="315"/>
      <c r="W63" s="315"/>
      <c r="X63" s="315"/>
      <c r="Y63" s="140"/>
      <c r="Z63" s="97"/>
      <c r="AA63" s="97"/>
      <c r="AB63" s="97"/>
      <c r="AC63" s="97"/>
      <c r="AD63" s="97"/>
      <c r="AE63" s="97"/>
      <c r="AF63" s="97"/>
      <c r="AG63" s="97"/>
      <c r="AH63" s="97"/>
      <c r="AI63" s="97"/>
      <c r="AJ63" s="97"/>
      <c r="AK63" s="97"/>
      <c r="AL63" s="97"/>
    </row>
    <row r="64" spans="1:38" ht="30" customHeight="1" x14ac:dyDescent="0.3">
      <c r="A64" s="106"/>
      <c r="B64" s="106"/>
      <c r="C64" s="106"/>
      <c r="D64" s="106"/>
      <c r="E64" s="106"/>
      <c r="F64" s="106"/>
      <c r="G64" s="106"/>
      <c r="H64" s="314"/>
      <c r="I64" s="315"/>
      <c r="J64" s="315"/>
      <c r="K64" s="315"/>
      <c r="L64" s="315"/>
      <c r="M64" s="315"/>
      <c r="N64" s="315"/>
      <c r="O64" s="315"/>
      <c r="P64" s="315"/>
      <c r="Q64" s="315"/>
      <c r="R64" s="315"/>
      <c r="S64" s="315"/>
      <c r="T64" s="315"/>
      <c r="U64" s="315"/>
      <c r="V64" s="315"/>
      <c r="W64" s="315"/>
      <c r="X64" s="315"/>
      <c r="Y64" s="140"/>
      <c r="Z64" s="97"/>
      <c r="AA64" s="97"/>
      <c r="AB64" s="97"/>
      <c r="AC64" s="97"/>
      <c r="AD64" s="97"/>
      <c r="AE64" s="97"/>
      <c r="AF64" s="97"/>
      <c r="AG64" s="97"/>
      <c r="AH64" s="97"/>
      <c r="AI64" s="97"/>
      <c r="AJ64" s="97"/>
      <c r="AK64" s="97"/>
      <c r="AL64" s="97"/>
    </row>
    <row r="65" spans="1:38" ht="30" customHeight="1" x14ac:dyDescent="0.3">
      <c r="A65" s="106"/>
      <c r="B65" s="106"/>
      <c r="C65" s="106"/>
      <c r="D65" s="106"/>
      <c r="E65" s="106"/>
      <c r="F65" s="106"/>
      <c r="G65" s="106"/>
      <c r="H65" s="304"/>
      <c r="I65" s="305"/>
      <c r="J65" s="305"/>
      <c r="K65" s="305"/>
      <c r="L65" s="305"/>
      <c r="M65" s="305"/>
      <c r="N65" s="305"/>
      <c r="O65" s="305"/>
      <c r="P65" s="305"/>
      <c r="Q65" s="305"/>
      <c r="R65" s="305"/>
      <c r="S65" s="305"/>
      <c r="T65" s="305"/>
      <c r="U65" s="305"/>
      <c r="V65" s="305"/>
      <c r="W65" s="305"/>
      <c r="X65" s="305"/>
      <c r="Y65" s="141"/>
      <c r="Z65" s="97"/>
      <c r="AA65" s="97"/>
      <c r="AB65" s="97"/>
      <c r="AC65" s="97"/>
      <c r="AD65" s="97"/>
      <c r="AE65" s="97"/>
      <c r="AF65" s="97"/>
      <c r="AG65" s="97"/>
      <c r="AH65" s="97"/>
      <c r="AI65" s="97"/>
      <c r="AJ65" s="97"/>
      <c r="AK65" s="97"/>
      <c r="AL65" s="97"/>
    </row>
    <row r="66" spans="1:38" ht="30" customHeight="1" x14ac:dyDescent="0.3">
      <c r="A66" s="106"/>
      <c r="B66" s="106"/>
      <c r="C66" s="106"/>
      <c r="D66" s="106"/>
      <c r="E66" s="106"/>
      <c r="F66" s="106"/>
      <c r="G66" s="106"/>
      <c r="H66" s="221" t="s">
        <v>935</v>
      </c>
      <c r="I66" s="222"/>
      <c r="J66" s="222"/>
      <c r="K66" s="222"/>
      <c r="L66" s="222"/>
      <c r="M66" s="222"/>
      <c r="N66" s="222"/>
      <c r="O66" s="222"/>
      <c r="P66" s="222"/>
      <c r="Q66" s="222"/>
      <c r="R66" s="222"/>
      <c r="S66" s="222"/>
      <c r="T66" s="222"/>
      <c r="U66" s="222"/>
      <c r="V66" s="222"/>
      <c r="W66" s="222"/>
      <c r="X66" s="222"/>
      <c r="Y66" s="223"/>
      <c r="Z66" s="97"/>
      <c r="AA66" s="97"/>
      <c r="AB66" s="97"/>
      <c r="AC66" s="97"/>
      <c r="AD66" s="97"/>
      <c r="AE66" s="97"/>
      <c r="AF66" s="97"/>
      <c r="AG66" s="97"/>
      <c r="AH66" s="97"/>
      <c r="AI66" s="97"/>
      <c r="AJ66" s="97"/>
      <c r="AK66" s="97"/>
      <c r="AL66" s="97"/>
    </row>
    <row r="67" spans="1:38" ht="30" customHeight="1" x14ac:dyDescent="0.3">
      <c r="A67" s="106"/>
      <c r="B67" s="106"/>
      <c r="C67" s="106"/>
      <c r="D67" s="106"/>
      <c r="E67" s="106"/>
      <c r="F67" s="106"/>
      <c r="G67" s="106"/>
      <c r="H67" s="325" t="s">
        <v>936</v>
      </c>
      <c r="I67" s="326"/>
      <c r="J67" s="326"/>
      <c r="K67" s="326"/>
      <c r="L67" s="326"/>
      <c r="M67" s="326"/>
      <c r="N67" s="326"/>
      <c r="O67" s="326"/>
      <c r="P67" s="326"/>
      <c r="Q67" s="326"/>
      <c r="R67" s="326"/>
      <c r="S67" s="326"/>
      <c r="T67" s="326"/>
      <c r="U67" s="326"/>
      <c r="V67" s="326"/>
      <c r="W67" s="326"/>
      <c r="X67" s="326"/>
      <c r="Y67" s="136"/>
      <c r="Z67" s="97"/>
      <c r="AA67" s="97"/>
      <c r="AB67" s="97"/>
      <c r="AC67" s="97"/>
      <c r="AD67" s="97"/>
      <c r="AE67" s="97"/>
      <c r="AF67" s="97"/>
      <c r="AG67" s="97"/>
      <c r="AH67" s="97"/>
      <c r="AI67" s="97"/>
      <c r="AJ67" s="97"/>
      <c r="AK67" s="97"/>
      <c r="AL67" s="97"/>
    </row>
    <row r="68" spans="1:38" ht="30" customHeight="1" x14ac:dyDescent="0.3">
      <c r="A68" s="106"/>
      <c r="B68" s="106"/>
      <c r="C68" s="106"/>
      <c r="D68" s="106"/>
      <c r="E68" s="106"/>
      <c r="F68" s="106"/>
      <c r="G68" s="106"/>
      <c r="H68" s="327" t="s">
        <v>1000</v>
      </c>
      <c r="I68" s="328"/>
      <c r="J68" s="328"/>
      <c r="K68" s="328"/>
      <c r="L68" s="328"/>
      <c r="M68" s="328"/>
      <c r="N68" s="328"/>
      <c r="O68" s="328"/>
      <c r="P68" s="328"/>
      <c r="Q68" s="328"/>
      <c r="R68" s="328"/>
      <c r="S68" s="328"/>
      <c r="T68" s="328"/>
      <c r="U68" s="328"/>
      <c r="V68" s="328"/>
      <c r="W68" s="328"/>
      <c r="X68" s="328"/>
      <c r="Y68" s="136"/>
      <c r="Z68" s="97"/>
      <c r="AA68" s="97"/>
      <c r="AB68" s="97"/>
      <c r="AC68" s="97"/>
      <c r="AD68" s="97"/>
      <c r="AE68" s="97"/>
      <c r="AF68" s="97"/>
      <c r="AG68" s="97"/>
      <c r="AH68" s="97"/>
      <c r="AI68" s="97"/>
      <c r="AJ68" s="97"/>
      <c r="AK68" s="97"/>
      <c r="AL68" s="97"/>
    </row>
    <row r="69" spans="1:38" ht="30" customHeight="1" x14ac:dyDescent="0.3">
      <c r="A69" s="106"/>
      <c r="B69" s="106"/>
      <c r="C69" s="106"/>
      <c r="D69" s="106"/>
      <c r="E69" s="106"/>
      <c r="F69" s="106"/>
      <c r="G69" s="106"/>
      <c r="H69" s="327"/>
      <c r="I69" s="328"/>
      <c r="J69" s="328"/>
      <c r="K69" s="328"/>
      <c r="L69" s="328"/>
      <c r="M69" s="328"/>
      <c r="N69" s="328"/>
      <c r="O69" s="328"/>
      <c r="P69" s="328"/>
      <c r="Q69" s="328"/>
      <c r="R69" s="328"/>
      <c r="S69" s="328"/>
      <c r="T69" s="328"/>
      <c r="U69" s="328"/>
      <c r="V69" s="328"/>
      <c r="W69" s="328"/>
      <c r="X69" s="328"/>
      <c r="Y69" s="136"/>
      <c r="Z69" s="103"/>
      <c r="AA69" s="97"/>
      <c r="AB69" s="97"/>
      <c r="AC69" s="97"/>
      <c r="AD69" s="97"/>
      <c r="AE69" s="97"/>
      <c r="AF69" s="97"/>
      <c r="AG69" s="97"/>
      <c r="AH69" s="97"/>
      <c r="AI69" s="97"/>
      <c r="AJ69" s="97"/>
      <c r="AK69" s="97"/>
      <c r="AL69" s="97"/>
    </row>
    <row r="70" spans="1:38" ht="30" customHeight="1" x14ac:dyDescent="0.3">
      <c r="A70" s="106"/>
      <c r="B70" s="106"/>
      <c r="C70" s="106"/>
      <c r="D70" s="106"/>
      <c r="E70" s="106"/>
      <c r="F70" s="106"/>
      <c r="G70" s="106"/>
      <c r="H70" s="329" t="s">
        <v>971</v>
      </c>
      <c r="I70" s="330"/>
      <c r="J70" s="330"/>
      <c r="K70" s="330"/>
      <c r="L70" s="330"/>
      <c r="M70" s="330"/>
      <c r="N70" s="330"/>
      <c r="O70" s="330"/>
      <c r="P70" s="330"/>
      <c r="Q70" s="330"/>
      <c r="R70" s="330"/>
      <c r="S70" s="330"/>
      <c r="T70" s="330"/>
      <c r="U70" s="330"/>
      <c r="V70" s="330"/>
      <c r="W70" s="330"/>
      <c r="X70" s="330"/>
      <c r="Y70" s="136"/>
      <c r="Z70" s="103"/>
      <c r="AA70" s="97"/>
      <c r="AB70" s="97"/>
      <c r="AC70" s="97"/>
      <c r="AD70" s="97"/>
      <c r="AE70" s="97"/>
      <c r="AF70" s="97"/>
      <c r="AG70" s="97"/>
      <c r="AH70" s="97"/>
      <c r="AI70" s="97"/>
      <c r="AJ70" s="97"/>
      <c r="AK70" s="97"/>
      <c r="AL70" s="97"/>
    </row>
    <row r="71" spans="1:38" ht="30" customHeight="1" x14ac:dyDescent="0.3">
      <c r="A71" s="106"/>
      <c r="B71" s="106"/>
      <c r="C71" s="106"/>
      <c r="D71" s="106"/>
      <c r="E71" s="106"/>
      <c r="F71" s="106"/>
      <c r="G71" s="106"/>
      <c r="H71" s="329"/>
      <c r="I71" s="330"/>
      <c r="J71" s="330"/>
      <c r="K71" s="330"/>
      <c r="L71" s="330"/>
      <c r="M71" s="330"/>
      <c r="N71" s="330"/>
      <c r="O71" s="330"/>
      <c r="P71" s="330"/>
      <c r="Q71" s="330"/>
      <c r="R71" s="330"/>
      <c r="S71" s="330"/>
      <c r="T71" s="330"/>
      <c r="U71" s="330"/>
      <c r="V71" s="330"/>
      <c r="W71" s="330"/>
      <c r="X71" s="330"/>
      <c r="Y71" s="136"/>
      <c r="Z71" s="103"/>
      <c r="AA71" s="97"/>
      <c r="AB71" s="97"/>
      <c r="AC71" s="97"/>
      <c r="AD71" s="97"/>
      <c r="AE71" s="97"/>
      <c r="AF71" s="97"/>
      <c r="AG71" s="97"/>
      <c r="AH71" s="97"/>
      <c r="AI71" s="97"/>
      <c r="AJ71" s="97"/>
      <c r="AK71" s="97"/>
      <c r="AL71" s="97"/>
    </row>
    <row r="72" spans="1:38" ht="30" customHeight="1" x14ac:dyDescent="0.3">
      <c r="A72" s="106"/>
      <c r="B72" s="106"/>
      <c r="C72" s="106"/>
      <c r="D72" s="106"/>
      <c r="E72" s="106"/>
      <c r="F72" s="106"/>
      <c r="G72" s="106"/>
      <c r="H72" s="331"/>
      <c r="I72" s="332"/>
      <c r="J72" s="332"/>
      <c r="K72" s="332"/>
      <c r="L72" s="332"/>
      <c r="M72" s="332"/>
      <c r="N72" s="332"/>
      <c r="O72" s="332"/>
      <c r="P72" s="332"/>
      <c r="Q72" s="332"/>
      <c r="R72" s="332"/>
      <c r="S72" s="332"/>
      <c r="T72" s="332"/>
      <c r="U72" s="332"/>
      <c r="V72" s="332"/>
      <c r="W72" s="332"/>
      <c r="X72" s="332"/>
      <c r="Y72" s="137"/>
      <c r="Z72" s="103"/>
      <c r="AA72" s="97"/>
      <c r="AB72" s="97"/>
      <c r="AC72" s="97"/>
      <c r="AD72" s="97"/>
      <c r="AE72" s="97"/>
      <c r="AF72" s="97"/>
      <c r="AG72" s="97"/>
      <c r="AH72" s="97"/>
      <c r="AI72" s="97"/>
      <c r="AJ72" s="97"/>
      <c r="AK72" s="97"/>
      <c r="AL72" s="97"/>
    </row>
    <row r="73" spans="1:38" ht="30" customHeight="1" x14ac:dyDescent="0.3">
      <c r="A73" s="106"/>
      <c r="B73" s="106"/>
      <c r="C73" s="106"/>
      <c r="D73" s="106"/>
      <c r="E73" s="106"/>
      <c r="F73" s="106"/>
      <c r="G73" s="106"/>
      <c r="H73" s="267" t="s">
        <v>915</v>
      </c>
      <c r="I73" s="268"/>
      <c r="J73" s="268"/>
      <c r="K73" s="268"/>
      <c r="L73" s="268"/>
      <c r="M73" s="268"/>
      <c r="N73" s="268"/>
      <c r="O73" s="268"/>
      <c r="P73" s="268"/>
      <c r="Q73" s="268"/>
      <c r="R73" s="268"/>
      <c r="S73" s="268"/>
      <c r="T73" s="268"/>
      <c r="U73" s="268"/>
      <c r="V73" s="268"/>
      <c r="W73" s="268"/>
      <c r="X73" s="268"/>
      <c r="Y73" s="269"/>
      <c r="Z73" s="97"/>
      <c r="AA73" s="97"/>
      <c r="AB73" s="97"/>
      <c r="AC73" s="97"/>
      <c r="AD73" s="97"/>
      <c r="AE73" s="97"/>
      <c r="AF73" s="97"/>
      <c r="AG73" s="97"/>
      <c r="AH73" s="97"/>
      <c r="AI73" s="97"/>
      <c r="AJ73" s="97"/>
      <c r="AK73" s="97"/>
      <c r="AL73" s="97"/>
    </row>
    <row r="74" spans="1:38" ht="30" customHeight="1" x14ac:dyDescent="0.3">
      <c r="A74" s="106"/>
      <c r="B74" s="106"/>
      <c r="C74" s="106"/>
      <c r="D74" s="106"/>
      <c r="E74" s="106"/>
      <c r="F74" s="106"/>
      <c r="G74" s="106"/>
      <c r="H74" s="302" t="s">
        <v>970</v>
      </c>
      <c r="I74" s="303"/>
      <c r="J74" s="303"/>
      <c r="K74" s="303"/>
      <c r="L74" s="303"/>
      <c r="M74" s="303"/>
      <c r="N74" s="303"/>
      <c r="O74" s="303"/>
      <c r="P74" s="303"/>
      <c r="Q74" s="303"/>
      <c r="R74" s="303"/>
      <c r="S74" s="303"/>
      <c r="T74" s="303"/>
      <c r="U74" s="303"/>
      <c r="V74" s="303"/>
      <c r="W74" s="303"/>
      <c r="X74" s="303"/>
      <c r="Y74" s="134"/>
      <c r="Z74" s="97"/>
      <c r="AA74" s="97"/>
      <c r="AB74" s="97"/>
      <c r="AC74" s="97"/>
      <c r="AD74" s="97"/>
      <c r="AE74" s="97"/>
      <c r="AF74" s="97"/>
      <c r="AG74" s="97"/>
      <c r="AH74" s="97"/>
      <c r="AI74" s="97"/>
      <c r="AJ74" s="97"/>
      <c r="AK74" s="97"/>
      <c r="AL74" s="97"/>
    </row>
    <row r="75" spans="1:38" ht="30" customHeight="1" x14ac:dyDescent="0.3">
      <c r="A75" s="106"/>
      <c r="B75" s="106"/>
      <c r="C75" s="106"/>
      <c r="D75" s="106"/>
      <c r="E75" s="106"/>
      <c r="F75" s="106"/>
      <c r="G75" s="106"/>
      <c r="H75" s="314"/>
      <c r="I75" s="315"/>
      <c r="J75" s="315"/>
      <c r="K75" s="315"/>
      <c r="L75" s="315"/>
      <c r="M75" s="315"/>
      <c r="N75" s="315"/>
      <c r="O75" s="315"/>
      <c r="P75" s="315"/>
      <c r="Q75" s="315"/>
      <c r="R75" s="315"/>
      <c r="S75" s="315"/>
      <c r="T75" s="315"/>
      <c r="U75" s="315"/>
      <c r="V75" s="315"/>
      <c r="W75" s="315"/>
      <c r="X75" s="315"/>
      <c r="Y75" s="134"/>
      <c r="Z75" s="97"/>
      <c r="AA75" s="97"/>
      <c r="AB75" s="97"/>
      <c r="AC75" s="97"/>
      <c r="AD75" s="97"/>
      <c r="AE75" s="97"/>
      <c r="AF75" s="97"/>
      <c r="AG75" s="97"/>
      <c r="AH75" s="97"/>
      <c r="AI75" s="97"/>
      <c r="AJ75" s="97"/>
      <c r="AK75" s="97"/>
      <c r="AL75" s="97"/>
    </row>
    <row r="76" spans="1:38" ht="30" customHeight="1" x14ac:dyDescent="0.3">
      <c r="A76" s="106"/>
      <c r="B76" s="106"/>
      <c r="C76" s="106"/>
      <c r="D76" s="106"/>
      <c r="E76" s="106"/>
      <c r="F76" s="106"/>
      <c r="G76" s="106"/>
      <c r="H76" s="314"/>
      <c r="I76" s="315"/>
      <c r="J76" s="315"/>
      <c r="K76" s="315"/>
      <c r="L76" s="315"/>
      <c r="M76" s="315"/>
      <c r="N76" s="315"/>
      <c r="O76" s="315"/>
      <c r="P76" s="315"/>
      <c r="Q76" s="315"/>
      <c r="R76" s="315"/>
      <c r="S76" s="315"/>
      <c r="T76" s="315"/>
      <c r="U76" s="315"/>
      <c r="V76" s="315"/>
      <c r="W76" s="315"/>
      <c r="X76" s="315"/>
      <c r="Y76" s="134"/>
      <c r="Z76" s="97"/>
      <c r="AA76" s="97"/>
      <c r="AB76" s="97"/>
      <c r="AC76" s="97"/>
      <c r="AD76" s="97"/>
      <c r="AE76" s="97"/>
      <c r="AF76" s="97"/>
      <c r="AG76" s="97"/>
      <c r="AH76" s="97"/>
      <c r="AI76" s="97"/>
      <c r="AJ76" s="97"/>
      <c r="AK76" s="97"/>
      <c r="AL76" s="97"/>
    </row>
    <row r="77" spans="1:38" ht="30" customHeight="1" x14ac:dyDescent="0.3">
      <c r="A77" s="106"/>
      <c r="B77" s="106"/>
      <c r="C77" s="106"/>
      <c r="D77" s="106"/>
      <c r="E77" s="106"/>
      <c r="F77" s="106"/>
      <c r="G77" s="106"/>
      <c r="H77" s="314"/>
      <c r="I77" s="315"/>
      <c r="J77" s="315"/>
      <c r="K77" s="315"/>
      <c r="L77" s="315"/>
      <c r="M77" s="315"/>
      <c r="N77" s="315"/>
      <c r="O77" s="315"/>
      <c r="P77" s="315"/>
      <c r="Q77" s="315"/>
      <c r="R77" s="315"/>
      <c r="S77" s="315"/>
      <c r="T77" s="315"/>
      <c r="U77" s="315"/>
      <c r="V77" s="315"/>
      <c r="W77" s="315"/>
      <c r="X77" s="315"/>
      <c r="Y77" s="134"/>
      <c r="Z77" s="97"/>
      <c r="AA77" s="97"/>
      <c r="AB77" s="97"/>
      <c r="AC77" s="97"/>
      <c r="AD77" s="97"/>
      <c r="AE77" s="97"/>
      <c r="AF77" s="97"/>
      <c r="AG77" s="97"/>
      <c r="AH77" s="97"/>
      <c r="AI77" s="97"/>
      <c r="AJ77" s="97"/>
      <c r="AK77" s="97"/>
      <c r="AL77" s="97"/>
    </row>
    <row r="78" spans="1:38" ht="30" customHeight="1" x14ac:dyDescent="0.3">
      <c r="A78" s="106"/>
      <c r="B78" s="106"/>
      <c r="C78" s="106"/>
      <c r="D78" s="106"/>
      <c r="E78" s="106"/>
      <c r="F78" s="106"/>
      <c r="G78" s="106"/>
      <c r="H78" s="304"/>
      <c r="I78" s="305"/>
      <c r="J78" s="305"/>
      <c r="K78" s="305"/>
      <c r="L78" s="305"/>
      <c r="M78" s="305"/>
      <c r="N78" s="305"/>
      <c r="O78" s="305"/>
      <c r="P78" s="305"/>
      <c r="Q78" s="305"/>
      <c r="R78" s="305"/>
      <c r="S78" s="305"/>
      <c r="T78" s="305"/>
      <c r="U78" s="305"/>
      <c r="V78" s="305"/>
      <c r="W78" s="305"/>
      <c r="X78" s="305"/>
      <c r="Y78" s="135"/>
      <c r="Z78" s="97"/>
      <c r="AA78" s="97"/>
      <c r="AB78" s="97"/>
      <c r="AC78" s="97"/>
      <c r="AD78" s="97"/>
      <c r="AE78" s="97"/>
      <c r="AF78" s="97"/>
      <c r="AG78" s="97"/>
      <c r="AH78" s="97"/>
      <c r="AI78" s="97"/>
      <c r="AJ78" s="97"/>
      <c r="AK78" s="97"/>
      <c r="AL78" s="97"/>
    </row>
    <row r="79" spans="1:38" ht="30" customHeight="1" x14ac:dyDescent="0.3">
      <c r="A79" s="106"/>
      <c r="B79" s="106"/>
      <c r="C79" s="106"/>
      <c r="D79" s="106"/>
      <c r="E79" s="106"/>
      <c r="F79" s="106"/>
      <c r="G79" s="106"/>
      <c r="H79" s="270" t="s">
        <v>914</v>
      </c>
      <c r="I79" s="271"/>
      <c r="J79" s="271"/>
      <c r="K79" s="271"/>
      <c r="L79" s="272" t="s">
        <v>913</v>
      </c>
      <c r="M79" s="273"/>
      <c r="N79" s="273"/>
      <c r="O79" s="273"/>
      <c r="P79" s="273"/>
      <c r="Q79" s="273"/>
      <c r="R79" s="274"/>
      <c r="S79" s="273" t="s">
        <v>955</v>
      </c>
      <c r="T79" s="273"/>
      <c r="U79" s="273"/>
      <c r="V79" s="273"/>
      <c r="W79" s="273"/>
      <c r="X79" s="273"/>
      <c r="Y79" s="274"/>
      <c r="Z79" s="97"/>
      <c r="AA79" s="97"/>
      <c r="AB79" s="97"/>
      <c r="AC79" s="97"/>
      <c r="AD79" s="97"/>
      <c r="AE79" s="97"/>
      <c r="AF79" s="97"/>
      <c r="AG79" s="97"/>
      <c r="AH79" s="97"/>
      <c r="AI79" s="97"/>
      <c r="AJ79" s="97"/>
      <c r="AK79" s="97"/>
      <c r="AL79" s="97"/>
    </row>
    <row r="80" spans="1:38" ht="30" customHeight="1" x14ac:dyDescent="0.3">
      <c r="A80" s="106"/>
      <c r="B80" s="106"/>
      <c r="C80" s="106"/>
      <c r="D80" s="106"/>
      <c r="E80" s="106"/>
      <c r="F80" s="106"/>
      <c r="G80" s="106"/>
      <c r="H80" s="219" t="s">
        <v>912</v>
      </c>
      <c r="I80" s="220"/>
      <c r="J80" s="220"/>
      <c r="K80" s="220"/>
      <c r="L80" s="316" t="s">
        <v>911</v>
      </c>
      <c r="M80" s="317"/>
      <c r="N80" s="317"/>
      <c r="O80" s="317"/>
      <c r="P80" s="317"/>
      <c r="Q80" s="317"/>
      <c r="R80" s="322"/>
      <c r="S80" s="316" t="s">
        <v>947</v>
      </c>
      <c r="T80" s="317"/>
      <c r="U80" s="317"/>
      <c r="V80" s="317"/>
      <c r="W80" s="317"/>
      <c r="X80" s="317"/>
      <c r="Y80" s="252"/>
      <c r="Z80" s="97"/>
      <c r="AA80" s="97"/>
      <c r="AB80" s="97"/>
      <c r="AC80" s="97"/>
      <c r="AD80" s="97"/>
      <c r="AE80" s="97"/>
      <c r="AF80" s="97"/>
      <c r="AG80" s="97"/>
      <c r="AH80" s="97"/>
      <c r="AI80" s="97"/>
      <c r="AJ80" s="97"/>
      <c r="AK80" s="97"/>
      <c r="AL80" s="97"/>
    </row>
    <row r="81" spans="1:38" ht="30" customHeight="1" x14ac:dyDescent="0.3">
      <c r="A81" s="106"/>
      <c r="B81" s="106"/>
      <c r="C81" s="106"/>
      <c r="D81" s="106"/>
      <c r="E81" s="106"/>
      <c r="F81" s="106"/>
      <c r="G81" s="106"/>
      <c r="H81" s="219"/>
      <c r="I81" s="220"/>
      <c r="J81" s="220"/>
      <c r="K81" s="220"/>
      <c r="L81" s="318"/>
      <c r="M81" s="319"/>
      <c r="N81" s="319"/>
      <c r="O81" s="319"/>
      <c r="P81" s="319"/>
      <c r="Q81" s="319"/>
      <c r="R81" s="323"/>
      <c r="S81" s="318"/>
      <c r="T81" s="319"/>
      <c r="U81" s="319"/>
      <c r="V81" s="319"/>
      <c r="W81" s="319"/>
      <c r="X81" s="319"/>
      <c r="Y81" s="253"/>
      <c r="Z81" s="97"/>
      <c r="AA81" s="97"/>
      <c r="AB81" s="97"/>
      <c r="AC81" s="97"/>
      <c r="AD81" s="97"/>
      <c r="AE81" s="97"/>
      <c r="AF81" s="97"/>
      <c r="AG81" s="97"/>
      <c r="AH81" s="97"/>
      <c r="AI81" s="97"/>
      <c r="AJ81" s="97"/>
      <c r="AK81" s="97"/>
      <c r="AL81" s="97"/>
    </row>
    <row r="82" spans="1:38" ht="30" customHeight="1" x14ac:dyDescent="0.3">
      <c r="A82" s="106"/>
      <c r="B82" s="106"/>
      <c r="C82" s="106"/>
      <c r="D82" s="106"/>
      <c r="E82" s="106"/>
      <c r="F82" s="106"/>
      <c r="G82" s="106"/>
      <c r="H82" s="219"/>
      <c r="I82" s="220"/>
      <c r="J82" s="220"/>
      <c r="K82" s="220"/>
      <c r="L82" s="320"/>
      <c r="M82" s="321"/>
      <c r="N82" s="321"/>
      <c r="O82" s="321"/>
      <c r="P82" s="321"/>
      <c r="Q82" s="321"/>
      <c r="R82" s="324"/>
      <c r="S82" s="320"/>
      <c r="T82" s="321"/>
      <c r="U82" s="321"/>
      <c r="V82" s="321"/>
      <c r="W82" s="321"/>
      <c r="X82" s="321"/>
      <c r="Y82" s="254"/>
      <c r="Z82" s="97"/>
      <c r="AA82" s="97"/>
      <c r="AB82" s="97"/>
      <c r="AC82" s="97"/>
      <c r="AD82" s="97"/>
      <c r="AE82" s="97"/>
      <c r="AF82" s="97"/>
      <c r="AG82" s="97"/>
      <c r="AH82" s="97"/>
      <c r="AI82" s="97"/>
      <c r="AJ82" s="97"/>
      <c r="AK82" s="97"/>
      <c r="AL82" s="97"/>
    </row>
    <row r="83" spans="1:38" ht="30" customHeight="1" x14ac:dyDescent="0.3">
      <c r="A83" s="106"/>
      <c r="B83" s="106"/>
      <c r="C83" s="106"/>
      <c r="D83" s="106"/>
      <c r="E83" s="106"/>
      <c r="F83" s="106"/>
      <c r="G83" s="106"/>
      <c r="H83" s="247" t="s">
        <v>910</v>
      </c>
      <c r="I83" s="248"/>
      <c r="J83" s="248"/>
      <c r="K83" s="248"/>
      <c r="L83" s="255" t="s">
        <v>909</v>
      </c>
      <c r="M83" s="256"/>
      <c r="N83" s="256"/>
      <c r="O83" s="256"/>
      <c r="P83" s="256"/>
      <c r="Q83" s="256"/>
      <c r="R83" s="261"/>
      <c r="S83" s="255" t="s">
        <v>948</v>
      </c>
      <c r="T83" s="256"/>
      <c r="U83" s="256"/>
      <c r="V83" s="256"/>
      <c r="W83" s="256"/>
      <c r="X83" s="256"/>
      <c r="Y83" s="264"/>
      <c r="Z83" s="97"/>
      <c r="AA83" s="97"/>
      <c r="AB83" s="97"/>
      <c r="AC83" s="97"/>
      <c r="AD83" s="97"/>
      <c r="AE83" s="97"/>
      <c r="AF83" s="97"/>
      <c r="AG83" s="97"/>
      <c r="AH83" s="97"/>
      <c r="AI83" s="97"/>
      <c r="AJ83" s="97"/>
      <c r="AK83" s="97"/>
      <c r="AL83" s="97"/>
    </row>
    <row r="84" spans="1:38" ht="30" customHeight="1" x14ac:dyDescent="0.3">
      <c r="A84" s="106"/>
      <c r="B84" s="106"/>
      <c r="C84" s="106"/>
      <c r="D84" s="106"/>
      <c r="E84" s="106"/>
      <c r="F84" s="106"/>
      <c r="G84" s="106"/>
      <c r="H84" s="247"/>
      <c r="I84" s="248"/>
      <c r="J84" s="248"/>
      <c r="K84" s="248"/>
      <c r="L84" s="257"/>
      <c r="M84" s="258"/>
      <c r="N84" s="258"/>
      <c r="O84" s="258"/>
      <c r="P84" s="258"/>
      <c r="Q84" s="258"/>
      <c r="R84" s="262"/>
      <c r="S84" s="257"/>
      <c r="T84" s="258"/>
      <c r="U84" s="258"/>
      <c r="V84" s="258"/>
      <c r="W84" s="258"/>
      <c r="X84" s="258"/>
      <c r="Y84" s="265"/>
      <c r="Z84" s="97"/>
      <c r="AA84" s="97"/>
      <c r="AB84" s="97"/>
      <c r="AC84" s="97"/>
      <c r="AD84" s="97"/>
      <c r="AE84" s="97"/>
      <c r="AF84" s="97"/>
      <c r="AG84" s="97"/>
      <c r="AH84" s="97"/>
      <c r="AI84" s="97"/>
      <c r="AJ84" s="97"/>
      <c r="AK84" s="97"/>
      <c r="AL84" s="97"/>
    </row>
    <row r="85" spans="1:38" ht="30" customHeight="1" x14ac:dyDescent="0.3">
      <c r="A85" s="106"/>
      <c r="B85" s="106"/>
      <c r="C85" s="106"/>
      <c r="D85" s="106"/>
      <c r="E85" s="106"/>
      <c r="F85" s="106"/>
      <c r="G85" s="106"/>
      <c r="H85" s="247"/>
      <c r="I85" s="248"/>
      <c r="J85" s="248"/>
      <c r="K85" s="248"/>
      <c r="L85" s="259"/>
      <c r="M85" s="260"/>
      <c r="N85" s="260"/>
      <c r="O85" s="260"/>
      <c r="P85" s="260"/>
      <c r="Q85" s="260"/>
      <c r="R85" s="263"/>
      <c r="S85" s="259"/>
      <c r="T85" s="260"/>
      <c r="U85" s="260"/>
      <c r="V85" s="260"/>
      <c r="W85" s="260"/>
      <c r="X85" s="260"/>
      <c r="Y85" s="266"/>
      <c r="Z85" s="97"/>
      <c r="AA85" s="97"/>
      <c r="AB85" s="97"/>
      <c r="AC85" s="97"/>
      <c r="AD85" s="97"/>
      <c r="AE85" s="97"/>
      <c r="AF85" s="97"/>
      <c r="AG85" s="97"/>
      <c r="AH85" s="97"/>
      <c r="AI85" s="97"/>
      <c r="AJ85" s="97"/>
      <c r="AK85" s="97"/>
      <c r="AL85" s="97"/>
    </row>
    <row r="86" spans="1:38" ht="30" customHeight="1" x14ac:dyDescent="0.3">
      <c r="A86" s="106"/>
      <c r="B86" s="106"/>
      <c r="C86" s="106"/>
      <c r="D86" s="106"/>
      <c r="E86" s="106"/>
      <c r="F86" s="106"/>
      <c r="G86" s="106"/>
      <c r="H86" s="219" t="s">
        <v>908</v>
      </c>
      <c r="I86" s="220"/>
      <c r="J86" s="220"/>
      <c r="K86" s="220"/>
      <c r="L86" s="316" t="s">
        <v>907</v>
      </c>
      <c r="M86" s="317"/>
      <c r="N86" s="317"/>
      <c r="O86" s="317"/>
      <c r="P86" s="317"/>
      <c r="Q86" s="317"/>
      <c r="R86" s="322"/>
      <c r="S86" s="316" t="s">
        <v>949</v>
      </c>
      <c r="T86" s="317"/>
      <c r="U86" s="317"/>
      <c r="V86" s="317"/>
      <c r="W86" s="317"/>
      <c r="X86" s="317"/>
      <c r="Y86" s="252"/>
      <c r="Z86" s="97"/>
      <c r="AA86" s="97"/>
      <c r="AB86" s="97"/>
      <c r="AC86" s="97"/>
      <c r="AD86" s="97"/>
      <c r="AE86" s="97"/>
      <c r="AF86" s="97"/>
      <c r="AG86" s="97"/>
      <c r="AH86" s="97"/>
      <c r="AI86" s="97"/>
      <c r="AJ86" s="97"/>
      <c r="AK86" s="97"/>
      <c r="AL86" s="97"/>
    </row>
    <row r="87" spans="1:38" ht="30" customHeight="1" x14ac:dyDescent="0.3">
      <c r="A87" s="106"/>
      <c r="B87" s="106"/>
      <c r="C87" s="106"/>
      <c r="D87" s="106"/>
      <c r="E87" s="106"/>
      <c r="F87" s="106"/>
      <c r="G87" s="106"/>
      <c r="H87" s="219"/>
      <c r="I87" s="220"/>
      <c r="J87" s="220"/>
      <c r="K87" s="220"/>
      <c r="L87" s="318"/>
      <c r="M87" s="319"/>
      <c r="N87" s="319"/>
      <c r="O87" s="319"/>
      <c r="P87" s="319"/>
      <c r="Q87" s="319"/>
      <c r="R87" s="323"/>
      <c r="S87" s="318"/>
      <c r="T87" s="319"/>
      <c r="U87" s="319"/>
      <c r="V87" s="319"/>
      <c r="W87" s="319"/>
      <c r="X87" s="319"/>
      <c r="Y87" s="253"/>
      <c r="Z87" s="97"/>
      <c r="AA87" s="97"/>
      <c r="AB87" s="97"/>
      <c r="AC87" s="97"/>
      <c r="AD87" s="97"/>
      <c r="AE87" s="97"/>
      <c r="AF87" s="97"/>
      <c r="AG87" s="97"/>
      <c r="AH87" s="97"/>
      <c r="AI87" s="97"/>
      <c r="AJ87" s="97"/>
      <c r="AK87" s="97"/>
      <c r="AL87" s="97"/>
    </row>
    <row r="88" spans="1:38" ht="30" customHeight="1" x14ac:dyDescent="0.3">
      <c r="A88" s="106"/>
      <c r="B88" s="106"/>
      <c r="C88" s="106"/>
      <c r="D88" s="106"/>
      <c r="E88" s="106"/>
      <c r="F88" s="106"/>
      <c r="G88" s="106"/>
      <c r="H88" s="219"/>
      <c r="I88" s="220"/>
      <c r="J88" s="220"/>
      <c r="K88" s="220"/>
      <c r="L88" s="320"/>
      <c r="M88" s="321"/>
      <c r="N88" s="321"/>
      <c r="O88" s="321"/>
      <c r="P88" s="321"/>
      <c r="Q88" s="321"/>
      <c r="R88" s="324"/>
      <c r="S88" s="320"/>
      <c r="T88" s="321"/>
      <c r="U88" s="321"/>
      <c r="V88" s="321"/>
      <c r="W88" s="321"/>
      <c r="X88" s="321"/>
      <c r="Y88" s="254"/>
      <c r="Z88" s="97"/>
      <c r="AA88" s="97"/>
      <c r="AB88" s="97"/>
      <c r="AC88" s="97"/>
      <c r="AD88" s="97"/>
      <c r="AE88" s="97"/>
      <c r="AF88" s="97"/>
      <c r="AG88" s="97"/>
      <c r="AH88" s="97"/>
      <c r="AI88" s="97"/>
      <c r="AJ88" s="97"/>
      <c r="AK88" s="97"/>
      <c r="AL88" s="97"/>
    </row>
    <row r="89" spans="1:38" ht="30" customHeight="1" x14ac:dyDescent="0.3">
      <c r="A89" s="106"/>
      <c r="B89" s="106"/>
      <c r="C89" s="106"/>
      <c r="D89" s="106"/>
      <c r="E89" s="106"/>
      <c r="F89" s="106"/>
      <c r="G89" s="106"/>
      <c r="H89" s="247" t="s">
        <v>906</v>
      </c>
      <c r="I89" s="248"/>
      <c r="J89" s="248"/>
      <c r="K89" s="248"/>
      <c r="L89" s="255" t="s">
        <v>905</v>
      </c>
      <c r="M89" s="256"/>
      <c r="N89" s="256"/>
      <c r="O89" s="256"/>
      <c r="P89" s="256"/>
      <c r="Q89" s="256"/>
      <c r="R89" s="261"/>
      <c r="S89" s="255" t="s">
        <v>950</v>
      </c>
      <c r="T89" s="256"/>
      <c r="U89" s="256"/>
      <c r="V89" s="256"/>
      <c r="W89" s="256"/>
      <c r="X89" s="256"/>
      <c r="Y89" s="264"/>
      <c r="Z89" s="97"/>
      <c r="AA89" s="97"/>
      <c r="AB89" s="97"/>
      <c r="AC89" s="97"/>
      <c r="AD89" s="97"/>
      <c r="AE89" s="97"/>
      <c r="AF89" s="97"/>
      <c r="AG89" s="97"/>
      <c r="AH89" s="97"/>
      <c r="AI89" s="97"/>
      <c r="AJ89" s="97"/>
      <c r="AK89" s="97"/>
      <c r="AL89" s="97"/>
    </row>
    <row r="90" spans="1:38" ht="30" customHeight="1" x14ac:dyDescent="0.3">
      <c r="A90" s="106"/>
      <c r="B90" s="106"/>
      <c r="C90" s="106"/>
      <c r="D90" s="106"/>
      <c r="E90" s="106"/>
      <c r="F90" s="106"/>
      <c r="G90" s="106"/>
      <c r="H90" s="247"/>
      <c r="I90" s="248"/>
      <c r="J90" s="248"/>
      <c r="K90" s="248"/>
      <c r="L90" s="257"/>
      <c r="M90" s="258"/>
      <c r="N90" s="258"/>
      <c r="O90" s="258"/>
      <c r="P90" s="258"/>
      <c r="Q90" s="258"/>
      <c r="R90" s="262"/>
      <c r="S90" s="257"/>
      <c r="T90" s="258"/>
      <c r="U90" s="258"/>
      <c r="V90" s="258"/>
      <c r="W90" s="258"/>
      <c r="X90" s="258"/>
      <c r="Y90" s="265"/>
      <c r="Z90" s="97"/>
      <c r="AA90" s="97"/>
      <c r="AB90" s="97"/>
      <c r="AC90" s="97"/>
      <c r="AD90" s="97"/>
      <c r="AE90" s="97"/>
      <c r="AF90" s="97"/>
      <c r="AG90" s="97"/>
      <c r="AH90" s="97"/>
      <c r="AI90" s="97"/>
      <c r="AJ90" s="97"/>
      <c r="AK90" s="97"/>
      <c r="AL90" s="97"/>
    </row>
    <row r="91" spans="1:38" ht="30" customHeight="1" x14ac:dyDescent="0.3">
      <c r="A91" s="106"/>
      <c r="B91" s="106"/>
      <c r="C91" s="106"/>
      <c r="D91" s="106"/>
      <c r="E91" s="106"/>
      <c r="F91" s="106"/>
      <c r="G91" s="106"/>
      <c r="H91" s="247"/>
      <c r="I91" s="248"/>
      <c r="J91" s="248"/>
      <c r="K91" s="248"/>
      <c r="L91" s="259"/>
      <c r="M91" s="260"/>
      <c r="N91" s="260"/>
      <c r="O91" s="260"/>
      <c r="P91" s="260"/>
      <c r="Q91" s="260"/>
      <c r="R91" s="263"/>
      <c r="S91" s="259"/>
      <c r="T91" s="260"/>
      <c r="U91" s="260"/>
      <c r="V91" s="260"/>
      <c r="W91" s="260"/>
      <c r="X91" s="260"/>
      <c r="Y91" s="266"/>
      <c r="Z91" s="97"/>
      <c r="AA91" s="97"/>
      <c r="AB91" s="97"/>
      <c r="AC91" s="97"/>
      <c r="AD91" s="97"/>
      <c r="AE91" s="97"/>
      <c r="AF91" s="97"/>
      <c r="AG91" s="97"/>
      <c r="AH91" s="97"/>
      <c r="AI91" s="97"/>
      <c r="AJ91" s="97"/>
      <c r="AK91" s="97"/>
      <c r="AL91" s="97"/>
    </row>
    <row r="92" spans="1:38" ht="30" customHeight="1" x14ac:dyDescent="0.3">
      <c r="A92" s="106"/>
      <c r="B92" s="106"/>
      <c r="C92" s="106"/>
      <c r="D92" s="106"/>
      <c r="E92" s="106"/>
      <c r="F92" s="106"/>
      <c r="G92" s="106"/>
      <c r="H92" s="219" t="s">
        <v>904</v>
      </c>
      <c r="I92" s="220"/>
      <c r="J92" s="220"/>
      <c r="K92" s="220"/>
      <c r="L92" s="316" t="s">
        <v>903</v>
      </c>
      <c r="M92" s="317"/>
      <c r="N92" s="317"/>
      <c r="O92" s="317"/>
      <c r="P92" s="317"/>
      <c r="Q92" s="317"/>
      <c r="R92" s="322"/>
      <c r="S92" s="316" t="s">
        <v>951</v>
      </c>
      <c r="T92" s="317"/>
      <c r="U92" s="317"/>
      <c r="V92" s="317"/>
      <c r="W92" s="317"/>
      <c r="X92" s="317"/>
      <c r="Y92" s="252"/>
      <c r="Z92" s="97"/>
      <c r="AA92" s="97"/>
      <c r="AB92" s="97"/>
      <c r="AC92" s="97"/>
      <c r="AD92" s="97"/>
      <c r="AE92" s="97"/>
      <c r="AF92" s="97"/>
      <c r="AG92" s="97"/>
      <c r="AH92" s="97"/>
      <c r="AI92" s="97"/>
      <c r="AJ92" s="97"/>
      <c r="AK92" s="97"/>
      <c r="AL92" s="97"/>
    </row>
    <row r="93" spans="1:38" ht="30" customHeight="1" x14ac:dyDescent="0.3">
      <c r="A93" s="106"/>
      <c r="B93" s="106"/>
      <c r="C93" s="106"/>
      <c r="D93" s="106"/>
      <c r="E93" s="106"/>
      <c r="F93" s="106"/>
      <c r="G93" s="106"/>
      <c r="H93" s="219"/>
      <c r="I93" s="220"/>
      <c r="J93" s="220"/>
      <c r="K93" s="220"/>
      <c r="L93" s="318"/>
      <c r="M93" s="319"/>
      <c r="N93" s="319"/>
      <c r="O93" s="319"/>
      <c r="P93" s="319"/>
      <c r="Q93" s="319"/>
      <c r="R93" s="323"/>
      <c r="S93" s="318"/>
      <c r="T93" s="319"/>
      <c r="U93" s="319"/>
      <c r="V93" s="319"/>
      <c r="W93" s="319"/>
      <c r="X93" s="319"/>
      <c r="Y93" s="253"/>
      <c r="Z93" s="97"/>
      <c r="AA93" s="97"/>
      <c r="AB93" s="97"/>
      <c r="AC93" s="97"/>
      <c r="AD93" s="97"/>
      <c r="AE93" s="97"/>
      <c r="AF93" s="97"/>
      <c r="AG93" s="97"/>
      <c r="AH93" s="97"/>
      <c r="AI93" s="97"/>
      <c r="AJ93" s="97"/>
      <c r="AK93" s="97"/>
      <c r="AL93" s="97"/>
    </row>
    <row r="94" spans="1:38" ht="30" customHeight="1" x14ac:dyDescent="0.3">
      <c r="A94" s="106"/>
      <c r="B94" s="106"/>
      <c r="C94" s="106"/>
      <c r="D94" s="106"/>
      <c r="E94" s="106"/>
      <c r="F94" s="106"/>
      <c r="G94" s="106"/>
      <c r="H94" s="219"/>
      <c r="I94" s="220"/>
      <c r="J94" s="220"/>
      <c r="K94" s="220"/>
      <c r="L94" s="320"/>
      <c r="M94" s="321"/>
      <c r="N94" s="321"/>
      <c r="O94" s="321"/>
      <c r="P94" s="321"/>
      <c r="Q94" s="321"/>
      <c r="R94" s="324"/>
      <c r="S94" s="320"/>
      <c r="T94" s="321"/>
      <c r="U94" s="321"/>
      <c r="V94" s="321"/>
      <c r="W94" s="321"/>
      <c r="X94" s="321"/>
      <c r="Y94" s="254"/>
      <c r="Z94" s="97"/>
      <c r="AA94" s="97"/>
      <c r="AB94" s="97"/>
      <c r="AC94" s="97"/>
      <c r="AD94" s="97"/>
      <c r="AE94" s="97"/>
      <c r="AF94" s="97"/>
      <c r="AG94" s="97"/>
      <c r="AH94" s="97"/>
      <c r="AI94" s="97"/>
      <c r="AJ94" s="97"/>
      <c r="AK94" s="97"/>
      <c r="AL94" s="97"/>
    </row>
    <row r="95" spans="1:38" ht="30" customHeight="1" x14ac:dyDescent="0.3">
      <c r="A95" s="106"/>
      <c r="B95" s="106"/>
      <c r="C95" s="106"/>
      <c r="D95" s="106"/>
      <c r="E95" s="106"/>
      <c r="F95" s="106"/>
      <c r="G95" s="106"/>
      <c r="H95" s="247" t="s">
        <v>902</v>
      </c>
      <c r="I95" s="248"/>
      <c r="J95" s="248"/>
      <c r="K95" s="248"/>
      <c r="L95" s="255" t="s">
        <v>901</v>
      </c>
      <c r="M95" s="256"/>
      <c r="N95" s="256"/>
      <c r="O95" s="256"/>
      <c r="P95" s="256"/>
      <c r="Q95" s="256"/>
      <c r="R95" s="261"/>
      <c r="S95" s="255" t="s">
        <v>952</v>
      </c>
      <c r="T95" s="256"/>
      <c r="U95" s="256"/>
      <c r="V95" s="256"/>
      <c r="W95" s="256"/>
      <c r="X95" s="256"/>
      <c r="Y95" s="264"/>
      <c r="Z95" s="97"/>
      <c r="AA95" s="97"/>
      <c r="AB95" s="97"/>
      <c r="AC95" s="97"/>
      <c r="AD95" s="97"/>
      <c r="AE95" s="97"/>
      <c r="AF95" s="97"/>
      <c r="AG95" s="97"/>
      <c r="AH95" s="97"/>
      <c r="AI95" s="97"/>
      <c r="AJ95" s="97"/>
      <c r="AK95" s="97"/>
      <c r="AL95" s="97"/>
    </row>
    <row r="96" spans="1:38" ht="30" customHeight="1" x14ac:dyDescent="0.3">
      <c r="A96" s="106"/>
      <c r="B96" s="106"/>
      <c r="C96" s="106"/>
      <c r="D96" s="106"/>
      <c r="E96" s="106"/>
      <c r="F96" s="106"/>
      <c r="G96" s="106"/>
      <c r="H96" s="247"/>
      <c r="I96" s="248"/>
      <c r="J96" s="248"/>
      <c r="K96" s="248"/>
      <c r="L96" s="257"/>
      <c r="M96" s="258"/>
      <c r="N96" s="258"/>
      <c r="O96" s="258"/>
      <c r="P96" s="258"/>
      <c r="Q96" s="258"/>
      <c r="R96" s="262"/>
      <c r="S96" s="257"/>
      <c r="T96" s="258"/>
      <c r="U96" s="258"/>
      <c r="V96" s="258"/>
      <c r="W96" s="258"/>
      <c r="X96" s="258"/>
      <c r="Y96" s="265"/>
      <c r="Z96" s="97"/>
      <c r="AA96" s="97"/>
      <c r="AB96" s="97"/>
      <c r="AC96" s="97"/>
      <c r="AD96" s="97"/>
      <c r="AE96" s="97"/>
      <c r="AF96" s="97"/>
      <c r="AG96" s="97"/>
      <c r="AH96" s="97"/>
      <c r="AI96" s="97"/>
      <c r="AJ96" s="97"/>
      <c r="AK96" s="97"/>
      <c r="AL96" s="97"/>
    </row>
    <row r="97" spans="1:38" ht="30" customHeight="1" x14ac:dyDescent="0.3">
      <c r="A97" s="106"/>
      <c r="B97" s="106"/>
      <c r="C97" s="106"/>
      <c r="D97" s="106"/>
      <c r="E97" s="106"/>
      <c r="F97" s="106"/>
      <c r="G97" s="106"/>
      <c r="H97" s="247"/>
      <c r="I97" s="248"/>
      <c r="J97" s="248"/>
      <c r="K97" s="248"/>
      <c r="L97" s="259"/>
      <c r="M97" s="260"/>
      <c r="N97" s="260"/>
      <c r="O97" s="260"/>
      <c r="P97" s="260"/>
      <c r="Q97" s="260"/>
      <c r="R97" s="263"/>
      <c r="S97" s="259"/>
      <c r="T97" s="260"/>
      <c r="U97" s="260"/>
      <c r="V97" s="260"/>
      <c r="W97" s="260"/>
      <c r="X97" s="260"/>
      <c r="Y97" s="266"/>
      <c r="Z97" s="97"/>
      <c r="AA97" s="97"/>
      <c r="AB97" s="97"/>
      <c r="AC97" s="97"/>
      <c r="AD97" s="97"/>
      <c r="AE97" s="97"/>
      <c r="AF97" s="97"/>
      <c r="AG97" s="97"/>
      <c r="AH97" s="97"/>
      <c r="AI97" s="97"/>
      <c r="AJ97" s="97"/>
      <c r="AK97" s="97"/>
      <c r="AL97" s="97"/>
    </row>
    <row r="98" spans="1:38" ht="30" customHeight="1" x14ac:dyDescent="0.3">
      <c r="A98" s="106"/>
      <c r="B98" s="106"/>
      <c r="C98" s="106"/>
      <c r="D98" s="106"/>
      <c r="E98" s="106"/>
      <c r="F98" s="106"/>
      <c r="G98" s="106"/>
      <c r="H98" s="104"/>
      <c r="I98" s="104"/>
      <c r="J98" s="104"/>
      <c r="K98" s="104"/>
      <c r="L98" s="104"/>
      <c r="M98" s="104"/>
      <c r="N98" s="104"/>
      <c r="O98" s="104"/>
      <c r="P98" s="104"/>
      <c r="Q98" s="104"/>
      <c r="R98" s="104"/>
      <c r="S98" s="104"/>
      <c r="T98" s="104"/>
      <c r="U98" s="104"/>
      <c r="V98" s="104"/>
      <c r="W98" s="104"/>
      <c r="X98" s="104"/>
      <c r="Y98" s="104"/>
      <c r="Z98" s="97"/>
      <c r="AA98" s="97"/>
      <c r="AB98" s="97"/>
      <c r="AC98" s="97"/>
      <c r="AD98" s="97"/>
      <c r="AE98" s="97"/>
      <c r="AF98" s="97"/>
      <c r="AG98" s="97"/>
      <c r="AH98" s="97"/>
      <c r="AI98" s="97"/>
      <c r="AJ98" s="97"/>
      <c r="AK98" s="97"/>
      <c r="AL98" s="97"/>
    </row>
    <row r="99" spans="1:38" ht="30" customHeight="1" x14ac:dyDescent="0.3">
      <c r="A99" s="106"/>
      <c r="B99" s="106"/>
      <c r="C99" s="106"/>
      <c r="D99" s="106"/>
      <c r="E99" s="106"/>
      <c r="F99" s="106"/>
      <c r="G99" s="106"/>
      <c r="H99" s="104"/>
      <c r="I99" s="104"/>
      <c r="J99" s="104"/>
      <c r="K99" s="104"/>
      <c r="L99" s="104"/>
      <c r="M99" s="104"/>
      <c r="N99" s="104"/>
      <c r="O99" s="104"/>
      <c r="P99" s="104"/>
      <c r="Q99" s="104"/>
      <c r="R99" s="104"/>
      <c r="S99" s="104"/>
      <c r="T99" s="104"/>
      <c r="U99" s="104"/>
      <c r="V99" s="104"/>
      <c r="W99" s="104"/>
      <c r="X99" s="104"/>
      <c r="Y99" s="104"/>
      <c r="Z99" s="97"/>
      <c r="AA99" s="97"/>
      <c r="AB99" s="97"/>
      <c r="AC99" s="97"/>
      <c r="AD99" s="97"/>
      <c r="AE99" s="97"/>
      <c r="AF99" s="97"/>
      <c r="AG99" s="97"/>
      <c r="AH99" s="97"/>
      <c r="AI99" s="97"/>
      <c r="AJ99" s="97"/>
      <c r="AK99" s="97"/>
    </row>
  </sheetData>
  <sheetProtection algorithmName="SHA-512" hashValue="k4Dzw5TKAZhotIm/OflyyxbI4SWz5lmKq0By+ACyw3uRyw4aYZXqfHkxpc5ijLM6ibJt6vi42/V3ngGeSWFrZQ==" saltValue="2/2fb45azauJKKueBwZIXg==" spinCount="100000" sheet="1" objects="1" scenarios="1" formatCells="0" formatColumns="0" formatRows="0"/>
  <mergeCells count="127">
    <mergeCell ref="P21:P23"/>
    <mergeCell ref="L95:Q97"/>
    <mergeCell ref="R95:R97"/>
    <mergeCell ref="S95:X97"/>
    <mergeCell ref="H67:X67"/>
    <mergeCell ref="H68:X69"/>
    <mergeCell ref="H70:X72"/>
    <mergeCell ref="H62:X65"/>
    <mergeCell ref="H56:X57"/>
    <mergeCell ref="H58:X59"/>
    <mergeCell ref="H60:X61"/>
    <mergeCell ref="L92:Q94"/>
    <mergeCell ref="R92:R94"/>
    <mergeCell ref="S92:X94"/>
    <mergeCell ref="Q33:X35"/>
    <mergeCell ref="Q36:X38"/>
    <mergeCell ref="Q39:X40"/>
    <mergeCell ref="Q41:X42"/>
    <mergeCell ref="Q43:X45"/>
    <mergeCell ref="P24:P26"/>
    <mergeCell ref="P27:P29"/>
    <mergeCell ref="H53:X55"/>
    <mergeCell ref="H50:X52"/>
    <mergeCell ref="H47:X49"/>
    <mergeCell ref="Q24:X26"/>
    <mergeCell ref="Q27:X29"/>
    <mergeCell ref="Q30:X32"/>
    <mergeCell ref="P39:P40"/>
    <mergeCell ref="P41:P42"/>
    <mergeCell ref="P43:P45"/>
    <mergeCell ref="H39:O40"/>
    <mergeCell ref="H41:O42"/>
    <mergeCell ref="H43:O45"/>
    <mergeCell ref="P30:P32"/>
    <mergeCell ref="P33:P35"/>
    <mergeCell ref="H30:O32"/>
    <mergeCell ref="H33:O35"/>
    <mergeCell ref="H36:O38"/>
    <mergeCell ref="S89:X91"/>
    <mergeCell ref="Y89:Y91"/>
    <mergeCell ref="L80:Q82"/>
    <mergeCell ref="R80:R82"/>
    <mergeCell ref="S80:X82"/>
    <mergeCell ref="H74:X78"/>
    <mergeCell ref="Y80:Y82"/>
    <mergeCell ref="L86:Q88"/>
    <mergeCell ref="R86:R88"/>
    <mergeCell ref="S86:X88"/>
    <mergeCell ref="Y86:Y88"/>
    <mergeCell ref="H1:Y2"/>
    <mergeCell ref="H3:Y3"/>
    <mergeCell ref="AA7:AK8"/>
    <mergeCell ref="AA5:AK6"/>
    <mergeCell ref="AA2:AK3"/>
    <mergeCell ref="AA1:AK1"/>
    <mergeCell ref="AA4:AK4"/>
    <mergeCell ref="H7:Y7"/>
    <mergeCell ref="H4:X6"/>
    <mergeCell ref="Y4:Y6"/>
    <mergeCell ref="H8:X11"/>
    <mergeCell ref="Y8:Y11"/>
    <mergeCell ref="AA9:AK9"/>
    <mergeCell ref="AA15:AK16"/>
    <mergeCell ref="AA18:AK18"/>
    <mergeCell ref="AA10:AK11"/>
    <mergeCell ref="AA12:AK13"/>
    <mergeCell ref="AA17:AK17"/>
    <mergeCell ref="AA14:AK14"/>
    <mergeCell ref="AA19:AK20"/>
    <mergeCell ref="H17:P17"/>
    <mergeCell ref="H18:O20"/>
    <mergeCell ref="Y18:Y20"/>
    <mergeCell ref="Q18:X20"/>
    <mergeCell ref="H12:X14"/>
    <mergeCell ref="Y12:Y14"/>
    <mergeCell ref="H15:X16"/>
    <mergeCell ref="Y15:Y16"/>
    <mergeCell ref="Q17:Y17"/>
    <mergeCell ref="P18:P20"/>
    <mergeCell ref="H95:K97"/>
    <mergeCell ref="H92:K94"/>
    <mergeCell ref="H89:K91"/>
    <mergeCell ref="H86:K88"/>
    <mergeCell ref="H83:K85"/>
    <mergeCell ref="H46:Y46"/>
    <mergeCell ref="Y92:Y94"/>
    <mergeCell ref="L83:Q85"/>
    <mergeCell ref="R83:R85"/>
    <mergeCell ref="S83:X85"/>
    <mergeCell ref="Y83:Y85"/>
    <mergeCell ref="H73:Y73"/>
    <mergeCell ref="H79:K79"/>
    <mergeCell ref="L79:R79"/>
    <mergeCell ref="S79:Y79"/>
    <mergeCell ref="Y47:Y49"/>
    <mergeCell ref="Y50:Y52"/>
    <mergeCell ref="Y53:Y55"/>
    <mergeCell ref="Y56:Y57"/>
    <mergeCell ref="Y58:Y59"/>
    <mergeCell ref="Y60:Y61"/>
    <mergeCell ref="Y95:Y97"/>
    <mergeCell ref="L89:Q91"/>
    <mergeCell ref="R89:R91"/>
    <mergeCell ref="Y33:Y35"/>
    <mergeCell ref="Y36:Y38"/>
    <mergeCell ref="AA28:AK29"/>
    <mergeCell ref="AA25:AK26"/>
    <mergeCell ref="AA21:AK21"/>
    <mergeCell ref="AA24:AK24"/>
    <mergeCell ref="AA27:AK27"/>
    <mergeCell ref="AA22:AK23"/>
    <mergeCell ref="H80:K82"/>
    <mergeCell ref="H66:Y66"/>
    <mergeCell ref="H24:O26"/>
    <mergeCell ref="H27:O29"/>
    <mergeCell ref="Y24:Y26"/>
    <mergeCell ref="Y27:Y29"/>
    <mergeCell ref="Y30:Y32"/>
    <mergeCell ref="AA47:AK49"/>
    <mergeCell ref="AA59:AK61"/>
    <mergeCell ref="H21:O23"/>
    <mergeCell ref="Y21:Y23"/>
    <mergeCell ref="Q21:X23"/>
    <mergeCell ref="Y39:Y40"/>
    <mergeCell ref="Y41:Y42"/>
    <mergeCell ref="Y43:Y45"/>
    <mergeCell ref="P36:P38"/>
  </mergeCells>
  <hyperlinks>
    <hyperlink ref="AA22" r:id="rId1" location="p-200.1_x000a_(Indirect%20(facilities%20%26amp%3B%20administrative%20_x000a_(F%26amp%3BA))%20costs)" xr:uid="{3D05D0A6-44B6-44B0-95DD-F4A832FD5AF1}"/>
    <hyperlink ref="AA19" r:id="rId2" location="p-200.1_x000a_(Research%20and%20Development%20(R%26amp%3BD))" xr:uid="{2FA9AEC9-7AE9-414C-A36A-221A25156529}"/>
    <hyperlink ref="AA17" r:id="rId3" xr:uid="{5C139FA7-E646-4FBE-BA9E-D8077C1D8112}"/>
    <hyperlink ref="AA14" r:id="rId4" xr:uid="{D493792D-ABC4-4578-8B74-D436676CF6EA}"/>
    <hyperlink ref="AA10" r:id="rId5" xr:uid="{E4572BE6-F15D-4361-AC82-0AD1D194F177}"/>
    <hyperlink ref="AA4" r:id="rId6" location="61.0662" xr:uid="{BDDC2055-7FD9-4D14-8EF8-5FBB61EB831E}"/>
    <hyperlink ref="AA25" r:id="rId7" location="p-200.1_x000a_(State)" xr:uid="{EB2D4252-DE0B-4050-AFFA-16ED2638B510}"/>
    <hyperlink ref="AA28" r:id="rId8" location="p-200.1_x000a_(Nonprofit%20organization)" xr:uid="{77A25C5C-2850-49D6-9E92-B4BF6ACBAA18}"/>
    <hyperlink ref="AA7" r:id="rId9" xr:uid="{A167E11C-1644-4CF1-ADE9-7EED4875AF92}"/>
  </hyperlinks>
  <pageMargins left="0.5" right="0.5" top="0.75" bottom="0.5" header="0.3" footer="0.3"/>
  <pageSetup scale="25" fitToHeight="0" orientation="portrait" r:id="rId10"/>
  <rowBreaks count="2" manualBreakCount="2">
    <brk id="44" max="16383" man="1"/>
    <brk id="72" max="16383" man="1"/>
  </rowBreaks>
  <drawing r:id="rId1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75BA69-63C7-4850-BEA1-60D6BAB20462}">
  <sheetPr codeName="Sheet4">
    <tabColor theme="6"/>
  </sheetPr>
  <dimension ref="A1:BD91"/>
  <sheetViews>
    <sheetView zoomScale="80" zoomScaleNormal="80" workbookViewId="0"/>
  </sheetViews>
  <sheetFormatPr defaultColWidth="8.90625" defaultRowHeight="15.6" x14ac:dyDescent="0.3"/>
  <cols>
    <col min="1" max="46" width="6.6328125" style="143" customWidth="1"/>
    <col min="47" max="56" width="6.6328125" style="156" customWidth="1"/>
    <col min="57" max="16384" width="8.90625" style="156"/>
  </cols>
  <sheetData>
    <row r="1" spans="1:56" ht="30" customHeight="1" x14ac:dyDescent="0.3">
      <c r="A1" s="142"/>
      <c r="B1" s="142"/>
      <c r="C1" s="142"/>
      <c r="D1" s="142"/>
      <c r="E1" s="142"/>
      <c r="F1" s="142"/>
      <c r="G1" s="142"/>
      <c r="H1" s="455"/>
      <c r="I1" s="455"/>
      <c r="J1" s="455"/>
      <c r="K1" s="455"/>
      <c r="L1" s="455"/>
      <c r="M1" s="455"/>
      <c r="N1" s="455"/>
      <c r="O1" s="455"/>
      <c r="P1" s="455"/>
      <c r="Q1" s="455"/>
      <c r="R1" s="455"/>
      <c r="S1" s="455"/>
      <c r="T1" s="455"/>
      <c r="U1" s="142"/>
      <c r="V1" s="142"/>
      <c r="W1" s="142"/>
      <c r="X1" s="142"/>
      <c r="Y1" s="142"/>
      <c r="Z1" s="142"/>
      <c r="AA1" s="142"/>
      <c r="AB1" s="142"/>
      <c r="AC1" s="142"/>
      <c r="AD1" s="142"/>
      <c r="AE1" s="142"/>
      <c r="AF1" s="142"/>
      <c r="AG1" s="142"/>
      <c r="AH1" s="142"/>
      <c r="AI1" s="142"/>
      <c r="AJ1" s="142"/>
      <c r="AK1" s="142"/>
      <c r="AL1" s="142"/>
      <c r="AM1" s="142"/>
      <c r="AN1" s="142"/>
      <c r="AO1" s="142"/>
      <c r="AP1" s="142"/>
      <c r="AQ1" s="142"/>
      <c r="AR1" s="142"/>
      <c r="AS1" s="142"/>
      <c r="AT1" s="142"/>
      <c r="AU1" s="155"/>
      <c r="AV1" s="155"/>
      <c r="AW1" s="155"/>
      <c r="AX1" s="155"/>
      <c r="AY1" s="155"/>
      <c r="AZ1" s="155"/>
      <c r="BA1" s="155"/>
      <c r="BB1" s="155"/>
      <c r="BC1" s="155"/>
      <c r="BD1" s="155"/>
    </row>
    <row r="2" spans="1:56" ht="30" customHeight="1" x14ac:dyDescent="0.3">
      <c r="A2" s="142"/>
      <c r="B2" s="142"/>
      <c r="C2" s="142"/>
      <c r="D2" s="142"/>
      <c r="E2" s="142"/>
      <c r="F2" s="142"/>
      <c r="G2" s="142"/>
      <c r="H2" s="456" t="str">
        <f>IF(ISBLANK(H1),"▲ Select from dropdown menu ▲",VLOOKUP(H1,Index[],2,FALSE))</f>
        <v>▲ Select from dropdown menu ▲</v>
      </c>
      <c r="I2" s="457"/>
      <c r="J2" s="457"/>
      <c r="K2" s="457"/>
      <c r="L2" s="457"/>
      <c r="M2" s="457"/>
      <c r="N2" s="457"/>
      <c r="O2" s="457"/>
      <c r="P2" s="457"/>
      <c r="Q2" s="457"/>
      <c r="R2" s="457"/>
      <c r="S2" s="457"/>
      <c r="T2" s="457"/>
      <c r="U2" s="142"/>
      <c r="V2" s="142"/>
      <c r="W2" s="142"/>
      <c r="X2" s="142"/>
      <c r="Y2" s="142"/>
      <c r="Z2" s="142"/>
      <c r="AA2" s="142"/>
      <c r="AB2" s="142"/>
      <c r="AC2" s="142"/>
      <c r="AD2" s="142"/>
      <c r="AE2" s="142"/>
      <c r="AF2" s="142"/>
      <c r="AG2" s="142"/>
      <c r="AH2" s="142"/>
      <c r="AI2" s="142"/>
      <c r="AJ2" s="142"/>
      <c r="AK2" s="142"/>
      <c r="AL2" s="142"/>
      <c r="AM2" s="142"/>
      <c r="AN2" s="142"/>
      <c r="AO2" s="142"/>
      <c r="AP2" s="142"/>
      <c r="AQ2" s="142"/>
      <c r="AR2" s="142"/>
      <c r="AS2" s="142"/>
      <c r="AT2" s="142"/>
      <c r="AU2" s="155"/>
      <c r="AV2" s="155"/>
      <c r="AW2" s="155"/>
      <c r="AX2" s="155"/>
      <c r="AY2" s="155"/>
      <c r="AZ2" s="155"/>
      <c r="BA2" s="155"/>
      <c r="BB2" s="155"/>
      <c r="BC2" s="155"/>
      <c r="BD2" s="155"/>
    </row>
    <row r="3" spans="1:56" ht="30" customHeight="1" x14ac:dyDescent="0.3">
      <c r="A3" s="142"/>
      <c r="B3" s="142"/>
      <c r="C3" s="142"/>
      <c r="D3" s="142"/>
      <c r="E3" s="142"/>
      <c r="F3" s="142"/>
      <c r="G3" s="142"/>
      <c r="H3" s="458" t="s">
        <v>273</v>
      </c>
      <c r="I3" s="459"/>
      <c r="J3" s="459"/>
      <c r="K3" s="459"/>
      <c r="L3" s="459"/>
      <c r="M3" s="459"/>
      <c r="N3" s="459"/>
      <c r="O3" s="459"/>
      <c r="P3" s="459"/>
      <c r="Q3" s="459"/>
      <c r="R3" s="459"/>
      <c r="S3" s="459"/>
      <c r="T3" s="459"/>
      <c r="U3" s="142"/>
      <c r="V3" s="142"/>
      <c r="W3" s="142"/>
      <c r="X3" s="142"/>
      <c r="Y3" s="142"/>
      <c r="Z3" s="142"/>
      <c r="AA3" s="142"/>
      <c r="AB3" s="142"/>
      <c r="AC3" s="142"/>
      <c r="AD3" s="142"/>
      <c r="AE3" s="142"/>
      <c r="AF3" s="142"/>
      <c r="AG3" s="142"/>
      <c r="AH3" s="142"/>
      <c r="AI3" s="142"/>
      <c r="AJ3" s="142"/>
      <c r="AK3" s="142"/>
      <c r="AL3" s="142"/>
      <c r="AM3" s="142"/>
      <c r="AN3" s="142"/>
      <c r="AO3" s="142"/>
      <c r="AP3" s="142"/>
      <c r="AQ3" s="142"/>
      <c r="AR3" s="142"/>
      <c r="AS3" s="142"/>
      <c r="AT3" s="142"/>
      <c r="AU3" s="155"/>
      <c r="AV3" s="155"/>
      <c r="AW3" s="155"/>
      <c r="AX3" s="155"/>
      <c r="AY3" s="155"/>
      <c r="AZ3" s="155"/>
      <c r="BA3" s="155"/>
      <c r="BB3" s="155"/>
      <c r="BC3" s="155"/>
      <c r="BD3" s="155"/>
    </row>
    <row r="4" spans="1:56" ht="30" customHeight="1" x14ac:dyDescent="0.3">
      <c r="A4" s="142"/>
      <c r="B4" s="142"/>
      <c r="C4" s="142"/>
      <c r="D4" s="142"/>
      <c r="E4" s="142"/>
      <c r="F4" s="142"/>
      <c r="G4" s="142"/>
      <c r="H4" s="376" t="s">
        <v>701</v>
      </c>
      <c r="I4" s="376"/>
      <c r="J4" s="376"/>
      <c r="K4" s="376"/>
      <c r="L4" s="376"/>
      <c r="M4" s="376"/>
      <c r="N4" s="376"/>
      <c r="O4" s="376"/>
      <c r="P4" s="376"/>
      <c r="Q4" s="376"/>
      <c r="R4" s="376"/>
      <c r="S4" s="376"/>
      <c r="T4" s="376"/>
      <c r="U4" s="376"/>
      <c r="V4" s="376"/>
      <c r="W4" s="376"/>
      <c r="X4" s="376"/>
      <c r="Y4" s="376"/>
      <c r="Z4" s="376"/>
      <c r="AA4" s="376"/>
      <c r="AB4" s="376"/>
      <c r="AC4" s="376"/>
      <c r="AD4" s="376"/>
      <c r="AE4" s="376"/>
      <c r="AF4" s="376"/>
      <c r="AG4" s="376"/>
      <c r="AH4" s="376"/>
      <c r="AI4" s="376"/>
      <c r="AJ4" s="376"/>
      <c r="AK4" s="376"/>
      <c r="AL4" s="376"/>
      <c r="AM4" s="376"/>
      <c r="AN4" s="376"/>
      <c r="AO4" s="376"/>
      <c r="AP4" s="376"/>
      <c r="AQ4" s="376"/>
      <c r="AR4" s="376"/>
      <c r="AS4" s="142"/>
      <c r="AT4" s="142"/>
      <c r="AU4" s="155"/>
      <c r="AV4" s="155"/>
      <c r="AW4" s="155"/>
      <c r="AX4" s="155"/>
      <c r="AY4" s="155"/>
      <c r="AZ4" s="155"/>
      <c r="BA4" s="155"/>
      <c r="BB4" s="155"/>
      <c r="BC4" s="155"/>
      <c r="BD4" s="155"/>
    </row>
    <row r="5" spans="1:56" ht="30" customHeight="1" x14ac:dyDescent="0.3">
      <c r="A5" s="142"/>
      <c r="B5" s="142"/>
      <c r="C5" s="142"/>
      <c r="D5" s="142"/>
      <c r="E5" s="142"/>
      <c r="F5" s="142"/>
      <c r="G5" s="142"/>
      <c r="H5" s="376"/>
      <c r="I5" s="376"/>
      <c r="J5" s="376"/>
      <c r="K5" s="376"/>
      <c r="L5" s="376"/>
      <c r="M5" s="376"/>
      <c r="N5" s="376"/>
      <c r="O5" s="376"/>
      <c r="P5" s="376"/>
      <c r="Q5" s="376"/>
      <c r="R5" s="376"/>
      <c r="S5" s="376"/>
      <c r="T5" s="376"/>
      <c r="U5" s="376"/>
      <c r="V5" s="376"/>
      <c r="W5" s="376"/>
      <c r="X5" s="376"/>
      <c r="Y5" s="376"/>
      <c r="Z5" s="376"/>
      <c r="AA5" s="376"/>
      <c r="AB5" s="376"/>
      <c r="AC5" s="376"/>
      <c r="AD5" s="376"/>
      <c r="AE5" s="376"/>
      <c r="AF5" s="376"/>
      <c r="AG5" s="376"/>
      <c r="AH5" s="376"/>
      <c r="AI5" s="376"/>
      <c r="AJ5" s="376"/>
      <c r="AK5" s="376"/>
      <c r="AL5" s="376"/>
      <c r="AM5" s="376"/>
      <c r="AN5" s="376"/>
      <c r="AO5" s="376"/>
      <c r="AP5" s="376"/>
      <c r="AQ5" s="376"/>
      <c r="AR5" s="376"/>
      <c r="AS5" s="142"/>
      <c r="AT5" s="142"/>
      <c r="AU5" s="155"/>
      <c r="AV5" s="155"/>
      <c r="AW5" s="155"/>
      <c r="AX5" s="155"/>
      <c r="AY5" s="155"/>
      <c r="AZ5" s="155"/>
      <c r="BA5" s="155"/>
      <c r="BB5" s="155"/>
      <c r="BC5" s="155"/>
      <c r="BD5" s="155"/>
    </row>
    <row r="6" spans="1:56" ht="30" customHeight="1" x14ac:dyDescent="0.3">
      <c r="A6" s="142"/>
      <c r="B6" s="142"/>
      <c r="C6" s="142"/>
      <c r="D6" s="142"/>
      <c r="E6" s="142"/>
      <c r="F6" s="142"/>
      <c r="G6" s="142"/>
      <c r="H6" s="376"/>
      <c r="I6" s="376"/>
      <c r="J6" s="376"/>
      <c r="K6" s="376"/>
      <c r="L6" s="376"/>
      <c r="M6" s="376"/>
      <c r="N6" s="376"/>
      <c r="O6" s="376"/>
      <c r="P6" s="376"/>
      <c r="Q6" s="376"/>
      <c r="R6" s="376"/>
      <c r="S6" s="376"/>
      <c r="T6" s="376"/>
      <c r="U6" s="376"/>
      <c r="V6" s="376"/>
      <c r="W6" s="376"/>
      <c r="X6" s="376"/>
      <c r="Y6" s="376"/>
      <c r="Z6" s="376"/>
      <c r="AA6" s="376"/>
      <c r="AB6" s="376"/>
      <c r="AC6" s="376"/>
      <c r="AD6" s="376"/>
      <c r="AE6" s="376"/>
      <c r="AF6" s="376"/>
      <c r="AG6" s="376"/>
      <c r="AH6" s="376"/>
      <c r="AI6" s="376"/>
      <c r="AJ6" s="376"/>
      <c r="AK6" s="376"/>
      <c r="AL6" s="376"/>
      <c r="AM6" s="376"/>
      <c r="AN6" s="376"/>
      <c r="AO6" s="376"/>
      <c r="AP6" s="376"/>
      <c r="AQ6" s="376"/>
      <c r="AR6" s="376"/>
      <c r="AS6" s="142"/>
      <c r="AT6" s="142"/>
      <c r="AU6" s="155"/>
      <c r="AV6" s="155"/>
      <c r="AW6" s="155"/>
      <c r="AX6" s="155"/>
      <c r="AY6" s="155"/>
      <c r="AZ6" s="155"/>
      <c r="BA6" s="155"/>
      <c r="BB6" s="155"/>
      <c r="BC6" s="155"/>
      <c r="BD6" s="155"/>
    </row>
    <row r="7" spans="1:56" ht="30" customHeight="1" x14ac:dyDescent="0.3">
      <c r="A7" s="142"/>
      <c r="B7" s="142"/>
      <c r="C7" s="142"/>
      <c r="D7" s="142"/>
      <c r="E7" s="142"/>
      <c r="F7" s="142"/>
      <c r="G7" s="142"/>
      <c r="H7" s="377" t="s">
        <v>251</v>
      </c>
      <c r="I7" s="378"/>
      <c r="J7" s="378"/>
      <c r="K7" s="378"/>
      <c r="L7" s="378"/>
      <c r="M7" s="378"/>
      <c r="N7" s="378"/>
      <c r="O7" s="378"/>
      <c r="P7" s="378"/>
      <c r="Q7" s="378"/>
      <c r="R7" s="378"/>
      <c r="S7" s="378"/>
      <c r="T7" s="378"/>
      <c r="U7" s="378"/>
      <c r="V7" s="378"/>
      <c r="W7" s="378"/>
      <c r="X7" s="378"/>
      <c r="Y7" s="378"/>
      <c r="Z7" s="378"/>
      <c r="AA7" s="378"/>
      <c r="AB7" s="378"/>
      <c r="AC7" s="378"/>
      <c r="AD7" s="378"/>
      <c r="AE7" s="378"/>
      <c r="AF7" s="378"/>
      <c r="AG7" s="378"/>
      <c r="AH7" s="378"/>
      <c r="AI7" s="378"/>
      <c r="AJ7" s="378"/>
      <c r="AK7" s="378"/>
      <c r="AL7" s="378"/>
      <c r="AM7" s="378"/>
      <c r="AN7" s="378"/>
      <c r="AO7" s="378"/>
      <c r="AP7" s="378"/>
      <c r="AQ7" s="378"/>
      <c r="AR7" s="379"/>
      <c r="AS7" s="142"/>
      <c r="AT7" s="142"/>
      <c r="AU7" s="343" t="s">
        <v>702</v>
      </c>
      <c r="AV7" s="344"/>
      <c r="AW7" s="344"/>
      <c r="AX7" s="344"/>
      <c r="AY7" s="344"/>
      <c r="AZ7" s="344"/>
      <c r="BA7" s="345"/>
      <c r="BB7" s="155"/>
      <c r="BC7" s="155"/>
      <c r="BD7" s="155"/>
    </row>
    <row r="8" spans="1:56" ht="30" customHeight="1" x14ac:dyDescent="0.3">
      <c r="A8" s="142"/>
      <c r="B8" s="142"/>
      <c r="C8" s="142"/>
      <c r="D8" s="142"/>
      <c r="E8" s="142"/>
      <c r="F8" s="142"/>
      <c r="G8" s="142"/>
      <c r="H8" s="380" t="s">
        <v>699</v>
      </c>
      <c r="I8" s="380"/>
      <c r="J8" s="380"/>
      <c r="K8" s="380"/>
      <c r="L8" s="380"/>
      <c r="M8" s="380"/>
      <c r="N8" s="380"/>
      <c r="O8" s="380"/>
      <c r="P8" s="380"/>
      <c r="Q8" s="380"/>
      <c r="R8" s="380"/>
      <c r="S8" s="380"/>
      <c r="T8" s="380"/>
      <c r="U8" s="380"/>
      <c r="V8" s="380"/>
      <c r="W8" s="380"/>
      <c r="X8" s="380"/>
      <c r="Y8" s="380"/>
      <c r="Z8" s="380"/>
      <c r="AA8" s="380"/>
      <c r="AB8" s="380"/>
      <c r="AC8" s="380"/>
      <c r="AD8" s="380"/>
      <c r="AE8" s="380"/>
      <c r="AF8" s="380"/>
      <c r="AG8" s="380"/>
      <c r="AH8" s="380"/>
      <c r="AI8" s="380"/>
      <c r="AJ8" s="380"/>
      <c r="AK8" s="380"/>
      <c r="AL8" s="380"/>
      <c r="AM8" s="380"/>
      <c r="AN8" s="380"/>
      <c r="AO8" s="380"/>
      <c r="AP8" s="380"/>
      <c r="AQ8" s="380"/>
      <c r="AR8" s="142"/>
      <c r="AS8" s="142"/>
      <c r="AT8" s="142"/>
      <c r="AU8" s="346" t="s">
        <v>243</v>
      </c>
      <c r="AV8" s="347"/>
      <c r="AW8" s="347"/>
      <c r="AX8" s="348"/>
      <c r="AY8" s="349">
        <f>SUM(R31)</f>
        <v>0</v>
      </c>
      <c r="AZ8" s="350"/>
      <c r="BA8" s="351"/>
      <c r="BB8" s="155"/>
      <c r="BC8" s="155"/>
      <c r="BD8" s="155"/>
    </row>
    <row r="9" spans="1:56" ht="30" customHeight="1" x14ac:dyDescent="0.3">
      <c r="A9" s="142"/>
      <c r="B9" s="142"/>
      <c r="C9" s="142"/>
      <c r="D9" s="142"/>
      <c r="E9" s="142"/>
      <c r="F9" s="142"/>
      <c r="G9" s="142"/>
      <c r="H9" s="380"/>
      <c r="I9" s="380"/>
      <c r="J9" s="380"/>
      <c r="K9" s="380"/>
      <c r="L9" s="380"/>
      <c r="M9" s="380"/>
      <c r="N9" s="380"/>
      <c r="O9" s="380"/>
      <c r="P9" s="380"/>
      <c r="Q9" s="380"/>
      <c r="R9" s="380"/>
      <c r="S9" s="380"/>
      <c r="T9" s="380"/>
      <c r="U9" s="380"/>
      <c r="V9" s="380"/>
      <c r="W9" s="380"/>
      <c r="X9" s="380"/>
      <c r="Y9" s="380"/>
      <c r="Z9" s="380"/>
      <c r="AA9" s="380"/>
      <c r="AB9" s="380"/>
      <c r="AC9" s="380"/>
      <c r="AD9" s="380"/>
      <c r="AE9" s="380"/>
      <c r="AF9" s="380"/>
      <c r="AG9" s="380"/>
      <c r="AH9" s="380"/>
      <c r="AI9" s="380"/>
      <c r="AJ9" s="380"/>
      <c r="AK9" s="380"/>
      <c r="AL9" s="380"/>
      <c r="AM9" s="380"/>
      <c r="AN9" s="380"/>
      <c r="AO9" s="380"/>
      <c r="AP9" s="380"/>
      <c r="AQ9" s="380"/>
      <c r="AR9" s="142"/>
      <c r="AS9" s="142"/>
      <c r="AT9" s="142"/>
      <c r="AU9" s="352" t="s">
        <v>703</v>
      </c>
      <c r="AV9" s="353"/>
      <c r="AW9" s="353"/>
      <c r="AX9" s="354"/>
      <c r="AY9" s="355">
        <f>SUM(U31:AC31)</f>
        <v>0</v>
      </c>
      <c r="AZ9" s="356"/>
      <c r="BA9" s="357"/>
      <c r="BB9" s="155"/>
      <c r="BC9" s="155"/>
      <c r="BD9" s="155"/>
    </row>
    <row r="10" spans="1:56" ht="30" customHeight="1" x14ac:dyDescent="0.3">
      <c r="A10" s="142"/>
      <c r="B10" s="142"/>
      <c r="C10" s="142"/>
      <c r="D10" s="142"/>
      <c r="E10" s="142"/>
      <c r="F10" s="142"/>
      <c r="G10" s="142"/>
      <c r="H10" s="37"/>
      <c r="I10" s="38"/>
      <c r="J10" s="38"/>
      <c r="K10" s="38"/>
      <c r="L10" s="38"/>
      <c r="M10" s="38"/>
      <c r="N10" s="38"/>
      <c r="O10" s="38"/>
      <c r="P10" s="38"/>
      <c r="Q10" s="38"/>
      <c r="R10" s="111"/>
      <c r="S10" s="112"/>
      <c r="T10" s="113"/>
      <c r="U10" s="381" t="s">
        <v>244</v>
      </c>
      <c r="V10" s="382"/>
      <c r="W10" s="382"/>
      <c r="X10" s="382"/>
      <c r="Y10" s="382"/>
      <c r="Z10" s="382"/>
      <c r="AA10" s="111"/>
      <c r="AB10" s="112"/>
      <c r="AC10" s="113"/>
      <c r="AD10" s="111"/>
      <c r="AE10" s="112"/>
      <c r="AF10" s="113"/>
      <c r="AG10" s="381" t="s">
        <v>246</v>
      </c>
      <c r="AH10" s="382"/>
      <c r="AI10" s="382"/>
      <c r="AJ10" s="382"/>
      <c r="AK10" s="382"/>
      <c r="AL10" s="382"/>
      <c r="AM10" s="382"/>
      <c r="AN10" s="382"/>
      <c r="AO10" s="383"/>
      <c r="AP10" s="111"/>
      <c r="AQ10" s="112"/>
      <c r="AR10" s="114"/>
      <c r="AS10" s="142"/>
      <c r="AT10" s="142"/>
      <c r="AU10" s="352" t="s">
        <v>245</v>
      </c>
      <c r="AV10" s="353"/>
      <c r="AW10" s="353"/>
      <c r="AX10" s="354"/>
      <c r="AY10" s="355">
        <f>SUM(AD31)</f>
        <v>0</v>
      </c>
      <c r="AZ10" s="356"/>
      <c r="BA10" s="357"/>
      <c r="BB10" s="155"/>
      <c r="BC10" s="155"/>
      <c r="BD10" s="155"/>
    </row>
    <row r="11" spans="1:56" ht="30" customHeight="1" thickBot="1" x14ac:dyDescent="0.35">
      <c r="A11" s="142"/>
      <c r="B11" s="142"/>
      <c r="C11" s="142"/>
      <c r="D11" s="142"/>
      <c r="E11" s="142"/>
      <c r="F11" s="142"/>
      <c r="G11" s="142"/>
      <c r="H11" s="389" t="s">
        <v>251</v>
      </c>
      <c r="I11" s="389"/>
      <c r="J11" s="389"/>
      <c r="K11" s="389"/>
      <c r="L11" s="389"/>
      <c r="M11" s="389"/>
      <c r="N11" s="389"/>
      <c r="O11" s="389"/>
      <c r="P11" s="389"/>
      <c r="Q11" s="390"/>
      <c r="R11" s="386" t="s">
        <v>243</v>
      </c>
      <c r="S11" s="387"/>
      <c r="T11" s="388"/>
      <c r="U11" s="384" t="s">
        <v>804</v>
      </c>
      <c r="V11" s="385"/>
      <c r="W11" s="385"/>
      <c r="X11" s="385" t="s">
        <v>805</v>
      </c>
      <c r="Y11" s="385"/>
      <c r="Z11" s="385"/>
      <c r="AA11" s="386" t="s">
        <v>806</v>
      </c>
      <c r="AB11" s="387"/>
      <c r="AC11" s="388"/>
      <c r="AD11" s="386" t="s">
        <v>253</v>
      </c>
      <c r="AE11" s="387"/>
      <c r="AF11" s="388"/>
      <c r="AG11" s="384" t="s">
        <v>248</v>
      </c>
      <c r="AH11" s="385"/>
      <c r="AI11" s="385"/>
      <c r="AJ11" s="385" t="s">
        <v>249</v>
      </c>
      <c r="AK11" s="385"/>
      <c r="AL11" s="385"/>
      <c r="AM11" s="385" t="s">
        <v>250</v>
      </c>
      <c r="AN11" s="385"/>
      <c r="AO11" s="391"/>
      <c r="AP11" s="386" t="s">
        <v>247</v>
      </c>
      <c r="AQ11" s="387"/>
      <c r="AR11" s="392"/>
      <c r="AS11" s="142"/>
      <c r="AT11" s="142"/>
      <c r="AU11" s="358" t="s">
        <v>246</v>
      </c>
      <c r="AV11" s="359"/>
      <c r="AW11" s="359"/>
      <c r="AX11" s="360"/>
      <c r="AY11" s="361">
        <f>SUM(AG31:AO31)</f>
        <v>0</v>
      </c>
      <c r="AZ11" s="362"/>
      <c r="BA11" s="363"/>
      <c r="BB11" s="155"/>
      <c r="BC11" s="155"/>
      <c r="BD11" s="155"/>
    </row>
    <row r="12" spans="1:56" ht="30" customHeight="1" thickTop="1" x14ac:dyDescent="0.3">
      <c r="A12" s="142"/>
      <c r="B12" s="142"/>
      <c r="C12" s="142"/>
      <c r="D12" s="142"/>
      <c r="E12" s="142"/>
      <c r="F12" s="142"/>
      <c r="G12" s="142"/>
      <c r="H12" s="302" t="s">
        <v>254</v>
      </c>
      <c r="I12" s="303"/>
      <c r="J12" s="303"/>
      <c r="K12" s="303"/>
      <c r="L12" s="303"/>
      <c r="M12" s="303"/>
      <c r="N12" s="303"/>
      <c r="O12" s="303"/>
      <c r="P12" s="303"/>
      <c r="Q12" s="138"/>
      <c r="R12" s="402">
        <f>SUMIF(ResearchInput[Institution Name],H1,ResearchInput[Fed.AFR])</f>
        <v>0</v>
      </c>
      <c r="S12" s="403"/>
      <c r="T12" s="404"/>
      <c r="U12" s="405">
        <f>SUMIF(ResearchInput[Institution Name],H1,ResearchInput[St.AFR])</f>
        <v>0</v>
      </c>
      <c r="V12" s="403"/>
      <c r="W12" s="403"/>
      <c r="X12" s="403">
        <f>SUMIF(ResearchInput[Institution Name],H1,ResearchInput[St.C&amp;G.AFR])</f>
        <v>0</v>
      </c>
      <c r="Y12" s="403"/>
      <c r="Z12" s="403"/>
      <c r="AA12" s="403">
        <f>SUMIF(ResearchInput[Institution Name],H1,ResearchInput[St.All.AFR])</f>
        <v>0</v>
      </c>
      <c r="AB12" s="403"/>
      <c r="AC12" s="404"/>
      <c r="AD12" s="402">
        <f>SUMIF(ResearchInput[Institution Name],H1,ResearchInput[Inst.AFR])</f>
        <v>0</v>
      </c>
      <c r="AE12" s="403"/>
      <c r="AF12" s="404"/>
      <c r="AG12" s="405">
        <f>SUMIF(ResearchInput[Institution Name],H1,ResearchInput[P4P.AFR])</f>
        <v>0</v>
      </c>
      <c r="AH12" s="403"/>
      <c r="AI12" s="403"/>
      <c r="AJ12" s="403">
        <f>SUMIF(ResearchInput[Institution Name],H1,ResearchInput[PNP.AFR])</f>
        <v>0</v>
      </c>
      <c r="AK12" s="403"/>
      <c r="AL12" s="403"/>
      <c r="AM12" s="403">
        <f>SUMIF(ResearchInput[Institution Name],H1,ResearchInput[P.All.AFR])</f>
        <v>0</v>
      </c>
      <c r="AN12" s="403"/>
      <c r="AO12" s="406"/>
      <c r="AP12" s="399">
        <f>SUM(R12:AO12)</f>
        <v>0</v>
      </c>
      <c r="AQ12" s="400"/>
      <c r="AR12" s="401"/>
      <c r="AS12" s="142"/>
      <c r="AT12" s="142"/>
      <c r="AU12" s="337" t="s">
        <v>704</v>
      </c>
      <c r="AV12" s="338"/>
      <c r="AW12" s="338"/>
      <c r="AX12" s="339"/>
      <c r="AY12" s="340">
        <f>SUM(AY8,AY11)</f>
        <v>0</v>
      </c>
      <c r="AZ12" s="341"/>
      <c r="BA12" s="342"/>
      <c r="BB12" s="155"/>
      <c r="BC12" s="155"/>
      <c r="BD12" s="155"/>
    </row>
    <row r="13" spans="1:56" ht="30" customHeight="1" x14ac:dyDescent="0.3">
      <c r="A13" s="142"/>
      <c r="B13" s="142"/>
      <c r="C13" s="142"/>
      <c r="D13" s="142"/>
      <c r="E13" s="142"/>
      <c r="F13" s="142"/>
      <c r="G13" s="142"/>
      <c r="H13" s="393" t="s">
        <v>821</v>
      </c>
      <c r="I13" s="394"/>
      <c r="J13" s="394"/>
      <c r="K13" s="394"/>
      <c r="L13" s="394"/>
      <c r="M13" s="394"/>
      <c r="N13" s="394"/>
      <c r="O13" s="394"/>
      <c r="P13" s="394"/>
      <c r="Q13" s="395"/>
      <c r="R13" s="375">
        <f>SUMIF(ResearchInput[Institution Name],H1,ResearchInput[Fed.Not])</f>
        <v>0</v>
      </c>
      <c r="S13" s="371"/>
      <c r="T13" s="372"/>
      <c r="U13" s="373">
        <f>SUMIF(ResearchInput[Institution Name],H1,ResearchInput[St.Not])</f>
        <v>0</v>
      </c>
      <c r="V13" s="371"/>
      <c r="W13" s="371"/>
      <c r="X13" s="371">
        <f>SUMIF(ResearchInput[Institution Name],H1,ResearchInput[St.C&amp;G.Not])</f>
        <v>0</v>
      </c>
      <c r="Y13" s="371"/>
      <c r="Z13" s="371"/>
      <c r="AA13" s="371">
        <f>SUMIF(ResearchInput[Institution Name],H1,ResearchInput[St.All.Not])</f>
        <v>0</v>
      </c>
      <c r="AB13" s="371"/>
      <c r="AC13" s="372"/>
      <c r="AD13" s="375">
        <f>SUMIF(ResearchInput[Institution Name],H1,ResearchInput[Inst.Not])</f>
        <v>0</v>
      </c>
      <c r="AE13" s="371"/>
      <c r="AF13" s="372"/>
      <c r="AG13" s="373">
        <f>SUMIF(ResearchInput[Institution Name],H1,ResearchInput[P4P.Not])</f>
        <v>0</v>
      </c>
      <c r="AH13" s="371"/>
      <c r="AI13" s="371"/>
      <c r="AJ13" s="371">
        <f>SUMIF(ResearchInput[Institution Name],H1,ResearchInput[PNP.Not])</f>
        <v>0</v>
      </c>
      <c r="AK13" s="371"/>
      <c r="AL13" s="371"/>
      <c r="AM13" s="371">
        <f>SUMIF(ResearchInput[Institution Name],H1,ResearchInput[P.All.Not])</f>
        <v>0</v>
      </c>
      <c r="AN13" s="371"/>
      <c r="AO13" s="371"/>
      <c r="AP13" s="396">
        <f>SUM(R13:AO14)</f>
        <v>0</v>
      </c>
      <c r="AQ13" s="397"/>
      <c r="AR13" s="398"/>
      <c r="AS13" s="142"/>
      <c r="AT13" s="142"/>
      <c r="AU13" s="155"/>
      <c r="AV13" s="155"/>
      <c r="AW13" s="155"/>
      <c r="AX13" s="155"/>
      <c r="AY13" s="155"/>
      <c r="AZ13" s="155"/>
      <c r="BA13" s="155"/>
      <c r="BB13" s="155"/>
      <c r="BC13" s="155"/>
      <c r="BD13" s="155"/>
    </row>
    <row r="14" spans="1:56" ht="30" customHeight="1" x14ac:dyDescent="0.3">
      <c r="A14" s="142"/>
      <c r="B14" s="142"/>
      <c r="C14" s="142"/>
      <c r="D14" s="142"/>
      <c r="E14" s="142"/>
      <c r="F14" s="142"/>
      <c r="G14" s="142"/>
      <c r="H14" s="393"/>
      <c r="I14" s="394"/>
      <c r="J14" s="394"/>
      <c r="K14" s="394"/>
      <c r="L14" s="394"/>
      <c r="M14" s="394"/>
      <c r="N14" s="394"/>
      <c r="O14" s="394"/>
      <c r="P14" s="394"/>
      <c r="Q14" s="395"/>
      <c r="R14" s="375"/>
      <c r="S14" s="371"/>
      <c r="T14" s="372"/>
      <c r="U14" s="373"/>
      <c r="V14" s="371"/>
      <c r="W14" s="371"/>
      <c r="X14" s="371"/>
      <c r="Y14" s="371"/>
      <c r="Z14" s="371"/>
      <c r="AA14" s="371"/>
      <c r="AB14" s="371"/>
      <c r="AC14" s="372"/>
      <c r="AD14" s="375"/>
      <c r="AE14" s="371"/>
      <c r="AF14" s="372"/>
      <c r="AG14" s="373"/>
      <c r="AH14" s="371"/>
      <c r="AI14" s="371"/>
      <c r="AJ14" s="371"/>
      <c r="AK14" s="371"/>
      <c r="AL14" s="371"/>
      <c r="AM14" s="371"/>
      <c r="AN14" s="371"/>
      <c r="AO14" s="371"/>
      <c r="AP14" s="396"/>
      <c r="AQ14" s="397"/>
      <c r="AR14" s="398"/>
      <c r="AS14" s="142"/>
      <c r="AT14" s="142"/>
      <c r="AU14" s="155"/>
      <c r="AV14" s="155"/>
      <c r="AW14" s="155"/>
      <c r="AX14" s="155"/>
      <c r="AY14" s="155"/>
      <c r="AZ14" s="155"/>
      <c r="BA14" s="155"/>
      <c r="BB14" s="155"/>
      <c r="BC14" s="155"/>
      <c r="BD14" s="155"/>
    </row>
    <row r="15" spans="1:56" ht="30" customHeight="1" x14ac:dyDescent="0.3">
      <c r="A15" s="142"/>
      <c r="B15" s="142"/>
      <c r="C15" s="142"/>
      <c r="D15" s="142"/>
      <c r="E15" s="142"/>
      <c r="F15" s="142"/>
      <c r="G15" s="142"/>
      <c r="H15" s="409" t="s">
        <v>822</v>
      </c>
      <c r="I15" s="410"/>
      <c r="J15" s="410"/>
      <c r="K15" s="410"/>
      <c r="L15" s="410"/>
      <c r="M15" s="410"/>
      <c r="N15" s="410"/>
      <c r="O15" s="410"/>
      <c r="P15" s="410"/>
      <c r="Q15" s="411"/>
      <c r="R15" s="375">
        <f>SUMIF(ResearchInput[Institution Name],H1,ResearchInput[Fed.Pass])</f>
        <v>0</v>
      </c>
      <c r="S15" s="371"/>
      <c r="T15" s="372"/>
      <c r="U15" s="373">
        <f>SUMIF(ResearchInput[Institution Name],H1,ResearchInput[St.Pass])</f>
        <v>0</v>
      </c>
      <c r="V15" s="371"/>
      <c r="W15" s="371"/>
      <c r="X15" s="371">
        <f>SUMIF(ResearchInput[Institution Name],H1,ResearchInput[St.C&amp;G.Pass])</f>
        <v>0</v>
      </c>
      <c r="Y15" s="371"/>
      <c r="Z15" s="371"/>
      <c r="AA15" s="371">
        <f>SUMIF(ResearchInput[Institution Name],H1,ResearchInput[St.All.Pass])</f>
        <v>0</v>
      </c>
      <c r="AB15" s="371"/>
      <c r="AC15" s="372"/>
      <c r="AD15" s="375">
        <f>SUMIF(ResearchInput[Institution Name],H1,ResearchInput[Inst.Pass])</f>
        <v>0</v>
      </c>
      <c r="AE15" s="371"/>
      <c r="AF15" s="372"/>
      <c r="AG15" s="373">
        <f>SUMIF(ResearchInput[Institution Name],H1,ResearchInput[P4P.Pass])</f>
        <v>0</v>
      </c>
      <c r="AH15" s="371"/>
      <c r="AI15" s="371"/>
      <c r="AJ15" s="371">
        <f>SUMIF(ResearchInput[Institution Name],H1,ResearchInput[PNP.Pass])</f>
        <v>0</v>
      </c>
      <c r="AK15" s="371"/>
      <c r="AL15" s="371"/>
      <c r="AM15" s="371">
        <f>SUMIF(ResearchInput[Institution Name],H1,ResearchInput[P.All.Pass])</f>
        <v>0</v>
      </c>
      <c r="AN15" s="371"/>
      <c r="AO15" s="371"/>
      <c r="AP15" s="396">
        <f>SUM(R15:AO17)</f>
        <v>0</v>
      </c>
      <c r="AQ15" s="397"/>
      <c r="AR15" s="398"/>
      <c r="AS15" s="142"/>
      <c r="AT15" s="142"/>
      <c r="AU15" s="155"/>
      <c r="AV15" s="155"/>
      <c r="AW15" s="155"/>
      <c r="AX15" s="155"/>
      <c r="AY15" s="155"/>
      <c r="AZ15" s="155"/>
      <c r="BA15" s="155"/>
      <c r="BB15" s="155"/>
      <c r="BC15" s="155"/>
      <c r="BD15" s="155"/>
    </row>
    <row r="16" spans="1:56" ht="30" customHeight="1" x14ac:dyDescent="0.3">
      <c r="A16" s="142"/>
      <c r="B16" s="142"/>
      <c r="C16" s="142"/>
      <c r="D16" s="142"/>
      <c r="E16" s="142"/>
      <c r="F16" s="142"/>
      <c r="G16" s="142"/>
      <c r="H16" s="409"/>
      <c r="I16" s="410"/>
      <c r="J16" s="410"/>
      <c r="K16" s="410"/>
      <c r="L16" s="410"/>
      <c r="M16" s="410"/>
      <c r="N16" s="410"/>
      <c r="O16" s="410"/>
      <c r="P16" s="410"/>
      <c r="Q16" s="411"/>
      <c r="R16" s="375"/>
      <c r="S16" s="371"/>
      <c r="T16" s="372"/>
      <c r="U16" s="373"/>
      <c r="V16" s="371"/>
      <c r="W16" s="371"/>
      <c r="X16" s="371"/>
      <c r="Y16" s="371"/>
      <c r="Z16" s="371"/>
      <c r="AA16" s="371"/>
      <c r="AB16" s="371"/>
      <c r="AC16" s="372"/>
      <c r="AD16" s="375"/>
      <c r="AE16" s="371"/>
      <c r="AF16" s="372"/>
      <c r="AG16" s="373"/>
      <c r="AH16" s="371"/>
      <c r="AI16" s="371"/>
      <c r="AJ16" s="371"/>
      <c r="AK16" s="371"/>
      <c r="AL16" s="371"/>
      <c r="AM16" s="371"/>
      <c r="AN16" s="371"/>
      <c r="AO16" s="371"/>
      <c r="AP16" s="396"/>
      <c r="AQ16" s="397"/>
      <c r="AR16" s="398"/>
      <c r="AS16" s="142"/>
      <c r="AT16" s="142"/>
      <c r="AU16" s="155"/>
      <c r="AV16" s="155"/>
      <c r="AW16" s="155"/>
      <c r="AX16" s="155"/>
      <c r="AY16" s="155"/>
      <c r="AZ16" s="155"/>
      <c r="BA16" s="155"/>
      <c r="BB16" s="155"/>
      <c r="BC16" s="155"/>
      <c r="BD16" s="155"/>
    </row>
    <row r="17" spans="1:56" ht="30" customHeight="1" x14ac:dyDescent="0.3">
      <c r="A17" s="142"/>
      <c r="B17" s="142"/>
      <c r="C17" s="142"/>
      <c r="D17" s="142"/>
      <c r="E17" s="142"/>
      <c r="F17" s="142"/>
      <c r="G17" s="142"/>
      <c r="H17" s="409"/>
      <c r="I17" s="410"/>
      <c r="J17" s="410"/>
      <c r="K17" s="410"/>
      <c r="L17" s="410"/>
      <c r="M17" s="410"/>
      <c r="N17" s="410"/>
      <c r="O17" s="410"/>
      <c r="P17" s="410"/>
      <c r="Q17" s="411"/>
      <c r="R17" s="375"/>
      <c r="S17" s="371"/>
      <c r="T17" s="372"/>
      <c r="U17" s="373"/>
      <c r="V17" s="371"/>
      <c r="W17" s="371"/>
      <c r="X17" s="371"/>
      <c r="Y17" s="371"/>
      <c r="Z17" s="371"/>
      <c r="AA17" s="371"/>
      <c r="AB17" s="371"/>
      <c r="AC17" s="372"/>
      <c r="AD17" s="375"/>
      <c r="AE17" s="371"/>
      <c r="AF17" s="372"/>
      <c r="AG17" s="373"/>
      <c r="AH17" s="371"/>
      <c r="AI17" s="371"/>
      <c r="AJ17" s="371"/>
      <c r="AK17" s="371"/>
      <c r="AL17" s="371"/>
      <c r="AM17" s="371"/>
      <c r="AN17" s="371"/>
      <c r="AO17" s="371"/>
      <c r="AP17" s="396"/>
      <c r="AQ17" s="397"/>
      <c r="AR17" s="398"/>
      <c r="AS17" s="142"/>
      <c r="AT17" s="142"/>
      <c r="AU17" s="155"/>
      <c r="AV17" s="155"/>
      <c r="AW17" s="155"/>
      <c r="AX17" s="155"/>
      <c r="AY17" s="155"/>
      <c r="AZ17" s="155"/>
      <c r="BA17" s="155"/>
      <c r="BB17" s="155"/>
      <c r="BC17" s="155"/>
      <c r="BD17" s="155"/>
    </row>
    <row r="18" spans="1:56" ht="30" customHeight="1" x14ac:dyDescent="0.3">
      <c r="A18" s="142"/>
      <c r="B18" s="142"/>
      <c r="C18" s="142"/>
      <c r="D18" s="142"/>
      <c r="E18" s="142"/>
      <c r="F18" s="142"/>
      <c r="G18" s="142"/>
      <c r="H18" s="407" t="s">
        <v>823</v>
      </c>
      <c r="I18" s="408"/>
      <c r="J18" s="408"/>
      <c r="K18" s="408"/>
      <c r="L18" s="408"/>
      <c r="M18" s="408"/>
      <c r="N18" s="408"/>
      <c r="O18" s="408"/>
      <c r="P18" s="408"/>
      <c r="Q18" s="157"/>
      <c r="R18" s="375">
        <f>SUMIF(ResearchInput[Institution Name],H1,ResearchInput[Fed.RecIDC])</f>
        <v>0</v>
      </c>
      <c r="S18" s="371"/>
      <c r="T18" s="372"/>
      <c r="U18" s="373">
        <f>SUMIF(ResearchInput[Institution Name],H1,ResearchInput[St.RecIDC])</f>
        <v>0</v>
      </c>
      <c r="V18" s="371"/>
      <c r="W18" s="371"/>
      <c r="X18" s="371">
        <f>SUMIF(ResearchInput[Institution Name],H1,ResearchInput[St.C&amp;G.RecIDC])</f>
        <v>0</v>
      </c>
      <c r="Y18" s="371"/>
      <c r="Z18" s="371"/>
      <c r="AA18" s="371">
        <f>SUMIF(ResearchInput[Institution Name],H1,ResearchInput[St.All.RecIDC])</f>
        <v>0</v>
      </c>
      <c r="AB18" s="371"/>
      <c r="AC18" s="372"/>
      <c r="AD18" s="375">
        <f>SUMIF(ResearchInput[Institution Name],H1,ResearchInput[Inst.RecIDC])</f>
        <v>0</v>
      </c>
      <c r="AE18" s="371"/>
      <c r="AF18" s="372"/>
      <c r="AG18" s="373">
        <f>SUMIF(ResearchInput[Institution Name],H1,ResearchInput[P4P.RecIDC])</f>
        <v>0</v>
      </c>
      <c r="AH18" s="371"/>
      <c r="AI18" s="371"/>
      <c r="AJ18" s="371">
        <f>SUMIF(ResearchInput[Institution Name],H1,ResearchInput[PNP.RecIDC])</f>
        <v>0</v>
      </c>
      <c r="AK18" s="371"/>
      <c r="AL18" s="371"/>
      <c r="AM18" s="371">
        <f>SUMIF(ResearchInput[Institution Name],H1,ResearchInput[P.All.RecIDC])</f>
        <v>0</v>
      </c>
      <c r="AN18" s="371"/>
      <c r="AO18" s="371"/>
      <c r="AP18" s="396">
        <f>SUM(R18:AO18)</f>
        <v>0</v>
      </c>
      <c r="AQ18" s="397"/>
      <c r="AR18" s="398"/>
      <c r="AS18" s="142"/>
      <c r="AT18" s="142"/>
      <c r="AU18" s="155"/>
      <c r="AV18" s="155"/>
      <c r="AW18" s="155"/>
      <c r="AX18" s="155"/>
      <c r="AY18" s="155"/>
      <c r="AZ18" s="155"/>
      <c r="BA18" s="155"/>
      <c r="BB18" s="155"/>
      <c r="BC18" s="155"/>
      <c r="BD18" s="155"/>
    </row>
    <row r="19" spans="1:56" ht="30" customHeight="1" x14ac:dyDescent="0.3">
      <c r="A19" s="142"/>
      <c r="B19" s="142"/>
      <c r="C19" s="142"/>
      <c r="D19" s="142"/>
      <c r="E19" s="142"/>
      <c r="F19" s="142"/>
      <c r="G19" s="142"/>
      <c r="H19" s="409" t="s">
        <v>824</v>
      </c>
      <c r="I19" s="410"/>
      <c r="J19" s="410"/>
      <c r="K19" s="410"/>
      <c r="L19" s="410"/>
      <c r="M19" s="410"/>
      <c r="N19" s="410"/>
      <c r="O19" s="410"/>
      <c r="P19" s="410"/>
      <c r="Q19" s="411"/>
      <c r="R19" s="375">
        <f>SUMIF(ResearchInput[Institution Name],H1,ResearchInput[Fed.Cap])</f>
        <v>0</v>
      </c>
      <c r="S19" s="371"/>
      <c r="T19" s="372"/>
      <c r="U19" s="373">
        <f>SUMIF(ResearchInput[Institution Name],H1,ResearchInput[St.Cap])</f>
        <v>0</v>
      </c>
      <c r="V19" s="371"/>
      <c r="W19" s="371"/>
      <c r="X19" s="371">
        <f>SUMIF(ResearchInput[Institution Name],H1,ResearchInput[St.C&amp;G.Cap])</f>
        <v>0</v>
      </c>
      <c r="Y19" s="371"/>
      <c r="Z19" s="371"/>
      <c r="AA19" s="371">
        <f>SUMIF(ResearchInput[Institution Name],H1,ResearchInput[St.All.Cap])</f>
        <v>0</v>
      </c>
      <c r="AB19" s="371"/>
      <c r="AC19" s="372"/>
      <c r="AD19" s="375">
        <f>SUMIF(ResearchInput[Institution Name],H1,ResearchInput[Inst.Cap])</f>
        <v>0</v>
      </c>
      <c r="AE19" s="371"/>
      <c r="AF19" s="372"/>
      <c r="AG19" s="373">
        <f>SUMIF(ResearchInput[Institution Name],H1,ResearchInput[P4P.Cap])</f>
        <v>0</v>
      </c>
      <c r="AH19" s="371"/>
      <c r="AI19" s="371"/>
      <c r="AJ19" s="371">
        <f>SUMIF(ResearchInput[Institution Name],H1,ResearchInput[PNP.Cap])</f>
        <v>0</v>
      </c>
      <c r="AK19" s="371"/>
      <c r="AL19" s="371"/>
      <c r="AM19" s="371">
        <f>SUMIF(ResearchInput[Institution Name],H1,ResearchInput[P.All.Cap])</f>
        <v>0</v>
      </c>
      <c r="AN19" s="371"/>
      <c r="AO19" s="371"/>
      <c r="AP19" s="396">
        <f>SUM(R19:AO20)</f>
        <v>0</v>
      </c>
      <c r="AQ19" s="397"/>
      <c r="AR19" s="398"/>
      <c r="AS19" s="142"/>
      <c r="AT19" s="142"/>
      <c r="AU19" s="155"/>
      <c r="AV19" s="155"/>
      <c r="AW19" s="155"/>
      <c r="AX19" s="155"/>
      <c r="AY19" s="155"/>
      <c r="AZ19" s="155"/>
      <c r="BA19" s="155"/>
      <c r="BB19" s="155"/>
      <c r="BC19" s="155"/>
      <c r="BD19" s="155"/>
    </row>
    <row r="20" spans="1:56" ht="30" customHeight="1" x14ac:dyDescent="0.3">
      <c r="A20" s="142"/>
      <c r="B20" s="142"/>
      <c r="C20" s="142"/>
      <c r="D20" s="142"/>
      <c r="E20" s="142"/>
      <c r="F20" s="142"/>
      <c r="G20" s="142"/>
      <c r="H20" s="409"/>
      <c r="I20" s="410"/>
      <c r="J20" s="410"/>
      <c r="K20" s="410"/>
      <c r="L20" s="410"/>
      <c r="M20" s="410"/>
      <c r="N20" s="410"/>
      <c r="O20" s="410"/>
      <c r="P20" s="410"/>
      <c r="Q20" s="411"/>
      <c r="R20" s="375"/>
      <c r="S20" s="371"/>
      <c r="T20" s="372"/>
      <c r="U20" s="373"/>
      <c r="V20" s="371"/>
      <c r="W20" s="371"/>
      <c r="X20" s="371"/>
      <c r="Y20" s="371"/>
      <c r="Z20" s="371"/>
      <c r="AA20" s="371"/>
      <c r="AB20" s="371"/>
      <c r="AC20" s="372"/>
      <c r="AD20" s="375"/>
      <c r="AE20" s="371"/>
      <c r="AF20" s="372"/>
      <c r="AG20" s="373"/>
      <c r="AH20" s="371"/>
      <c r="AI20" s="371"/>
      <c r="AJ20" s="371"/>
      <c r="AK20" s="371"/>
      <c r="AL20" s="371"/>
      <c r="AM20" s="371"/>
      <c r="AN20" s="371"/>
      <c r="AO20" s="371"/>
      <c r="AP20" s="396"/>
      <c r="AQ20" s="397"/>
      <c r="AR20" s="398"/>
      <c r="AS20" s="142"/>
      <c r="AT20" s="142"/>
      <c r="AU20" s="155"/>
      <c r="AV20" s="155"/>
      <c r="AW20" s="155"/>
      <c r="AX20" s="155"/>
      <c r="AY20" s="155"/>
      <c r="AZ20" s="155"/>
      <c r="BA20" s="155"/>
      <c r="BB20" s="155"/>
      <c r="BC20" s="155"/>
      <c r="BD20" s="155"/>
    </row>
    <row r="21" spans="1:56" ht="30" customHeight="1" x14ac:dyDescent="0.3">
      <c r="A21" s="142"/>
      <c r="B21" s="142"/>
      <c r="C21" s="142"/>
      <c r="D21" s="142"/>
      <c r="E21" s="142"/>
      <c r="F21" s="142"/>
      <c r="G21" s="142"/>
      <c r="H21" s="393" t="s">
        <v>825</v>
      </c>
      <c r="I21" s="394"/>
      <c r="J21" s="394"/>
      <c r="K21" s="394"/>
      <c r="L21" s="394"/>
      <c r="M21" s="394"/>
      <c r="N21" s="394"/>
      <c r="O21" s="394"/>
      <c r="P21" s="394"/>
      <c r="Q21" s="395"/>
      <c r="R21" s="375">
        <f>SUMIF(ResearchInput[Institution Name],H1,ResearchInput[Fed.501])</f>
        <v>0</v>
      </c>
      <c r="S21" s="371"/>
      <c r="T21" s="372"/>
      <c r="U21" s="373">
        <f>SUMIF(ResearchInput[Institution Name],H1,ResearchInput[St.501])</f>
        <v>0</v>
      </c>
      <c r="V21" s="371"/>
      <c r="W21" s="371"/>
      <c r="X21" s="371">
        <f>SUMIF(ResearchInput[Institution Name],H1,ResearchInput[St.C&amp;G.501])</f>
        <v>0</v>
      </c>
      <c r="Y21" s="371"/>
      <c r="Z21" s="371"/>
      <c r="AA21" s="371">
        <f>SUMIF(ResearchInput[Institution Name],H1,ResearchInput[St.All.501])</f>
        <v>0</v>
      </c>
      <c r="AB21" s="371"/>
      <c r="AC21" s="372"/>
      <c r="AD21" s="375">
        <f>SUMIF(ResearchInput[Institution Name],H1,ResearchInput[Inst.501])</f>
        <v>0</v>
      </c>
      <c r="AE21" s="371"/>
      <c r="AF21" s="372"/>
      <c r="AG21" s="373">
        <f>SUMIF(ResearchInput[Institution Name],H1,ResearchInput[P4P.501])</f>
        <v>0</v>
      </c>
      <c r="AH21" s="371"/>
      <c r="AI21" s="371"/>
      <c r="AJ21" s="371">
        <f>SUMIF(ResearchInput[Institution Name],H1,ResearchInput[PNP.501])</f>
        <v>0</v>
      </c>
      <c r="AK21" s="371"/>
      <c r="AL21" s="371"/>
      <c r="AM21" s="371">
        <f>SUMIF(ResearchInput[Institution Name],H1,ResearchInput[P.All.501])</f>
        <v>0</v>
      </c>
      <c r="AN21" s="371"/>
      <c r="AO21" s="371"/>
      <c r="AP21" s="396">
        <f>SUM(R21:AO24)</f>
        <v>0</v>
      </c>
      <c r="AQ21" s="397"/>
      <c r="AR21" s="398"/>
      <c r="AS21" s="142"/>
      <c r="AT21" s="142"/>
      <c r="AU21" s="155"/>
      <c r="AV21" s="155"/>
      <c r="AW21" s="155"/>
      <c r="AX21" s="155"/>
      <c r="AY21" s="155"/>
      <c r="AZ21" s="155"/>
      <c r="BA21" s="155"/>
      <c r="BB21" s="155"/>
      <c r="BC21" s="155"/>
      <c r="BD21" s="155"/>
    </row>
    <row r="22" spans="1:56" ht="30" customHeight="1" x14ac:dyDescent="0.3">
      <c r="A22" s="142"/>
      <c r="B22" s="142"/>
      <c r="C22" s="142"/>
      <c r="D22" s="142"/>
      <c r="E22" s="142"/>
      <c r="F22" s="142"/>
      <c r="G22" s="142"/>
      <c r="H22" s="393"/>
      <c r="I22" s="394"/>
      <c r="J22" s="394"/>
      <c r="K22" s="394"/>
      <c r="L22" s="394"/>
      <c r="M22" s="394"/>
      <c r="N22" s="394"/>
      <c r="O22" s="394"/>
      <c r="P22" s="394"/>
      <c r="Q22" s="395"/>
      <c r="R22" s="375"/>
      <c r="S22" s="371"/>
      <c r="T22" s="372"/>
      <c r="U22" s="373"/>
      <c r="V22" s="371"/>
      <c r="W22" s="371"/>
      <c r="X22" s="371"/>
      <c r="Y22" s="371"/>
      <c r="Z22" s="371"/>
      <c r="AA22" s="371"/>
      <c r="AB22" s="371"/>
      <c r="AC22" s="372"/>
      <c r="AD22" s="375"/>
      <c r="AE22" s="371"/>
      <c r="AF22" s="372"/>
      <c r="AG22" s="373"/>
      <c r="AH22" s="371"/>
      <c r="AI22" s="371"/>
      <c r="AJ22" s="371"/>
      <c r="AK22" s="371"/>
      <c r="AL22" s="371"/>
      <c r="AM22" s="371"/>
      <c r="AN22" s="371"/>
      <c r="AO22" s="371"/>
      <c r="AP22" s="396"/>
      <c r="AQ22" s="397"/>
      <c r="AR22" s="398"/>
      <c r="AS22" s="142"/>
      <c r="AT22" s="142"/>
      <c r="AU22" s="155"/>
      <c r="AV22" s="155"/>
      <c r="AW22" s="155"/>
      <c r="AX22" s="155"/>
      <c r="AY22" s="155"/>
      <c r="AZ22" s="155"/>
      <c r="BA22" s="155"/>
      <c r="BB22" s="155"/>
      <c r="BC22" s="155"/>
      <c r="BD22" s="155"/>
    </row>
    <row r="23" spans="1:56" ht="30" customHeight="1" x14ac:dyDescent="0.3">
      <c r="A23" s="142"/>
      <c r="B23" s="142"/>
      <c r="C23" s="142"/>
      <c r="D23" s="142"/>
      <c r="E23" s="142"/>
      <c r="F23" s="142"/>
      <c r="G23" s="142"/>
      <c r="H23" s="393"/>
      <c r="I23" s="394"/>
      <c r="J23" s="394"/>
      <c r="K23" s="394"/>
      <c r="L23" s="394"/>
      <c r="M23" s="394"/>
      <c r="N23" s="394"/>
      <c r="O23" s="394"/>
      <c r="P23" s="394"/>
      <c r="Q23" s="395"/>
      <c r="R23" s="375"/>
      <c r="S23" s="371"/>
      <c r="T23" s="372"/>
      <c r="U23" s="373"/>
      <c r="V23" s="371"/>
      <c r="W23" s="371"/>
      <c r="X23" s="371"/>
      <c r="Y23" s="371"/>
      <c r="Z23" s="371"/>
      <c r="AA23" s="371"/>
      <c r="AB23" s="371"/>
      <c r="AC23" s="372"/>
      <c r="AD23" s="375"/>
      <c r="AE23" s="371"/>
      <c r="AF23" s="372"/>
      <c r="AG23" s="373"/>
      <c r="AH23" s="371"/>
      <c r="AI23" s="371"/>
      <c r="AJ23" s="371"/>
      <c r="AK23" s="371"/>
      <c r="AL23" s="371"/>
      <c r="AM23" s="371"/>
      <c r="AN23" s="371"/>
      <c r="AO23" s="371"/>
      <c r="AP23" s="396"/>
      <c r="AQ23" s="397"/>
      <c r="AR23" s="398"/>
      <c r="AS23" s="142"/>
      <c r="AT23" s="142"/>
      <c r="AU23" s="155"/>
      <c r="AV23" s="155"/>
      <c r="AW23" s="155"/>
      <c r="AX23" s="155"/>
      <c r="AY23" s="155"/>
      <c r="AZ23" s="155"/>
      <c r="BA23" s="155"/>
      <c r="BB23" s="155"/>
      <c r="BC23" s="155"/>
      <c r="BD23" s="155"/>
    </row>
    <row r="24" spans="1:56" ht="30" customHeight="1" x14ac:dyDescent="0.3">
      <c r="A24" s="142"/>
      <c r="B24" s="142"/>
      <c r="C24" s="142"/>
      <c r="D24" s="142"/>
      <c r="E24" s="142"/>
      <c r="F24" s="142"/>
      <c r="G24" s="142"/>
      <c r="H24" s="393"/>
      <c r="I24" s="394"/>
      <c r="J24" s="394"/>
      <c r="K24" s="394"/>
      <c r="L24" s="394"/>
      <c r="M24" s="394"/>
      <c r="N24" s="394"/>
      <c r="O24" s="394"/>
      <c r="P24" s="394"/>
      <c r="Q24" s="395"/>
      <c r="R24" s="375"/>
      <c r="S24" s="371"/>
      <c r="T24" s="372"/>
      <c r="U24" s="373"/>
      <c r="V24" s="371"/>
      <c r="W24" s="371"/>
      <c r="X24" s="371"/>
      <c r="Y24" s="371"/>
      <c r="Z24" s="371"/>
      <c r="AA24" s="371"/>
      <c r="AB24" s="371"/>
      <c r="AC24" s="372"/>
      <c r="AD24" s="375"/>
      <c r="AE24" s="371"/>
      <c r="AF24" s="372"/>
      <c r="AG24" s="373"/>
      <c r="AH24" s="371"/>
      <c r="AI24" s="371"/>
      <c r="AJ24" s="371"/>
      <c r="AK24" s="371"/>
      <c r="AL24" s="371"/>
      <c r="AM24" s="371"/>
      <c r="AN24" s="371"/>
      <c r="AO24" s="371"/>
      <c r="AP24" s="396"/>
      <c r="AQ24" s="397"/>
      <c r="AR24" s="398"/>
      <c r="AS24" s="142"/>
      <c r="AT24" s="142"/>
      <c r="AU24" s="155"/>
      <c r="AV24" s="155"/>
      <c r="AW24" s="155"/>
      <c r="AX24" s="155"/>
      <c r="AY24" s="155"/>
      <c r="AZ24" s="155"/>
      <c r="BA24" s="155"/>
      <c r="BB24" s="155"/>
      <c r="BC24" s="155"/>
      <c r="BD24" s="155"/>
    </row>
    <row r="25" spans="1:56" ht="30" customHeight="1" x14ac:dyDescent="0.3">
      <c r="A25" s="142"/>
      <c r="B25" s="142"/>
      <c r="C25" s="142"/>
      <c r="D25" s="142"/>
      <c r="E25" s="142"/>
      <c r="F25" s="142"/>
      <c r="G25" s="142"/>
      <c r="H25" s="409" t="s">
        <v>826</v>
      </c>
      <c r="I25" s="410"/>
      <c r="J25" s="410"/>
      <c r="K25" s="410"/>
      <c r="L25" s="410"/>
      <c r="M25" s="410"/>
      <c r="N25" s="410"/>
      <c r="O25" s="410"/>
      <c r="P25" s="410"/>
      <c r="Q25" s="411"/>
      <c r="R25" s="375">
        <f>SUMIF(ResearchInput[Institution Name],H1,ResearchInput[Fed.Pass2])</f>
        <v>0</v>
      </c>
      <c r="S25" s="371"/>
      <c r="T25" s="372"/>
      <c r="U25" s="373">
        <f>SUMIF(ResearchInput[Institution Name],H1,ResearchInput[St.Pass2])</f>
        <v>0</v>
      </c>
      <c r="V25" s="371"/>
      <c r="W25" s="371"/>
      <c r="X25" s="371">
        <f>SUMIF(ResearchInput[Institution Name],H1,ResearchInput[St.C&amp;G.Pass2])</f>
        <v>0</v>
      </c>
      <c r="Y25" s="371"/>
      <c r="Z25" s="371"/>
      <c r="AA25" s="371">
        <f>SUMIF(ResearchInput[Institution Name],H1,ResearchInput[St.All.Pass2])</f>
        <v>0</v>
      </c>
      <c r="AB25" s="371"/>
      <c r="AC25" s="372"/>
      <c r="AD25" s="375">
        <f>SUMIF(ResearchInput[Institution Name],H1,ResearchInput[Inst.Pass2])</f>
        <v>0</v>
      </c>
      <c r="AE25" s="371"/>
      <c r="AF25" s="372"/>
      <c r="AG25" s="373">
        <f>SUMIF(ResearchInput[Institution Name],H1,ResearchInput[P4P.Pass2])</f>
        <v>0</v>
      </c>
      <c r="AH25" s="371"/>
      <c r="AI25" s="371"/>
      <c r="AJ25" s="371">
        <f>SUMIF(ResearchInput[Institution Name],H1,ResearchInput[PNP.Pass2])</f>
        <v>0</v>
      </c>
      <c r="AK25" s="371"/>
      <c r="AL25" s="371"/>
      <c r="AM25" s="371">
        <f>SUMIF(ResearchInput[Institution Name],H1,ResearchInput[P.All.Pass2])</f>
        <v>0</v>
      </c>
      <c r="AN25" s="371"/>
      <c r="AO25" s="371"/>
      <c r="AP25" s="396">
        <f>SUM(R25:AO27)</f>
        <v>0</v>
      </c>
      <c r="AQ25" s="397"/>
      <c r="AR25" s="398"/>
      <c r="AS25" s="142"/>
      <c r="AT25" s="142"/>
      <c r="AU25" s="155"/>
      <c r="AV25" s="155"/>
      <c r="AW25" s="155"/>
      <c r="AX25" s="155"/>
      <c r="AY25" s="155"/>
      <c r="AZ25" s="155"/>
      <c r="BA25" s="155"/>
      <c r="BB25" s="155"/>
      <c r="BC25" s="155"/>
      <c r="BD25" s="155"/>
    </row>
    <row r="26" spans="1:56" ht="30" customHeight="1" x14ac:dyDescent="0.3">
      <c r="A26" s="142"/>
      <c r="B26" s="142"/>
      <c r="C26" s="142"/>
      <c r="D26" s="142"/>
      <c r="E26" s="142"/>
      <c r="F26" s="142"/>
      <c r="G26" s="142"/>
      <c r="H26" s="409"/>
      <c r="I26" s="410"/>
      <c r="J26" s="410"/>
      <c r="K26" s="410"/>
      <c r="L26" s="410"/>
      <c r="M26" s="410"/>
      <c r="N26" s="410"/>
      <c r="O26" s="410"/>
      <c r="P26" s="410"/>
      <c r="Q26" s="411"/>
      <c r="R26" s="375"/>
      <c r="S26" s="371"/>
      <c r="T26" s="372"/>
      <c r="U26" s="373"/>
      <c r="V26" s="371"/>
      <c r="W26" s="371"/>
      <c r="X26" s="371"/>
      <c r="Y26" s="371"/>
      <c r="Z26" s="371"/>
      <c r="AA26" s="371"/>
      <c r="AB26" s="371"/>
      <c r="AC26" s="372"/>
      <c r="AD26" s="375"/>
      <c r="AE26" s="371"/>
      <c r="AF26" s="372"/>
      <c r="AG26" s="373"/>
      <c r="AH26" s="371"/>
      <c r="AI26" s="371"/>
      <c r="AJ26" s="371"/>
      <c r="AK26" s="371"/>
      <c r="AL26" s="371"/>
      <c r="AM26" s="371"/>
      <c r="AN26" s="371"/>
      <c r="AO26" s="371"/>
      <c r="AP26" s="396"/>
      <c r="AQ26" s="397"/>
      <c r="AR26" s="398"/>
      <c r="AS26" s="142"/>
      <c r="AT26" s="142"/>
      <c r="AU26" s="155"/>
      <c r="AV26" s="155"/>
      <c r="AW26" s="155"/>
      <c r="AX26" s="155"/>
      <c r="AY26" s="155"/>
      <c r="AZ26" s="155"/>
      <c r="BA26" s="155"/>
      <c r="BB26" s="155"/>
      <c r="BC26" s="155"/>
      <c r="BD26" s="155"/>
    </row>
    <row r="27" spans="1:56" ht="30" customHeight="1" x14ac:dyDescent="0.3">
      <c r="A27" s="142"/>
      <c r="B27" s="142"/>
      <c r="C27" s="142"/>
      <c r="D27" s="142"/>
      <c r="E27" s="142"/>
      <c r="F27" s="142"/>
      <c r="G27" s="142"/>
      <c r="H27" s="409"/>
      <c r="I27" s="410"/>
      <c r="J27" s="410"/>
      <c r="K27" s="410"/>
      <c r="L27" s="410"/>
      <c r="M27" s="410"/>
      <c r="N27" s="410"/>
      <c r="O27" s="410"/>
      <c r="P27" s="410"/>
      <c r="Q27" s="411"/>
      <c r="R27" s="375"/>
      <c r="S27" s="371"/>
      <c r="T27" s="372"/>
      <c r="U27" s="373"/>
      <c r="V27" s="371"/>
      <c r="W27" s="371"/>
      <c r="X27" s="371"/>
      <c r="Y27" s="371"/>
      <c r="Z27" s="371"/>
      <c r="AA27" s="371"/>
      <c r="AB27" s="371"/>
      <c r="AC27" s="372"/>
      <c r="AD27" s="375"/>
      <c r="AE27" s="371"/>
      <c r="AF27" s="372"/>
      <c r="AG27" s="373"/>
      <c r="AH27" s="371"/>
      <c r="AI27" s="371"/>
      <c r="AJ27" s="371"/>
      <c r="AK27" s="371"/>
      <c r="AL27" s="371"/>
      <c r="AM27" s="371"/>
      <c r="AN27" s="371"/>
      <c r="AO27" s="371"/>
      <c r="AP27" s="396"/>
      <c r="AQ27" s="397"/>
      <c r="AR27" s="398"/>
      <c r="AS27" s="142"/>
      <c r="AT27" s="142"/>
      <c r="AU27" s="155"/>
      <c r="AV27" s="155"/>
      <c r="AW27" s="155"/>
      <c r="AX27" s="155"/>
      <c r="AY27" s="155"/>
      <c r="AZ27" s="155"/>
      <c r="BA27" s="155"/>
      <c r="BB27" s="155"/>
      <c r="BC27" s="155"/>
      <c r="BD27" s="155"/>
    </row>
    <row r="28" spans="1:56" ht="30" customHeight="1" x14ac:dyDescent="0.3">
      <c r="A28" s="142"/>
      <c r="B28" s="142"/>
      <c r="C28" s="142"/>
      <c r="D28" s="142"/>
      <c r="E28" s="142"/>
      <c r="F28" s="142"/>
      <c r="G28" s="142"/>
      <c r="H28" s="393" t="s">
        <v>827</v>
      </c>
      <c r="I28" s="394"/>
      <c r="J28" s="394"/>
      <c r="K28" s="394"/>
      <c r="L28" s="394"/>
      <c r="M28" s="394"/>
      <c r="N28" s="394"/>
      <c r="O28" s="394"/>
      <c r="P28" s="394"/>
      <c r="Q28" s="395"/>
      <c r="R28" s="375">
        <f>SUMIF(ResearchInput[Institution Name],H1,ResearchInput[Fed.Pass3])</f>
        <v>0</v>
      </c>
      <c r="S28" s="371"/>
      <c r="T28" s="372"/>
      <c r="U28" s="373">
        <f>SUMIF(ResearchInput[Institution Name],H1,ResearchInput[St.Pass3])</f>
        <v>0</v>
      </c>
      <c r="V28" s="371"/>
      <c r="W28" s="371"/>
      <c r="X28" s="371">
        <f>SUMIF(ResearchInput[Institution Name],H1,ResearchInput[St.C&amp;G.Pass3])</f>
        <v>0</v>
      </c>
      <c r="Y28" s="371"/>
      <c r="Z28" s="371"/>
      <c r="AA28" s="371">
        <f>SUMIF(ResearchInput[Institution Name],H1,ResearchInput[St.All.Pass3])</f>
        <v>0</v>
      </c>
      <c r="AB28" s="371"/>
      <c r="AC28" s="372"/>
      <c r="AD28" s="375">
        <f>SUMIF(ResearchInput[Institution Name],H1,ResearchInput[Inst.Pass3])</f>
        <v>0</v>
      </c>
      <c r="AE28" s="371"/>
      <c r="AF28" s="372"/>
      <c r="AG28" s="373">
        <f>SUMIF(ResearchInput[Institution Name],H1,ResearchInput[P4P.Pass3])</f>
        <v>0</v>
      </c>
      <c r="AH28" s="371"/>
      <c r="AI28" s="371"/>
      <c r="AJ28" s="371">
        <f>SUMIF(ResearchInput[Institution Name],H1,ResearchInput[PNP.Pass3])</f>
        <v>0</v>
      </c>
      <c r="AK28" s="371"/>
      <c r="AL28" s="371"/>
      <c r="AM28" s="371">
        <f>SUMIF(ResearchInput[Institution Name],H1,ResearchInput[P.All.Pass3])</f>
        <v>0</v>
      </c>
      <c r="AN28" s="371"/>
      <c r="AO28" s="371"/>
      <c r="AP28" s="396">
        <f>SUM(R28:AO30)</f>
        <v>0</v>
      </c>
      <c r="AQ28" s="397"/>
      <c r="AR28" s="398"/>
      <c r="AS28" s="142"/>
      <c r="AT28" s="142"/>
      <c r="AU28" s="155"/>
      <c r="AV28" s="155"/>
      <c r="AW28" s="155"/>
      <c r="AX28" s="155"/>
      <c r="AY28" s="155"/>
      <c r="AZ28" s="155"/>
      <c r="BA28" s="155"/>
      <c r="BB28" s="155"/>
      <c r="BC28" s="155"/>
      <c r="BD28" s="155"/>
    </row>
    <row r="29" spans="1:56" ht="30" customHeight="1" x14ac:dyDescent="0.3">
      <c r="A29" s="142"/>
      <c r="B29" s="142"/>
      <c r="C29" s="142"/>
      <c r="D29" s="142"/>
      <c r="E29" s="142"/>
      <c r="F29" s="142"/>
      <c r="G29" s="142"/>
      <c r="H29" s="393"/>
      <c r="I29" s="394"/>
      <c r="J29" s="394"/>
      <c r="K29" s="394"/>
      <c r="L29" s="394"/>
      <c r="M29" s="394"/>
      <c r="N29" s="394"/>
      <c r="O29" s="394"/>
      <c r="P29" s="394"/>
      <c r="Q29" s="395"/>
      <c r="R29" s="375"/>
      <c r="S29" s="371"/>
      <c r="T29" s="372"/>
      <c r="U29" s="373"/>
      <c r="V29" s="371"/>
      <c r="W29" s="371"/>
      <c r="X29" s="371"/>
      <c r="Y29" s="371"/>
      <c r="Z29" s="371"/>
      <c r="AA29" s="371"/>
      <c r="AB29" s="371"/>
      <c r="AC29" s="372"/>
      <c r="AD29" s="375"/>
      <c r="AE29" s="371"/>
      <c r="AF29" s="372"/>
      <c r="AG29" s="373"/>
      <c r="AH29" s="371"/>
      <c r="AI29" s="371"/>
      <c r="AJ29" s="371"/>
      <c r="AK29" s="371"/>
      <c r="AL29" s="371"/>
      <c r="AM29" s="371"/>
      <c r="AN29" s="371"/>
      <c r="AO29" s="371"/>
      <c r="AP29" s="396"/>
      <c r="AQ29" s="397"/>
      <c r="AR29" s="398"/>
      <c r="AS29" s="142"/>
      <c r="AT29" s="142"/>
      <c r="AU29" s="155"/>
      <c r="AV29" s="155"/>
      <c r="AW29" s="155"/>
      <c r="AX29" s="155"/>
      <c r="AY29" s="155"/>
      <c r="AZ29" s="155"/>
      <c r="BA29" s="155"/>
      <c r="BB29" s="155"/>
      <c r="BC29" s="155"/>
      <c r="BD29" s="155"/>
    </row>
    <row r="30" spans="1:56" ht="30" customHeight="1" thickBot="1" x14ac:dyDescent="0.35">
      <c r="A30" s="142"/>
      <c r="B30" s="142"/>
      <c r="C30" s="142"/>
      <c r="D30" s="142"/>
      <c r="E30" s="142"/>
      <c r="F30" s="142"/>
      <c r="G30" s="142"/>
      <c r="H30" s="421"/>
      <c r="I30" s="422"/>
      <c r="J30" s="422"/>
      <c r="K30" s="422"/>
      <c r="L30" s="422"/>
      <c r="M30" s="422"/>
      <c r="N30" s="422"/>
      <c r="O30" s="422"/>
      <c r="P30" s="422"/>
      <c r="Q30" s="423"/>
      <c r="R30" s="367"/>
      <c r="S30" s="365"/>
      <c r="T30" s="368"/>
      <c r="U30" s="364"/>
      <c r="V30" s="365"/>
      <c r="W30" s="365"/>
      <c r="X30" s="365"/>
      <c r="Y30" s="365"/>
      <c r="Z30" s="365"/>
      <c r="AA30" s="365"/>
      <c r="AB30" s="365"/>
      <c r="AC30" s="368"/>
      <c r="AD30" s="367"/>
      <c r="AE30" s="365"/>
      <c r="AF30" s="368"/>
      <c r="AG30" s="364"/>
      <c r="AH30" s="365"/>
      <c r="AI30" s="365"/>
      <c r="AJ30" s="365"/>
      <c r="AK30" s="365"/>
      <c r="AL30" s="365"/>
      <c r="AM30" s="365"/>
      <c r="AN30" s="365"/>
      <c r="AO30" s="365"/>
      <c r="AP30" s="412"/>
      <c r="AQ30" s="413"/>
      <c r="AR30" s="414"/>
      <c r="AS30" s="142"/>
      <c r="AT30" s="142"/>
      <c r="AU30" s="155"/>
      <c r="AV30" s="155"/>
      <c r="AW30" s="155"/>
      <c r="AX30" s="155"/>
      <c r="AY30" s="155"/>
      <c r="AZ30" s="155"/>
      <c r="BA30" s="155"/>
      <c r="BB30" s="155"/>
      <c r="BC30" s="155"/>
      <c r="BD30" s="155"/>
    </row>
    <row r="31" spans="1:56" ht="30" customHeight="1" thickTop="1" x14ac:dyDescent="0.3">
      <c r="A31" s="142"/>
      <c r="B31" s="142"/>
      <c r="C31" s="142"/>
      <c r="D31" s="142"/>
      <c r="E31" s="142"/>
      <c r="F31" s="142"/>
      <c r="G31" s="142"/>
      <c r="H31" s="415"/>
      <c r="I31" s="416"/>
      <c r="J31" s="416"/>
      <c r="K31" s="416"/>
      <c r="L31" s="416"/>
      <c r="M31" s="416"/>
      <c r="N31" s="416"/>
      <c r="O31" s="416"/>
      <c r="P31" s="416"/>
      <c r="Q31" s="416"/>
      <c r="R31" s="417">
        <f>SUM(R12:T30)</f>
        <v>0</v>
      </c>
      <c r="S31" s="418"/>
      <c r="T31" s="419"/>
      <c r="U31" s="420">
        <f t="shared" ref="U31" si="0">SUM(U12:W30)</f>
        <v>0</v>
      </c>
      <c r="V31" s="418"/>
      <c r="W31" s="418"/>
      <c r="X31" s="418">
        <f t="shared" ref="X31" si="1">SUM(X12:Z30)</f>
        <v>0</v>
      </c>
      <c r="Y31" s="418"/>
      <c r="Z31" s="418"/>
      <c r="AA31" s="418">
        <f t="shared" ref="AA31" si="2">SUM(AA12:AC30)</f>
        <v>0</v>
      </c>
      <c r="AB31" s="418"/>
      <c r="AC31" s="419"/>
      <c r="AD31" s="417">
        <f t="shared" ref="AD31" si="3">SUM(AD12:AF30)</f>
        <v>0</v>
      </c>
      <c r="AE31" s="418"/>
      <c r="AF31" s="419"/>
      <c r="AG31" s="420">
        <f t="shared" ref="AG31" si="4">SUM(AG12:AI30)</f>
        <v>0</v>
      </c>
      <c r="AH31" s="418"/>
      <c r="AI31" s="418"/>
      <c r="AJ31" s="418">
        <f t="shared" ref="AJ31" si="5">SUM(AJ12:AL30)</f>
        <v>0</v>
      </c>
      <c r="AK31" s="418"/>
      <c r="AL31" s="418"/>
      <c r="AM31" s="418">
        <f t="shared" ref="AM31" si="6">SUM(AM12:AO30)</f>
        <v>0</v>
      </c>
      <c r="AN31" s="418"/>
      <c r="AO31" s="429"/>
      <c r="AP31" s="429">
        <f>SUM(AP12:AR30)</f>
        <v>0</v>
      </c>
      <c r="AQ31" s="430"/>
      <c r="AR31" s="431"/>
      <c r="AS31" s="142"/>
      <c r="AT31" s="142"/>
      <c r="AU31" s="155"/>
      <c r="AV31" s="155"/>
      <c r="AW31" s="155"/>
      <c r="AX31" s="155"/>
      <c r="AY31" s="155"/>
      <c r="AZ31" s="155"/>
      <c r="BA31" s="155"/>
      <c r="BB31" s="155"/>
      <c r="BC31" s="155"/>
      <c r="BD31" s="155"/>
    </row>
    <row r="32" spans="1:56" ht="30" customHeight="1" x14ac:dyDescent="0.3">
      <c r="A32" s="142"/>
      <c r="B32" s="142"/>
      <c r="C32" s="142"/>
      <c r="D32" s="142"/>
      <c r="E32" s="142"/>
      <c r="F32" s="142"/>
      <c r="G32" s="142"/>
      <c r="H32" s="142"/>
      <c r="I32" s="142"/>
      <c r="J32" s="142"/>
      <c r="K32" s="142"/>
      <c r="L32" s="142"/>
      <c r="M32" s="142"/>
      <c r="N32" s="142"/>
      <c r="O32" s="142"/>
      <c r="P32" s="142"/>
      <c r="Q32" s="142"/>
      <c r="R32" s="142"/>
      <c r="S32" s="142"/>
      <c r="T32" s="142"/>
      <c r="U32" s="142"/>
      <c r="V32" s="142"/>
      <c r="W32" s="142"/>
      <c r="X32" s="142"/>
      <c r="Y32" s="142"/>
      <c r="Z32" s="142"/>
      <c r="AA32" s="142"/>
      <c r="AB32" s="142"/>
      <c r="AC32" s="142"/>
      <c r="AD32" s="142"/>
      <c r="AE32" s="142"/>
      <c r="AF32" s="142"/>
      <c r="AG32" s="142"/>
      <c r="AH32" s="142"/>
      <c r="AI32" s="142"/>
      <c r="AJ32" s="142"/>
      <c r="AK32" s="142"/>
      <c r="AL32" s="142"/>
      <c r="AM32" s="142"/>
      <c r="AN32" s="142"/>
      <c r="AO32" s="142"/>
      <c r="AP32" s="142"/>
      <c r="AQ32" s="142"/>
      <c r="AR32" s="142"/>
      <c r="AS32" s="142"/>
      <c r="AT32" s="142"/>
      <c r="AU32" s="155"/>
      <c r="AV32" s="155"/>
      <c r="AW32" s="155"/>
      <c r="AX32" s="155"/>
      <c r="AY32" s="155"/>
      <c r="AZ32" s="155"/>
      <c r="BA32" s="155"/>
      <c r="BB32" s="155"/>
      <c r="BC32" s="155"/>
      <c r="BD32" s="155"/>
    </row>
    <row r="33" spans="1:56" ht="30" customHeight="1" x14ac:dyDescent="0.3">
      <c r="A33" s="142"/>
      <c r="B33" s="142"/>
      <c r="C33" s="142"/>
      <c r="D33" s="142"/>
      <c r="E33" s="142"/>
      <c r="F33" s="142"/>
      <c r="G33" s="142"/>
      <c r="H33" s="142"/>
      <c r="I33" s="142"/>
      <c r="J33" s="142"/>
      <c r="K33" s="142"/>
      <c r="L33" s="142"/>
      <c r="M33" s="142"/>
      <c r="N33" s="142"/>
      <c r="O33" s="142"/>
      <c r="P33" s="142"/>
      <c r="Q33" s="142"/>
      <c r="R33" s="142"/>
      <c r="S33" s="142"/>
      <c r="T33" s="142"/>
      <c r="U33" s="142"/>
      <c r="V33" s="142"/>
      <c r="W33" s="142"/>
      <c r="X33" s="142"/>
      <c r="Y33" s="142"/>
      <c r="Z33" s="142"/>
      <c r="AA33" s="142"/>
      <c r="AB33" s="142"/>
      <c r="AC33" s="142"/>
      <c r="AD33" s="142"/>
      <c r="AE33" s="142"/>
      <c r="AF33" s="142"/>
      <c r="AG33" s="142"/>
      <c r="AH33" s="142"/>
      <c r="AI33" s="142"/>
      <c r="AJ33" s="142"/>
      <c r="AK33" s="142"/>
      <c r="AL33" s="142"/>
      <c r="AM33" s="142"/>
      <c r="AN33" s="142"/>
      <c r="AO33" s="142"/>
      <c r="AP33" s="142"/>
      <c r="AQ33" s="142"/>
      <c r="AR33" s="142"/>
      <c r="AS33" s="142"/>
      <c r="AT33" s="142"/>
      <c r="AU33" s="155"/>
      <c r="AV33" s="155"/>
      <c r="AW33" s="155"/>
      <c r="AX33" s="155"/>
      <c r="AY33" s="155"/>
      <c r="AZ33" s="155"/>
      <c r="BA33" s="155"/>
      <c r="BB33" s="155"/>
      <c r="BC33" s="155"/>
      <c r="BD33" s="155"/>
    </row>
    <row r="34" spans="1:56" ht="30" customHeight="1" x14ac:dyDescent="0.3">
      <c r="A34" s="142"/>
      <c r="B34" s="142"/>
      <c r="C34" s="142"/>
      <c r="D34" s="142"/>
      <c r="E34" s="142"/>
      <c r="F34" s="142"/>
      <c r="G34" s="142"/>
      <c r="H34" s="377" t="s">
        <v>255</v>
      </c>
      <c r="I34" s="378"/>
      <c r="J34" s="378"/>
      <c r="K34" s="378"/>
      <c r="L34" s="378"/>
      <c r="M34" s="378"/>
      <c r="N34" s="378"/>
      <c r="O34" s="378"/>
      <c r="P34" s="378"/>
      <c r="Q34" s="378"/>
      <c r="R34" s="378"/>
      <c r="S34" s="378"/>
      <c r="T34" s="378"/>
      <c r="U34" s="378"/>
      <c r="V34" s="378"/>
      <c r="W34" s="378"/>
      <c r="X34" s="378"/>
      <c r="Y34" s="378"/>
      <c r="Z34" s="378"/>
      <c r="AA34" s="378"/>
      <c r="AB34" s="378"/>
      <c r="AC34" s="378"/>
      <c r="AD34" s="378"/>
      <c r="AE34" s="378"/>
      <c r="AF34" s="378"/>
      <c r="AG34" s="378"/>
      <c r="AH34" s="378"/>
      <c r="AI34" s="378"/>
      <c r="AJ34" s="378"/>
      <c r="AK34" s="378"/>
      <c r="AL34" s="378"/>
      <c r="AM34" s="378"/>
      <c r="AN34" s="378"/>
      <c r="AO34" s="378"/>
      <c r="AP34" s="378"/>
      <c r="AQ34" s="378"/>
      <c r="AR34" s="379"/>
      <c r="AS34" s="142"/>
      <c r="AT34" s="142"/>
      <c r="AU34" s="155"/>
      <c r="AV34" s="155"/>
      <c r="AW34" s="155"/>
      <c r="AX34" s="155"/>
      <c r="AY34" s="155"/>
      <c r="AZ34" s="155"/>
      <c r="BA34" s="155"/>
      <c r="BB34" s="155"/>
      <c r="BC34" s="155"/>
      <c r="BD34" s="155"/>
    </row>
    <row r="35" spans="1:56" ht="30" customHeight="1" x14ac:dyDescent="0.3">
      <c r="A35" s="142"/>
      <c r="B35" s="142"/>
      <c r="C35" s="142"/>
      <c r="D35" s="142"/>
      <c r="E35" s="142"/>
      <c r="F35" s="142"/>
      <c r="G35" s="142"/>
      <c r="H35" s="380" t="s">
        <v>697</v>
      </c>
      <c r="I35" s="380"/>
      <c r="J35" s="380"/>
      <c r="K35" s="380"/>
      <c r="L35" s="380"/>
      <c r="M35" s="380"/>
      <c r="N35" s="380"/>
      <c r="O35" s="380"/>
      <c r="P35" s="380"/>
      <c r="Q35" s="380"/>
      <c r="R35" s="380"/>
      <c r="S35" s="380"/>
      <c r="T35" s="380"/>
      <c r="U35" s="380"/>
      <c r="V35" s="380"/>
      <c r="W35" s="380"/>
      <c r="X35" s="380"/>
      <c r="Y35" s="380"/>
      <c r="Z35" s="380"/>
      <c r="AA35" s="380"/>
      <c r="AB35" s="380"/>
      <c r="AC35" s="380"/>
      <c r="AD35" s="380"/>
      <c r="AE35" s="380"/>
      <c r="AF35" s="380"/>
      <c r="AG35" s="380"/>
      <c r="AH35" s="380"/>
      <c r="AI35" s="380"/>
      <c r="AJ35" s="380"/>
      <c r="AK35" s="380"/>
      <c r="AL35" s="380"/>
      <c r="AM35" s="380"/>
      <c r="AN35" s="380"/>
      <c r="AO35" s="380"/>
      <c r="AP35" s="380"/>
      <c r="AQ35" s="380"/>
      <c r="AR35" s="432"/>
      <c r="AS35" s="142"/>
      <c r="AT35" s="142"/>
      <c r="AU35" s="155"/>
      <c r="AV35" s="155"/>
      <c r="AW35" s="155"/>
      <c r="AX35" s="155"/>
      <c r="AY35" s="155"/>
      <c r="AZ35" s="155"/>
      <c r="BA35" s="155"/>
      <c r="BB35" s="155"/>
      <c r="BC35" s="155"/>
      <c r="BD35" s="155"/>
    </row>
    <row r="36" spans="1:56" ht="30" customHeight="1" x14ac:dyDescent="0.3">
      <c r="A36" s="142"/>
      <c r="B36" s="142"/>
      <c r="C36" s="142"/>
      <c r="D36" s="142"/>
      <c r="E36" s="142"/>
      <c r="F36" s="142"/>
      <c r="G36" s="142"/>
      <c r="H36" s="380"/>
      <c r="I36" s="380"/>
      <c r="J36" s="380"/>
      <c r="K36" s="380"/>
      <c r="L36" s="380"/>
      <c r="M36" s="380"/>
      <c r="N36" s="380"/>
      <c r="O36" s="380"/>
      <c r="P36" s="380"/>
      <c r="Q36" s="380"/>
      <c r="R36" s="380"/>
      <c r="S36" s="380"/>
      <c r="T36" s="380"/>
      <c r="U36" s="380"/>
      <c r="V36" s="380"/>
      <c r="W36" s="380"/>
      <c r="X36" s="380"/>
      <c r="Y36" s="380"/>
      <c r="Z36" s="380"/>
      <c r="AA36" s="380"/>
      <c r="AB36" s="380"/>
      <c r="AC36" s="380"/>
      <c r="AD36" s="380"/>
      <c r="AE36" s="380"/>
      <c r="AF36" s="380"/>
      <c r="AG36" s="380"/>
      <c r="AH36" s="380"/>
      <c r="AI36" s="380"/>
      <c r="AJ36" s="380"/>
      <c r="AK36" s="380"/>
      <c r="AL36" s="380"/>
      <c r="AM36" s="380"/>
      <c r="AN36" s="380"/>
      <c r="AO36" s="380"/>
      <c r="AP36" s="380"/>
      <c r="AQ36" s="380"/>
      <c r="AR36" s="432"/>
      <c r="AS36" s="142"/>
      <c r="AT36" s="142"/>
      <c r="AU36" s="155"/>
      <c r="AV36" s="155"/>
      <c r="AW36" s="155"/>
      <c r="AX36" s="155"/>
      <c r="AY36" s="155"/>
      <c r="AZ36" s="155"/>
      <c r="BA36" s="155"/>
      <c r="BB36" s="155"/>
      <c r="BC36" s="155"/>
      <c r="BD36" s="155"/>
    </row>
    <row r="37" spans="1:56" ht="30" customHeight="1" x14ac:dyDescent="0.3">
      <c r="A37" s="142"/>
      <c r="B37" s="142"/>
      <c r="C37" s="142"/>
      <c r="D37" s="142"/>
      <c r="E37" s="142"/>
      <c r="F37" s="142"/>
      <c r="G37" s="142"/>
      <c r="H37" s="37"/>
      <c r="I37" s="38"/>
      <c r="J37" s="38"/>
      <c r="K37" s="38"/>
      <c r="L37" s="38"/>
      <c r="M37" s="38"/>
      <c r="N37" s="38"/>
      <c r="O37" s="38"/>
      <c r="P37" s="38"/>
      <c r="Q37" s="38"/>
      <c r="R37" s="39"/>
      <c r="S37" s="40"/>
      <c r="T37" s="41"/>
      <c r="U37" s="381" t="s">
        <v>244</v>
      </c>
      <c r="V37" s="382"/>
      <c r="W37" s="382"/>
      <c r="X37" s="382"/>
      <c r="Y37" s="382"/>
      <c r="Z37" s="382"/>
      <c r="AA37" s="39"/>
      <c r="AB37" s="40"/>
      <c r="AC37" s="41"/>
      <c r="AD37" s="39"/>
      <c r="AE37" s="40"/>
      <c r="AF37" s="41"/>
      <c r="AG37" s="381" t="s">
        <v>246</v>
      </c>
      <c r="AH37" s="382"/>
      <c r="AI37" s="382"/>
      <c r="AJ37" s="382"/>
      <c r="AK37" s="382"/>
      <c r="AL37" s="382"/>
      <c r="AM37" s="382"/>
      <c r="AN37" s="382"/>
      <c r="AO37" s="383"/>
      <c r="AP37" s="39"/>
      <c r="AQ37" s="40"/>
      <c r="AR37" s="42"/>
      <c r="AS37" s="142"/>
      <c r="AT37" s="142"/>
      <c r="AU37" s="155"/>
      <c r="AV37" s="155"/>
      <c r="AW37" s="155"/>
      <c r="AX37" s="155"/>
      <c r="AY37" s="155"/>
      <c r="AZ37" s="155"/>
      <c r="BA37" s="155"/>
      <c r="BB37" s="155"/>
      <c r="BC37" s="155"/>
      <c r="BD37" s="155"/>
    </row>
    <row r="38" spans="1:56" ht="30" customHeight="1" x14ac:dyDescent="0.3">
      <c r="A38" s="142"/>
      <c r="B38" s="142"/>
      <c r="C38" s="142"/>
      <c r="D38" s="142"/>
      <c r="E38" s="142"/>
      <c r="F38" s="142"/>
      <c r="G38" s="142"/>
      <c r="H38" s="467"/>
      <c r="I38" s="467"/>
      <c r="J38" s="467"/>
      <c r="K38" s="467"/>
      <c r="L38" s="467"/>
      <c r="M38" s="467"/>
      <c r="N38" s="467"/>
      <c r="O38" s="467"/>
      <c r="P38" s="467"/>
      <c r="Q38" s="468"/>
      <c r="R38" s="386" t="s">
        <v>243</v>
      </c>
      <c r="S38" s="387"/>
      <c r="T38" s="388"/>
      <c r="U38" s="384" t="s">
        <v>804</v>
      </c>
      <c r="V38" s="385"/>
      <c r="W38" s="385"/>
      <c r="X38" s="385" t="s">
        <v>805</v>
      </c>
      <c r="Y38" s="385"/>
      <c r="Z38" s="385"/>
      <c r="AA38" s="386" t="s">
        <v>806</v>
      </c>
      <c r="AB38" s="387"/>
      <c r="AC38" s="388"/>
      <c r="AD38" s="386" t="s">
        <v>253</v>
      </c>
      <c r="AE38" s="387"/>
      <c r="AF38" s="388"/>
      <c r="AG38" s="384" t="s">
        <v>248</v>
      </c>
      <c r="AH38" s="385"/>
      <c r="AI38" s="385"/>
      <c r="AJ38" s="385" t="s">
        <v>249</v>
      </c>
      <c r="AK38" s="385"/>
      <c r="AL38" s="385"/>
      <c r="AM38" s="385" t="s">
        <v>250</v>
      </c>
      <c r="AN38" s="385"/>
      <c r="AO38" s="391"/>
      <c r="AP38" s="386" t="s">
        <v>247</v>
      </c>
      <c r="AQ38" s="387"/>
      <c r="AR38" s="392"/>
      <c r="AS38" s="142"/>
      <c r="AT38" s="142"/>
      <c r="AU38" s="155"/>
      <c r="AV38" s="155"/>
      <c r="AW38" s="155"/>
      <c r="AX38" s="155"/>
      <c r="AY38" s="155"/>
      <c r="AZ38" s="155"/>
      <c r="BA38" s="155"/>
      <c r="BB38" s="155"/>
      <c r="BC38" s="155"/>
      <c r="BD38" s="155"/>
    </row>
    <row r="39" spans="1:56" ht="30" customHeight="1" x14ac:dyDescent="0.3">
      <c r="A39" s="142"/>
      <c r="B39" s="142"/>
      <c r="C39" s="142"/>
      <c r="D39" s="142"/>
      <c r="E39" s="142"/>
      <c r="F39" s="142"/>
      <c r="G39" s="142"/>
      <c r="H39" s="436" t="s">
        <v>257</v>
      </c>
      <c r="I39" s="436"/>
      <c r="J39" s="436"/>
      <c r="K39" s="436"/>
      <c r="L39" s="436"/>
      <c r="M39" s="436"/>
      <c r="N39" s="436"/>
      <c r="O39" s="436"/>
      <c r="P39" s="346"/>
      <c r="Q39" s="146"/>
      <c r="R39" s="433">
        <f>SUMIF(ResearchInput[Institution Name],H1,ResearchInput[Fed.Comp])</f>
        <v>0</v>
      </c>
      <c r="S39" s="369"/>
      <c r="T39" s="370"/>
      <c r="U39" s="434">
        <f>SUMIF(ResearchInput[Institution Name],H1,ResearchInput[St.Comp])</f>
        <v>0</v>
      </c>
      <c r="V39" s="369"/>
      <c r="W39" s="369"/>
      <c r="X39" s="369">
        <f>SUMIF(ResearchInput[Institution Name],H1,ResearchInput[St.C&amp;G.Comp])</f>
        <v>0</v>
      </c>
      <c r="Y39" s="369"/>
      <c r="Z39" s="369"/>
      <c r="AA39" s="369">
        <f>SUMIF(ResearchInput[Institution Name],H1,ResearchInput[St.All.Comp])</f>
        <v>0</v>
      </c>
      <c r="AB39" s="369"/>
      <c r="AC39" s="435"/>
      <c r="AD39" s="433">
        <f>SUMIF(ResearchInput[Institution Name],H1,ResearchInput[Inst.Comp])</f>
        <v>0</v>
      </c>
      <c r="AE39" s="369"/>
      <c r="AF39" s="370"/>
      <c r="AG39" s="434">
        <f>SUMIF(ResearchInput[Institution Name],H1,ResearchInput[P4P.Comp])</f>
        <v>0</v>
      </c>
      <c r="AH39" s="369"/>
      <c r="AI39" s="369"/>
      <c r="AJ39" s="369">
        <f>SUMIF(ResearchInput[Institution Name],H1,ResearchInput[PNP.Comp])</f>
        <v>0</v>
      </c>
      <c r="AK39" s="369"/>
      <c r="AL39" s="369"/>
      <c r="AM39" s="369">
        <f>SUMIF(ResearchInput[Institution Name],H1,ResearchInput[P.All.Comp])</f>
        <v>0</v>
      </c>
      <c r="AN39" s="369"/>
      <c r="AO39" s="370"/>
      <c r="AP39" s="424">
        <f>SUM(R39:AO39)</f>
        <v>0</v>
      </c>
      <c r="AQ39" s="425"/>
      <c r="AR39" s="425"/>
      <c r="AS39" s="142"/>
      <c r="AT39" s="142"/>
      <c r="AU39" s="155"/>
      <c r="AV39" s="155"/>
      <c r="AW39" s="155"/>
      <c r="AX39" s="155"/>
      <c r="AY39" s="155"/>
      <c r="AZ39" s="155"/>
      <c r="BA39" s="155"/>
      <c r="BB39" s="155"/>
      <c r="BC39" s="155"/>
      <c r="BD39" s="155"/>
    </row>
    <row r="40" spans="1:56" ht="30" customHeight="1" x14ac:dyDescent="0.3">
      <c r="A40" s="142"/>
      <c r="B40" s="142"/>
      <c r="C40" s="142"/>
      <c r="D40" s="142"/>
      <c r="E40" s="142"/>
      <c r="F40" s="142"/>
      <c r="G40" s="142"/>
      <c r="H40" s="426" t="s">
        <v>258</v>
      </c>
      <c r="I40" s="426"/>
      <c r="J40" s="426"/>
      <c r="K40" s="426"/>
      <c r="L40" s="426"/>
      <c r="M40" s="426"/>
      <c r="N40" s="426"/>
      <c r="O40" s="426"/>
      <c r="P40" s="352"/>
      <c r="Q40" s="147"/>
      <c r="R40" s="375">
        <f>SUMIF(ResearchInput[Institution Name],H1,ResearchInput[Fed.Eng])</f>
        <v>0</v>
      </c>
      <c r="S40" s="371"/>
      <c r="T40" s="372"/>
      <c r="U40" s="373">
        <f>SUMIF(ResearchInput[Institution Name],H1,ResearchInput[St.Eng])</f>
        <v>0</v>
      </c>
      <c r="V40" s="371"/>
      <c r="W40" s="371"/>
      <c r="X40" s="371">
        <f>SUMIF(ResearchInput[Institution Name],H1,ResearchInput[St.C&amp;G.Eng])</f>
        <v>0</v>
      </c>
      <c r="Y40" s="371"/>
      <c r="Z40" s="371"/>
      <c r="AA40" s="371">
        <f>SUMIF(ResearchInput[Institution Name],H1,ResearchInput[St.All.Eng])</f>
        <v>0</v>
      </c>
      <c r="AB40" s="371"/>
      <c r="AC40" s="374"/>
      <c r="AD40" s="375">
        <f>SUMIF(ResearchInput[Institution Name],H1,ResearchInput[Inst.Eng])</f>
        <v>0</v>
      </c>
      <c r="AE40" s="371"/>
      <c r="AF40" s="372"/>
      <c r="AG40" s="373">
        <f>SUMIF(ResearchInput[Institution Name],H1,ResearchInput[P4P.Eng])</f>
        <v>0</v>
      </c>
      <c r="AH40" s="371"/>
      <c r="AI40" s="371"/>
      <c r="AJ40" s="371">
        <f>SUMIF(ResearchInput[Institution Name],H1,ResearchInput[PNP.Eng])</f>
        <v>0</v>
      </c>
      <c r="AK40" s="371"/>
      <c r="AL40" s="371"/>
      <c r="AM40" s="371">
        <f>SUMIF(ResearchInput[Institution Name],H1,ResearchInput[P.All.Eng])</f>
        <v>0</v>
      </c>
      <c r="AN40" s="371"/>
      <c r="AO40" s="372"/>
      <c r="AP40" s="427">
        <f t="shared" ref="AP40:AP48" si="7">SUM(R40:AO40)</f>
        <v>0</v>
      </c>
      <c r="AQ40" s="428"/>
      <c r="AR40" s="428"/>
      <c r="AS40" s="142"/>
      <c r="AT40" s="142"/>
      <c r="AU40" s="155"/>
      <c r="AV40" s="155"/>
      <c r="AW40" s="155"/>
      <c r="AX40" s="155"/>
      <c r="AY40" s="155"/>
      <c r="AZ40" s="155"/>
      <c r="BA40" s="155"/>
      <c r="BB40" s="155"/>
      <c r="BC40" s="155"/>
      <c r="BD40" s="155"/>
    </row>
    <row r="41" spans="1:56" ht="30" customHeight="1" x14ac:dyDescent="0.3">
      <c r="A41" s="142"/>
      <c r="B41" s="142"/>
      <c r="C41" s="142"/>
      <c r="D41" s="142"/>
      <c r="E41" s="142"/>
      <c r="F41" s="142"/>
      <c r="G41" s="142"/>
      <c r="H41" s="426" t="s">
        <v>259</v>
      </c>
      <c r="I41" s="426"/>
      <c r="J41" s="426"/>
      <c r="K41" s="426"/>
      <c r="L41" s="426"/>
      <c r="M41" s="426"/>
      <c r="N41" s="426"/>
      <c r="O41" s="426"/>
      <c r="P41" s="352"/>
      <c r="Q41" s="147"/>
      <c r="R41" s="375">
        <f>SUMIF(ResearchInput[Institution Name],H1,ResearchInput[Fed.Geo])</f>
        <v>0</v>
      </c>
      <c r="S41" s="371"/>
      <c r="T41" s="372"/>
      <c r="U41" s="373">
        <f>SUMIF(ResearchInput[Institution Name],H1,ResearchInput[St.Geo])</f>
        <v>0</v>
      </c>
      <c r="V41" s="371"/>
      <c r="W41" s="371"/>
      <c r="X41" s="371">
        <f>SUMIF(ResearchInput[Institution Name],H1,ResearchInput[St.C&amp;G.Geo])</f>
        <v>0</v>
      </c>
      <c r="Y41" s="371"/>
      <c r="Z41" s="371"/>
      <c r="AA41" s="371">
        <f>SUMIF(ResearchInput[Institution Name],H1,ResearchInput[St.All.Geo])</f>
        <v>0</v>
      </c>
      <c r="AB41" s="371"/>
      <c r="AC41" s="374"/>
      <c r="AD41" s="375">
        <f>SUMIF(ResearchInput[Institution Name],H1,ResearchInput[Inst.Geo])</f>
        <v>0</v>
      </c>
      <c r="AE41" s="371"/>
      <c r="AF41" s="372"/>
      <c r="AG41" s="373">
        <f>SUMIF(ResearchInput[Institution Name],H1,ResearchInput[P4P.Geo])</f>
        <v>0</v>
      </c>
      <c r="AH41" s="371"/>
      <c r="AI41" s="371"/>
      <c r="AJ41" s="371">
        <f>SUMIF(ResearchInput[Institution Name],H1,ResearchInput[PNP.Geo])</f>
        <v>0</v>
      </c>
      <c r="AK41" s="371"/>
      <c r="AL41" s="371"/>
      <c r="AM41" s="371">
        <f>SUMIF(ResearchInput[Institution Name],H1,ResearchInput[P.All.Geo])</f>
        <v>0</v>
      </c>
      <c r="AN41" s="371"/>
      <c r="AO41" s="372"/>
      <c r="AP41" s="427">
        <f t="shared" si="7"/>
        <v>0</v>
      </c>
      <c r="AQ41" s="428"/>
      <c r="AR41" s="428"/>
      <c r="AS41" s="142"/>
      <c r="AT41" s="142"/>
      <c r="AU41" s="155"/>
      <c r="AV41" s="155"/>
      <c r="AW41" s="155"/>
      <c r="AX41" s="155"/>
      <c r="AY41" s="155"/>
      <c r="AZ41" s="155"/>
      <c r="BA41" s="155"/>
      <c r="BB41" s="155"/>
      <c r="BC41" s="155"/>
      <c r="BD41" s="155"/>
    </row>
    <row r="42" spans="1:56" ht="30" customHeight="1" x14ac:dyDescent="0.3">
      <c r="A42" s="142"/>
      <c r="B42" s="142"/>
      <c r="C42" s="142"/>
      <c r="D42" s="142"/>
      <c r="E42" s="142"/>
      <c r="F42" s="142"/>
      <c r="G42" s="142"/>
      <c r="H42" s="426" t="s">
        <v>260</v>
      </c>
      <c r="I42" s="426"/>
      <c r="J42" s="426"/>
      <c r="K42" s="426"/>
      <c r="L42" s="426"/>
      <c r="M42" s="426"/>
      <c r="N42" s="426"/>
      <c r="O42" s="426"/>
      <c r="P42" s="352"/>
      <c r="Q42" s="147"/>
      <c r="R42" s="375">
        <f>SUMIF(ResearchInput[Institution Name],H1,ResearchInput[Fed.Life])</f>
        <v>0</v>
      </c>
      <c r="S42" s="371"/>
      <c r="T42" s="372"/>
      <c r="U42" s="373">
        <f>SUMIF(ResearchInput[Institution Name],H1,ResearchInput[St.Life])</f>
        <v>0</v>
      </c>
      <c r="V42" s="371"/>
      <c r="W42" s="371"/>
      <c r="X42" s="371">
        <f>SUMIF(ResearchInput[Institution Name],H1,ResearchInput[St.C&amp;G.Life])</f>
        <v>0</v>
      </c>
      <c r="Y42" s="371"/>
      <c r="Z42" s="371"/>
      <c r="AA42" s="371">
        <f>SUMIF(ResearchInput[Institution Name],H1,ResearchInput[St.All.Life])</f>
        <v>0</v>
      </c>
      <c r="AB42" s="371"/>
      <c r="AC42" s="374"/>
      <c r="AD42" s="375">
        <f>SUMIF(ResearchInput[Institution Name],H1,ResearchInput[Inst.Life])</f>
        <v>0</v>
      </c>
      <c r="AE42" s="371"/>
      <c r="AF42" s="372"/>
      <c r="AG42" s="373">
        <f>SUMIF(ResearchInput[Institution Name],H1,ResearchInput[P4P.Life])</f>
        <v>0</v>
      </c>
      <c r="AH42" s="371"/>
      <c r="AI42" s="371"/>
      <c r="AJ42" s="371">
        <f>SUMIF(ResearchInput[Institution Name],H1,ResearchInput[PNP.Life])</f>
        <v>0</v>
      </c>
      <c r="AK42" s="371"/>
      <c r="AL42" s="371"/>
      <c r="AM42" s="371">
        <f>SUMIF(ResearchInput[Institution Name],H1,ResearchInput[P.All.Life])</f>
        <v>0</v>
      </c>
      <c r="AN42" s="371"/>
      <c r="AO42" s="372"/>
      <c r="AP42" s="427">
        <f t="shared" si="7"/>
        <v>0</v>
      </c>
      <c r="AQ42" s="428"/>
      <c r="AR42" s="428"/>
      <c r="AS42" s="142"/>
      <c r="AT42" s="142"/>
      <c r="AU42" s="155"/>
      <c r="AV42" s="155"/>
      <c r="AW42" s="155"/>
      <c r="AX42" s="155"/>
      <c r="AY42" s="155"/>
      <c r="AZ42" s="155"/>
      <c r="BA42" s="155"/>
      <c r="BB42" s="155"/>
      <c r="BC42" s="155"/>
      <c r="BD42" s="155"/>
    </row>
    <row r="43" spans="1:56" ht="30" customHeight="1" x14ac:dyDescent="0.3">
      <c r="A43" s="142"/>
      <c r="B43" s="142"/>
      <c r="C43" s="142"/>
      <c r="D43" s="142"/>
      <c r="E43" s="142"/>
      <c r="F43" s="142"/>
      <c r="G43" s="142"/>
      <c r="H43" s="426" t="s">
        <v>261</v>
      </c>
      <c r="I43" s="426"/>
      <c r="J43" s="426"/>
      <c r="K43" s="426"/>
      <c r="L43" s="426"/>
      <c r="M43" s="426"/>
      <c r="N43" s="426"/>
      <c r="O43" s="426"/>
      <c r="P43" s="352"/>
      <c r="Q43" s="147"/>
      <c r="R43" s="375">
        <f>SUMIF(ResearchInput[Institution Name],H1,ResearchInput[Fed.Math])</f>
        <v>0</v>
      </c>
      <c r="S43" s="371"/>
      <c r="T43" s="372"/>
      <c r="U43" s="373">
        <f>SUMIF(ResearchInput[Institution Name],H1,ResearchInput[St.Math])</f>
        <v>0</v>
      </c>
      <c r="V43" s="371"/>
      <c r="W43" s="371"/>
      <c r="X43" s="371">
        <f>SUMIF(ResearchInput[Institution Name],H1,ResearchInput[St.C&amp;G.Math])</f>
        <v>0</v>
      </c>
      <c r="Y43" s="371"/>
      <c r="Z43" s="371"/>
      <c r="AA43" s="371">
        <f>SUMIF(ResearchInput[Institution Name],H1,ResearchInput[St.All.Math])</f>
        <v>0</v>
      </c>
      <c r="AB43" s="371"/>
      <c r="AC43" s="374"/>
      <c r="AD43" s="375">
        <f>SUMIF(ResearchInput[Institution Name],H1,ResearchInput[Inst.Math])</f>
        <v>0</v>
      </c>
      <c r="AE43" s="371"/>
      <c r="AF43" s="372"/>
      <c r="AG43" s="373">
        <f>SUMIF(ResearchInput[Institution Name],H1,ResearchInput[P4P.Math])</f>
        <v>0</v>
      </c>
      <c r="AH43" s="371"/>
      <c r="AI43" s="371"/>
      <c r="AJ43" s="371">
        <f>SUMIF(ResearchInput[Institution Name],H1,ResearchInput[PNP.Math])</f>
        <v>0</v>
      </c>
      <c r="AK43" s="371"/>
      <c r="AL43" s="371"/>
      <c r="AM43" s="371">
        <f>SUMIF(ResearchInput[Institution Name],H1,ResearchInput[P.All.Math])</f>
        <v>0</v>
      </c>
      <c r="AN43" s="371"/>
      <c r="AO43" s="372"/>
      <c r="AP43" s="427">
        <f t="shared" si="7"/>
        <v>0</v>
      </c>
      <c r="AQ43" s="428"/>
      <c r="AR43" s="428"/>
      <c r="AS43" s="142"/>
      <c r="AT43" s="142"/>
      <c r="AU43" s="155"/>
      <c r="AV43" s="155"/>
      <c r="AW43" s="155"/>
      <c r="AX43" s="155"/>
      <c r="AY43" s="155"/>
      <c r="AZ43" s="155"/>
      <c r="BA43" s="155"/>
      <c r="BB43" s="155"/>
      <c r="BC43" s="155"/>
      <c r="BD43" s="155"/>
    </row>
    <row r="44" spans="1:56" ht="30" customHeight="1" x14ac:dyDescent="0.3">
      <c r="A44" s="142"/>
      <c r="B44" s="142"/>
      <c r="C44" s="142"/>
      <c r="D44" s="142"/>
      <c r="E44" s="142"/>
      <c r="F44" s="142"/>
      <c r="G44" s="142"/>
      <c r="H44" s="426" t="s">
        <v>262</v>
      </c>
      <c r="I44" s="426"/>
      <c r="J44" s="426"/>
      <c r="K44" s="426"/>
      <c r="L44" s="426"/>
      <c r="M44" s="426"/>
      <c r="N44" s="426"/>
      <c r="O44" s="426"/>
      <c r="P44" s="352"/>
      <c r="Q44" s="147"/>
      <c r="R44" s="375">
        <f>SUMIF(ResearchInput[Institution Name],H1,ResearchInput[Fed.Phys])</f>
        <v>0</v>
      </c>
      <c r="S44" s="371"/>
      <c r="T44" s="372"/>
      <c r="U44" s="373">
        <f>SUMIF(ResearchInput[Institution Name],H1,ResearchInput[St.Phys])</f>
        <v>0</v>
      </c>
      <c r="V44" s="371"/>
      <c r="W44" s="371"/>
      <c r="X44" s="371">
        <f>SUMIF(ResearchInput[Institution Name],H1,ResearchInput[St.C&amp;G.Phys])</f>
        <v>0</v>
      </c>
      <c r="Y44" s="371"/>
      <c r="Z44" s="371"/>
      <c r="AA44" s="371">
        <f>SUMIF(ResearchInput[Institution Name],H1,ResearchInput[St.All.Phys])</f>
        <v>0</v>
      </c>
      <c r="AB44" s="371"/>
      <c r="AC44" s="374"/>
      <c r="AD44" s="375">
        <f>SUMIF(ResearchInput[Institution Name],H1,ResearchInput[Inst.Phys])</f>
        <v>0</v>
      </c>
      <c r="AE44" s="371"/>
      <c r="AF44" s="372"/>
      <c r="AG44" s="373">
        <f>SUMIF(ResearchInput[Institution Name],H1,ResearchInput[P4P.Phys])</f>
        <v>0</v>
      </c>
      <c r="AH44" s="371"/>
      <c r="AI44" s="371"/>
      <c r="AJ44" s="371">
        <f>SUMIF(ResearchInput[Institution Name],H1,ResearchInput[PNP.Phys])</f>
        <v>0</v>
      </c>
      <c r="AK44" s="371"/>
      <c r="AL44" s="371"/>
      <c r="AM44" s="371">
        <f>SUMIF(ResearchInput[Institution Name],H1,ResearchInput[P.All.Phys])</f>
        <v>0</v>
      </c>
      <c r="AN44" s="371"/>
      <c r="AO44" s="372"/>
      <c r="AP44" s="427">
        <f t="shared" si="7"/>
        <v>0</v>
      </c>
      <c r="AQ44" s="428"/>
      <c r="AR44" s="428"/>
      <c r="AS44" s="142"/>
      <c r="AT44" s="142"/>
      <c r="AU44" s="155"/>
      <c r="AV44" s="155"/>
      <c r="AW44" s="155"/>
      <c r="AX44" s="155"/>
      <c r="AY44" s="155"/>
      <c r="AZ44" s="155"/>
      <c r="BA44" s="155"/>
      <c r="BB44" s="155"/>
      <c r="BC44" s="155"/>
      <c r="BD44" s="155"/>
    </row>
    <row r="45" spans="1:56" ht="30" customHeight="1" x14ac:dyDescent="0.3">
      <c r="A45" s="142"/>
      <c r="B45" s="142"/>
      <c r="C45" s="142"/>
      <c r="D45" s="142"/>
      <c r="E45" s="142"/>
      <c r="F45" s="142"/>
      <c r="G45" s="142"/>
      <c r="H45" s="426" t="s">
        <v>263</v>
      </c>
      <c r="I45" s="426"/>
      <c r="J45" s="426"/>
      <c r="K45" s="426"/>
      <c r="L45" s="426"/>
      <c r="M45" s="426"/>
      <c r="N45" s="426"/>
      <c r="O45" s="426"/>
      <c r="P45" s="352"/>
      <c r="Q45" s="147"/>
      <c r="R45" s="375">
        <f>SUMIF(ResearchInput[Institution Name],H1,ResearchInput[Fed.Psyc])</f>
        <v>0</v>
      </c>
      <c r="S45" s="371"/>
      <c r="T45" s="372"/>
      <c r="U45" s="373">
        <f>SUMIF(ResearchInput[Institution Name],H1,ResearchInput[St.Psyc])</f>
        <v>0</v>
      </c>
      <c r="V45" s="371"/>
      <c r="W45" s="371"/>
      <c r="X45" s="371">
        <f>SUMIF(ResearchInput[Institution Name],H1,ResearchInput[St.C&amp;G.Psyc])</f>
        <v>0</v>
      </c>
      <c r="Y45" s="371"/>
      <c r="Z45" s="371"/>
      <c r="AA45" s="371">
        <f>SUMIF(ResearchInput[Institution Name],H1,ResearchInput[St.All.Psyc])</f>
        <v>0</v>
      </c>
      <c r="AB45" s="371"/>
      <c r="AC45" s="374"/>
      <c r="AD45" s="375">
        <f>SUMIF(ResearchInput[Institution Name],H1,ResearchInput[Inst.Psyc])</f>
        <v>0</v>
      </c>
      <c r="AE45" s="371"/>
      <c r="AF45" s="372"/>
      <c r="AG45" s="373">
        <f>SUMIF(ResearchInput[Institution Name],H1,ResearchInput[P4P.Psyc])</f>
        <v>0</v>
      </c>
      <c r="AH45" s="371"/>
      <c r="AI45" s="371"/>
      <c r="AJ45" s="371">
        <f>SUMIF(ResearchInput[Institution Name],H1,ResearchInput[PNP.Psyc])</f>
        <v>0</v>
      </c>
      <c r="AK45" s="371"/>
      <c r="AL45" s="371"/>
      <c r="AM45" s="371">
        <f>SUMIF(ResearchInput[Institution Name],H1,ResearchInput[P.All.Psyc])</f>
        <v>0</v>
      </c>
      <c r="AN45" s="371"/>
      <c r="AO45" s="372"/>
      <c r="AP45" s="427">
        <f t="shared" si="7"/>
        <v>0</v>
      </c>
      <c r="AQ45" s="428"/>
      <c r="AR45" s="428"/>
      <c r="AS45" s="142"/>
      <c r="AT45" s="142"/>
      <c r="AU45" s="155"/>
      <c r="AV45" s="155"/>
      <c r="AW45" s="155"/>
      <c r="AX45" s="155"/>
      <c r="AY45" s="155"/>
      <c r="AZ45" s="155"/>
      <c r="BA45" s="155"/>
      <c r="BB45" s="155"/>
      <c r="BC45" s="155"/>
      <c r="BD45" s="155"/>
    </row>
    <row r="46" spans="1:56" ht="30" customHeight="1" x14ac:dyDescent="0.3">
      <c r="A46" s="142"/>
      <c r="B46" s="142"/>
      <c r="C46" s="142"/>
      <c r="D46" s="142"/>
      <c r="E46" s="142"/>
      <c r="F46" s="142"/>
      <c r="G46" s="142"/>
      <c r="H46" s="426" t="s">
        <v>264</v>
      </c>
      <c r="I46" s="426"/>
      <c r="J46" s="426"/>
      <c r="K46" s="426"/>
      <c r="L46" s="426"/>
      <c r="M46" s="426"/>
      <c r="N46" s="426"/>
      <c r="O46" s="426"/>
      <c r="P46" s="352"/>
      <c r="Q46" s="147"/>
      <c r="R46" s="375">
        <f>SUMIF(ResearchInput[Institution Name],H1,ResearchInput[Fed.Soc])</f>
        <v>0</v>
      </c>
      <c r="S46" s="371"/>
      <c r="T46" s="372"/>
      <c r="U46" s="373">
        <f>SUMIF(ResearchInput[Institution Name],H1,ResearchInput[St.Soc])</f>
        <v>0</v>
      </c>
      <c r="V46" s="371"/>
      <c r="W46" s="371"/>
      <c r="X46" s="371">
        <f>SUMIF(ResearchInput[Institution Name],H1,ResearchInput[St.C&amp;G.Soc])</f>
        <v>0</v>
      </c>
      <c r="Y46" s="371"/>
      <c r="Z46" s="371"/>
      <c r="AA46" s="371">
        <f>SUMIF(ResearchInput[Institution Name],H1,ResearchInput[St.All.Soc])</f>
        <v>0</v>
      </c>
      <c r="AB46" s="371"/>
      <c r="AC46" s="374"/>
      <c r="AD46" s="375">
        <f>SUMIF(ResearchInput[Institution Name],H1,ResearchInput[Inst.Soc])</f>
        <v>0</v>
      </c>
      <c r="AE46" s="371"/>
      <c r="AF46" s="372"/>
      <c r="AG46" s="373">
        <f>SUMIF(ResearchInput[Institution Name],H1,ResearchInput[P4P.Soc])</f>
        <v>0</v>
      </c>
      <c r="AH46" s="371"/>
      <c r="AI46" s="371"/>
      <c r="AJ46" s="371">
        <f>SUMIF(ResearchInput[Institution Name],H1,ResearchInput[PNP.Soc])</f>
        <v>0</v>
      </c>
      <c r="AK46" s="371"/>
      <c r="AL46" s="371"/>
      <c r="AM46" s="371">
        <f>SUMIF(ResearchInput[Institution Name],H1,ResearchInput[P.All.Soc])</f>
        <v>0</v>
      </c>
      <c r="AN46" s="371"/>
      <c r="AO46" s="372"/>
      <c r="AP46" s="427">
        <f t="shared" si="7"/>
        <v>0</v>
      </c>
      <c r="AQ46" s="428"/>
      <c r="AR46" s="428"/>
      <c r="AS46" s="142"/>
      <c r="AT46" s="142"/>
      <c r="AU46" s="155"/>
      <c r="AV46" s="155"/>
      <c r="AW46" s="155"/>
      <c r="AX46" s="155"/>
      <c r="AY46" s="155"/>
      <c r="AZ46" s="155"/>
      <c r="BA46" s="155"/>
      <c r="BB46" s="155"/>
      <c r="BC46" s="155"/>
      <c r="BD46" s="155"/>
    </row>
    <row r="47" spans="1:56" ht="30" customHeight="1" x14ac:dyDescent="0.3">
      <c r="A47" s="142"/>
      <c r="B47" s="142"/>
      <c r="C47" s="142"/>
      <c r="D47" s="142"/>
      <c r="E47" s="142"/>
      <c r="F47" s="142"/>
      <c r="G47" s="142"/>
      <c r="H47" s="426" t="s">
        <v>265</v>
      </c>
      <c r="I47" s="426"/>
      <c r="J47" s="426"/>
      <c r="K47" s="426"/>
      <c r="L47" s="426"/>
      <c r="M47" s="426"/>
      <c r="N47" s="426"/>
      <c r="O47" s="426"/>
      <c r="P47" s="352"/>
      <c r="Q47" s="147"/>
      <c r="R47" s="375">
        <f>SUMIF(ResearchInput[Institution Name],H1,ResearchInput[Fed.Othr])</f>
        <v>0</v>
      </c>
      <c r="S47" s="371"/>
      <c r="T47" s="372"/>
      <c r="U47" s="373">
        <f>SUMIF(ResearchInput[Institution Name],H1,ResearchInput[St.Othr])</f>
        <v>0</v>
      </c>
      <c r="V47" s="371"/>
      <c r="W47" s="371"/>
      <c r="X47" s="371">
        <f>SUMIF(ResearchInput[Institution Name],H1,ResearchInput[St.C&amp;G.Othr])</f>
        <v>0</v>
      </c>
      <c r="Y47" s="371"/>
      <c r="Z47" s="371"/>
      <c r="AA47" s="371">
        <f>SUMIF(ResearchInput[Institution Name],H1,ResearchInput[St.All.Othr])</f>
        <v>0</v>
      </c>
      <c r="AB47" s="371"/>
      <c r="AC47" s="374"/>
      <c r="AD47" s="375">
        <f>SUMIF(ResearchInput[Institution Name],H1,ResearchInput[Inst.Othr])</f>
        <v>0</v>
      </c>
      <c r="AE47" s="371"/>
      <c r="AF47" s="372"/>
      <c r="AG47" s="373">
        <f>SUMIF(ResearchInput[Institution Name],H1,ResearchInput[P4P.Othr])</f>
        <v>0</v>
      </c>
      <c r="AH47" s="371"/>
      <c r="AI47" s="371"/>
      <c r="AJ47" s="371">
        <f>SUMIF(ResearchInput[Institution Name],H1,ResearchInput[PNP.Othr])</f>
        <v>0</v>
      </c>
      <c r="AK47" s="371"/>
      <c r="AL47" s="371"/>
      <c r="AM47" s="371">
        <f>SUMIF(ResearchInput[Institution Name],H1,ResearchInput[P.All.Othr])</f>
        <v>0</v>
      </c>
      <c r="AN47" s="371"/>
      <c r="AO47" s="372"/>
      <c r="AP47" s="427">
        <f t="shared" si="7"/>
        <v>0</v>
      </c>
      <c r="AQ47" s="428"/>
      <c r="AR47" s="428"/>
      <c r="AS47" s="142"/>
      <c r="AT47" s="142"/>
      <c r="AU47" s="155"/>
      <c r="AV47" s="155"/>
      <c r="AW47" s="155"/>
      <c r="AX47" s="155"/>
      <c r="AY47" s="155"/>
      <c r="AZ47" s="155"/>
      <c r="BA47" s="155"/>
      <c r="BB47" s="155"/>
      <c r="BC47" s="155"/>
      <c r="BD47" s="155"/>
    </row>
    <row r="48" spans="1:56" ht="30" customHeight="1" thickBot="1" x14ac:dyDescent="0.35">
      <c r="A48" s="142"/>
      <c r="B48" s="142"/>
      <c r="C48" s="142"/>
      <c r="D48" s="142"/>
      <c r="E48" s="142"/>
      <c r="F48" s="142"/>
      <c r="G48" s="142"/>
      <c r="H48" s="437" t="s">
        <v>266</v>
      </c>
      <c r="I48" s="437"/>
      <c r="J48" s="437"/>
      <c r="K48" s="437"/>
      <c r="L48" s="437"/>
      <c r="M48" s="437"/>
      <c r="N48" s="437"/>
      <c r="O48" s="437"/>
      <c r="P48" s="438"/>
      <c r="Q48" s="158"/>
      <c r="R48" s="367">
        <f>SUMIF(ResearchInput[Institution Name],H1,ResearchInput[Fed.Non])</f>
        <v>0</v>
      </c>
      <c r="S48" s="365"/>
      <c r="T48" s="368"/>
      <c r="U48" s="364">
        <f>SUMIF(ResearchInput[Institution Name],H1,ResearchInput[St.Non])</f>
        <v>0</v>
      </c>
      <c r="V48" s="365"/>
      <c r="W48" s="365"/>
      <c r="X48" s="365">
        <f>SUMIF(ResearchInput[Institution Name],H1,ResearchInput[St.C&amp;G.Non])</f>
        <v>0</v>
      </c>
      <c r="Y48" s="365"/>
      <c r="Z48" s="365"/>
      <c r="AA48" s="365">
        <f>SUMIF(ResearchInput[Institution Name],H1,ResearchInput[St.All.Non])</f>
        <v>0</v>
      </c>
      <c r="AB48" s="365"/>
      <c r="AC48" s="366"/>
      <c r="AD48" s="367">
        <f>SUMIF(ResearchInput[Institution Name],H1,ResearchInput[Inst.Non])</f>
        <v>0</v>
      </c>
      <c r="AE48" s="365"/>
      <c r="AF48" s="368"/>
      <c r="AG48" s="364">
        <f>SUMIF(ResearchInput[Institution Name],H1,ResearchInput[P4P.Non])</f>
        <v>0</v>
      </c>
      <c r="AH48" s="365"/>
      <c r="AI48" s="365"/>
      <c r="AJ48" s="365">
        <f>SUMIF(ResearchInput[Institution Name],H1,ResearchInput[PNP.Non])</f>
        <v>0</v>
      </c>
      <c r="AK48" s="365"/>
      <c r="AL48" s="365"/>
      <c r="AM48" s="365">
        <f>SUMIF(ResearchInput[Institution Name],H1,ResearchInput[P.All.Non])</f>
        <v>0</v>
      </c>
      <c r="AN48" s="365"/>
      <c r="AO48" s="368"/>
      <c r="AP48" s="427">
        <f t="shared" si="7"/>
        <v>0</v>
      </c>
      <c r="AQ48" s="428"/>
      <c r="AR48" s="428"/>
      <c r="AS48" s="142"/>
      <c r="AT48" s="142"/>
      <c r="AU48" s="155"/>
      <c r="AV48" s="155"/>
      <c r="AW48" s="155"/>
      <c r="AX48" s="155"/>
      <c r="AY48" s="155"/>
      <c r="AZ48" s="155"/>
      <c r="BA48" s="155"/>
      <c r="BB48" s="155"/>
      <c r="BC48" s="155"/>
      <c r="BD48" s="155"/>
    </row>
    <row r="49" spans="1:56" ht="30" customHeight="1" thickTop="1" x14ac:dyDescent="0.3">
      <c r="A49" s="142"/>
      <c r="B49" s="142"/>
      <c r="C49" s="142"/>
      <c r="D49" s="142"/>
      <c r="E49" s="142"/>
      <c r="F49" s="142"/>
      <c r="G49" s="142"/>
      <c r="H49" s="415"/>
      <c r="I49" s="416"/>
      <c r="J49" s="416"/>
      <c r="K49" s="416"/>
      <c r="L49" s="416"/>
      <c r="M49" s="416"/>
      <c r="N49" s="416"/>
      <c r="O49" s="416"/>
      <c r="P49" s="416"/>
      <c r="Q49" s="416"/>
      <c r="R49" s="417">
        <f>SUM(R39:T48)</f>
        <v>0</v>
      </c>
      <c r="S49" s="418"/>
      <c r="T49" s="419"/>
      <c r="U49" s="420">
        <f t="shared" ref="U49" si="8">SUM(U39:W48)</f>
        <v>0</v>
      </c>
      <c r="V49" s="418"/>
      <c r="W49" s="418"/>
      <c r="X49" s="418">
        <f t="shared" ref="X49" si="9">SUM(X39:Z48)</f>
        <v>0</v>
      </c>
      <c r="Y49" s="418"/>
      <c r="Z49" s="418"/>
      <c r="AA49" s="418">
        <f t="shared" ref="AA49" si="10">SUM(AA39:AC48)</f>
        <v>0</v>
      </c>
      <c r="AB49" s="418"/>
      <c r="AC49" s="429"/>
      <c r="AD49" s="417">
        <f t="shared" ref="AD49" si="11">SUM(AD39:AF48)</f>
        <v>0</v>
      </c>
      <c r="AE49" s="418"/>
      <c r="AF49" s="419"/>
      <c r="AG49" s="420">
        <f t="shared" ref="AG49" si="12">SUM(AG39:AI48)</f>
        <v>0</v>
      </c>
      <c r="AH49" s="418"/>
      <c r="AI49" s="418"/>
      <c r="AJ49" s="418">
        <f t="shared" ref="AJ49" si="13">SUM(AJ39:AL48)</f>
        <v>0</v>
      </c>
      <c r="AK49" s="418"/>
      <c r="AL49" s="418"/>
      <c r="AM49" s="418">
        <f t="shared" ref="AM49" si="14">SUM(AM39:AO48)</f>
        <v>0</v>
      </c>
      <c r="AN49" s="418"/>
      <c r="AO49" s="429"/>
      <c r="AP49" s="439">
        <f t="shared" ref="AP49" si="15">SUM(AP39:AR48)</f>
        <v>0</v>
      </c>
      <c r="AQ49" s="430"/>
      <c r="AR49" s="431"/>
      <c r="AS49" s="142"/>
      <c r="AT49" s="142"/>
      <c r="AU49" s="155"/>
      <c r="AV49" s="155"/>
      <c r="AW49" s="155"/>
      <c r="AX49" s="155"/>
      <c r="AY49" s="155"/>
      <c r="AZ49" s="155"/>
      <c r="BA49" s="155"/>
      <c r="BB49" s="155"/>
      <c r="BC49" s="155"/>
      <c r="BD49" s="155"/>
    </row>
    <row r="50" spans="1:56" ht="30" customHeight="1" x14ac:dyDescent="0.3">
      <c r="A50" s="142"/>
      <c r="B50" s="142"/>
      <c r="C50" s="142"/>
      <c r="D50" s="142"/>
      <c r="E50" s="142"/>
      <c r="F50" s="142"/>
      <c r="G50" s="142"/>
      <c r="H50" s="142"/>
      <c r="I50" s="142"/>
      <c r="J50" s="142"/>
      <c r="K50" s="142"/>
      <c r="L50" s="142"/>
      <c r="M50" s="142"/>
      <c r="N50" s="142"/>
      <c r="O50" s="142"/>
      <c r="P50" s="142"/>
      <c r="Q50" s="142"/>
      <c r="R50" s="142"/>
      <c r="S50" s="142"/>
      <c r="T50" s="142"/>
      <c r="U50" s="142"/>
      <c r="V50" s="142"/>
      <c r="W50" s="142"/>
      <c r="X50" s="142"/>
      <c r="Y50" s="142"/>
      <c r="Z50" s="142"/>
      <c r="AA50" s="142"/>
      <c r="AB50" s="142"/>
      <c r="AC50" s="142"/>
      <c r="AD50" s="142"/>
      <c r="AE50" s="142"/>
      <c r="AF50" s="142"/>
      <c r="AG50" s="142"/>
      <c r="AH50" s="142"/>
      <c r="AI50" s="142"/>
      <c r="AJ50" s="142"/>
      <c r="AK50" s="142"/>
      <c r="AL50" s="142"/>
      <c r="AM50" s="142"/>
      <c r="AN50" s="142"/>
      <c r="AO50" s="142"/>
      <c r="AP50" s="142"/>
      <c r="AQ50" s="142"/>
      <c r="AR50" s="142"/>
      <c r="AS50" s="142"/>
      <c r="AT50" s="142"/>
      <c r="AU50" s="155"/>
      <c r="AV50" s="155"/>
      <c r="AW50" s="155"/>
      <c r="AX50" s="155"/>
      <c r="AY50" s="155"/>
      <c r="AZ50" s="155"/>
      <c r="BA50" s="155"/>
      <c r="BB50" s="155"/>
      <c r="BC50" s="155"/>
      <c r="BD50" s="155"/>
    </row>
    <row r="51" spans="1:56" ht="30" customHeight="1" x14ac:dyDescent="0.3">
      <c r="A51" s="142"/>
      <c r="B51" s="142"/>
      <c r="C51" s="142"/>
      <c r="D51" s="142"/>
      <c r="E51" s="142"/>
      <c r="F51" s="142"/>
      <c r="G51" s="142"/>
      <c r="H51" s="463" t="s">
        <v>267</v>
      </c>
      <c r="I51" s="463"/>
      <c r="J51" s="463"/>
      <c r="K51" s="463"/>
      <c r="L51" s="463"/>
      <c r="M51" s="463"/>
      <c r="N51" s="463"/>
      <c r="O51" s="463"/>
      <c r="P51" s="463"/>
      <c r="Q51" s="463"/>
      <c r="R51" s="464" t="str">
        <f>IF(SUM(R31,-R49)&lt;&gt;0,"Out of Balance","Balanced")</f>
        <v>Balanced</v>
      </c>
      <c r="S51" s="465"/>
      <c r="T51" s="466"/>
      <c r="U51" s="464" t="str">
        <f>IF(SUM(U31,-U49)&lt;&gt;0,"Out of Balance","Balanced")</f>
        <v>Balanced</v>
      </c>
      <c r="V51" s="465"/>
      <c r="W51" s="466"/>
      <c r="X51" s="464" t="str">
        <f>IF(SUM(X31,-X49)&lt;&gt;0,"Out of Balance","Balanced")</f>
        <v>Balanced</v>
      </c>
      <c r="Y51" s="465"/>
      <c r="Z51" s="466"/>
      <c r="AA51" s="464" t="str">
        <f>IF(SUM(AA31,-AA49)&lt;&gt;0,"Out of Balance","Balanced")</f>
        <v>Balanced</v>
      </c>
      <c r="AB51" s="465"/>
      <c r="AC51" s="466"/>
      <c r="AD51" s="464" t="str">
        <f>IF(SUM(AD31,-AD49)&lt;&gt;0,"Out of Balance","Balanced")</f>
        <v>Balanced</v>
      </c>
      <c r="AE51" s="465"/>
      <c r="AF51" s="466"/>
      <c r="AG51" s="464" t="str">
        <f>IF(SUM(AG31,-AG49)&lt;&gt;0,"Out of Balance","Balanced")</f>
        <v>Balanced</v>
      </c>
      <c r="AH51" s="465"/>
      <c r="AI51" s="466"/>
      <c r="AJ51" s="464" t="str">
        <f>IF(SUM(AJ31,-AJ49)&lt;&gt;0,"Out of Balance","Balanced")</f>
        <v>Balanced</v>
      </c>
      <c r="AK51" s="465"/>
      <c r="AL51" s="466"/>
      <c r="AM51" s="464" t="str">
        <f>IF(SUM(AM31,-AM49)&lt;&gt;0,"Out of Balance","Balanced")</f>
        <v>Balanced</v>
      </c>
      <c r="AN51" s="465"/>
      <c r="AO51" s="466"/>
      <c r="AP51" s="464" t="str">
        <f>IF(SUM(AP31,-AP49)&lt;&gt;0,"Out of Balance","Balanced")</f>
        <v>Balanced</v>
      </c>
      <c r="AQ51" s="465"/>
      <c r="AR51" s="466"/>
      <c r="AS51" s="142"/>
      <c r="AT51" s="142"/>
      <c r="AU51" s="155"/>
      <c r="AV51" s="155"/>
      <c r="AW51" s="155"/>
      <c r="AX51" s="155"/>
      <c r="AY51" s="155"/>
      <c r="AZ51" s="155"/>
      <c r="BA51" s="155"/>
      <c r="BB51" s="155"/>
      <c r="BC51" s="155"/>
      <c r="BD51" s="155"/>
    </row>
    <row r="52" spans="1:56" ht="30" customHeight="1" x14ac:dyDescent="0.3">
      <c r="A52" s="142"/>
      <c r="B52" s="142"/>
      <c r="C52" s="142"/>
      <c r="D52" s="142"/>
      <c r="E52" s="142"/>
      <c r="F52" s="142"/>
      <c r="G52" s="142"/>
      <c r="H52" s="159"/>
      <c r="I52" s="159"/>
      <c r="J52" s="159"/>
      <c r="K52" s="159"/>
      <c r="L52" s="159"/>
      <c r="M52" s="159"/>
      <c r="N52" s="159"/>
      <c r="O52" s="159"/>
      <c r="P52" s="159"/>
      <c r="Q52" s="159"/>
      <c r="R52" s="159"/>
      <c r="S52" s="159"/>
      <c r="T52" s="159"/>
      <c r="U52" s="160"/>
      <c r="V52" s="160"/>
      <c r="W52" s="160"/>
      <c r="X52" s="160"/>
      <c r="Y52" s="160"/>
      <c r="Z52" s="160"/>
      <c r="AA52" s="160"/>
      <c r="AB52" s="160"/>
      <c r="AC52" s="160"/>
      <c r="AD52" s="159"/>
      <c r="AE52" s="159"/>
      <c r="AF52" s="159"/>
      <c r="AG52" s="160"/>
      <c r="AH52" s="160"/>
      <c r="AI52" s="160"/>
      <c r="AJ52" s="160"/>
      <c r="AK52" s="160"/>
      <c r="AL52" s="160"/>
      <c r="AM52" s="160"/>
      <c r="AN52" s="160"/>
      <c r="AO52" s="160"/>
      <c r="AP52" s="159"/>
      <c r="AQ52" s="159"/>
      <c r="AR52" s="159"/>
      <c r="AS52" s="142"/>
      <c r="AT52" s="142"/>
      <c r="AU52" s="155"/>
      <c r="AV52" s="155"/>
      <c r="AW52" s="155"/>
      <c r="AX52" s="155"/>
      <c r="AY52" s="155"/>
      <c r="AZ52" s="155"/>
      <c r="BA52" s="155"/>
      <c r="BB52" s="155"/>
      <c r="BC52" s="155"/>
      <c r="BD52" s="155"/>
    </row>
    <row r="53" spans="1:56" ht="30" customHeight="1" x14ac:dyDescent="0.3">
      <c r="A53" s="142"/>
      <c r="B53" s="142"/>
      <c r="C53" s="142"/>
      <c r="D53" s="142"/>
      <c r="E53" s="142"/>
      <c r="F53" s="142"/>
      <c r="G53" s="142"/>
      <c r="H53" s="377" t="s">
        <v>268</v>
      </c>
      <c r="I53" s="378"/>
      <c r="J53" s="378"/>
      <c r="K53" s="378"/>
      <c r="L53" s="378"/>
      <c r="M53" s="378"/>
      <c r="N53" s="378"/>
      <c r="O53" s="378"/>
      <c r="P53" s="378"/>
      <c r="Q53" s="378"/>
      <c r="R53" s="378"/>
      <c r="S53" s="378"/>
      <c r="T53" s="378"/>
      <c r="U53" s="378"/>
      <c r="V53" s="378"/>
      <c r="W53" s="378"/>
      <c r="X53" s="378"/>
      <c r="Y53" s="378"/>
      <c r="Z53" s="378"/>
      <c r="AA53" s="378"/>
      <c r="AB53" s="378"/>
      <c r="AC53" s="378"/>
      <c r="AD53" s="378"/>
      <c r="AE53" s="378"/>
      <c r="AF53" s="378"/>
      <c r="AG53" s="378"/>
      <c r="AH53" s="378"/>
      <c r="AI53" s="378"/>
      <c r="AJ53" s="378"/>
      <c r="AK53" s="378"/>
      <c r="AL53" s="378"/>
      <c r="AM53" s="378"/>
      <c r="AN53" s="378"/>
      <c r="AO53" s="378"/>
      <c r="AP53" s="378"/>
      <c r="AQ53" s="378"/>
      <c r="AR53" s="379"/>
      <c r="AS53" s="142"/>
      <c r="AT53" s="142"/>
      <c r="AU53" s="155"/>
      <c r="AV53" s="155"/>
      <c r="AW53" s="155"/>
      <c r="AX53" s="155"/>
      <c r="AY53" s="155"/>
      <c r="AZ53" s="155"/>
      <c r="BA53" s="155"/>
      <c r="BB53" s="155"/>
      <c r="BC53" s="155"/>
      <c r="BD53" s="155"/>
    </row>
    <row r="54" spans="1:56" ht="30" customHeight="1" x14ac:dyDescent="0.3">
      <c r="A54" s="142"/>
      <c r="B54" s="142"/>
      <c r="C54" s="142"/>
      <c r="D54" s="142"/>
      <c r="E54" s="142"/>
      <c r="F54" s="142"/>
      <c r="G54" s="142"/>
      <c r="H54" s="380" t="s">
        <v>698</v>
      </c>
      <c r="I54" s="380"/>
      <c r="J54" s="380"/>
      <c r="K54" s="380"/>
      <c r="L54" s="380"/>
      <c r="M54" s="380"/>
      <c r="N54" s="380"/>
      <c r="O54" s="380"/>
      <c r="P54" s="380"/>
      <c r="Q54" s="380"/>
      <c r="R54" s="380"/>
      <c r="S54" s="380"/>
      <c r="T54" s="380"/>
      <c r="U54" s="380"/>
      <c r="V54" s="380"/>
      <c r="W54" s="380"/>
      <c r="X54" s="380"/>
      <c r="Y54" s="380"/>
      <c r="Z54" s="380"/>
      <c r="AA54" s="380"/>
      <c r="AB54" s="380"/>
      <c r="AC54" s="380"/>
      <c r="AD54" s="380"/>
      <c r="AE54" s="380"/>
      <c r="AF54" s="380"/>
      <c r="AG54" s="380"/>
      <c r="AH54" s="380"/>
      <c r="AI54" s="380"/>
      <c r="AJ54" s="380"/>
      <c r="AK54" s="380"/>
      <c r="AL54" s="380"/>
      <c r="AM54" s="380"/>
      <c r="AN54" s="380"/>
      <c r="AO54" s="380"/>
      <c r="AP54" s="380"/>
      <c r="AQ54" s="380"/>
      <c r="AR54" s="461"/>
      <c r="AS54" s="142"/>
      <c r="AT54" s="142"/>
      <c r="AU54" s="155"/>
      <c r="AV54" s="155"/>
      <c r="AW54" s="155"/>
      <c r="AX54" s="155"/>
      <c r="AY54" s="155"/>
      <c r="AZ54" s="155"/>
      <c r="BA54" s="155"/>
      <c r="BB54" s="155"/>
      <c r="BC54" s="155"/>
      <c r="BD54" s="155"/>
    </row>
    <row r="55" spans="1:56" ht="30" customHeight="1" x14ac:dyDescent="0.3">
      <c r="A55" s="142"/>
      <c r="B55" s="142"/>
      <c r="C55" s="142"/>
      <c r="D55" s="142"/>
      <c r="E55" s="142"/>
      <c r="F55" s="142"/>
      <c r="G55" s="142"/>
      <c r="H55" s="380"/>
      <c r="I55" s="380"/>
      <c r="J55" s="380"/>
      <c r="K55" s="380"/>
      <c r="L55" s="380"/>
      <c r="M55" s="380"/>
      <c r="N55" s="380"/>
      <c r="O55" s="380"/>
      <c r="P55" s="380"/>
      <c r="Q55" s="380"/>
      <c r="R55" s="380"/>
      <c r="S55" s="380"/>
      <c r="T55" s="380"/>
      <c r="U55" s="380"/>
      <c r="V55" s="380"/>
      <c r="W55" s="380"/>
      <c r="X55" s="380"/>
      <c r="Y55" s="380"/>
      <c r="Z55" s="380"/>
      <c r="AA55" s="380"/>
      <c r="AB55" s="380"/>
      <c r="AC55" s="380"/>
      <c r="AD55" s="380"/>
      <c r="AE55" s="380"/>
      <c r="AF55" s="380"/>
      <c r="AG55" s="380"/>
      <c r="AH55" s="380"/>
      <c r="AI55" s="380"/>
      <c r="AJ55" s="380"/>
      <c r="AK55" s="380"/>
      <c r="AL55" s="380"/>
      <c r="AM55" s="380"/>
      <c r="AN55" s="380"/>
      <c r="AO55" s="380"/>
      <c r="AP55" s="380"/>
      <c r="AQ55" s="380"/>
      <c r="AR55" s="462"/>
      <c r="AS55" s="142"/>
      <c r="AT55" s="142"/>
      <c r="AU55" s="155"/>
      <c r="AV55" s="155"/>
      <c r="AW55" s="155"/>
      <c r="AX55" s="155"/>
      <c r="AY55" s="155"/>
      <c r="AZ55" s="155"/>
      <c r="BA55" s="155"/>
      <c r="BB55" s="155"/>
      <c r="BC55" s="155"/>
      <c r="BD55" s="155"/>
    </row>
    <row r="56" spans="1:56" ht="30" customHeight="1" x14ac:dyDescent="0.3">
      <c r="A56" s="142"/>
      <c r="B56" s="142"/>
      <c r="C56" s="142"/>
      <c r="D56" s="142"/>
      <c r="E56" s="142"/>
      <c r="F56" s="142"/>
      <c r="G56" s="142"/>
      <c r="H56" s="37"/>
      <c r="I56" s="38"/>
      <c r="J56" s="38"/>
      <c r="K56" s="38"/>
      <c r="L56" s="38"/>
      <c r="M56" s="38"/>
      <c r="N56" s="38"/>
      <c r="O56" s="38"/>
      <c r="P56" s="38"/>
      <c r="Q56" s="38"/>
      <c r="R56" s="111"/>
      <c r="S56" s="112"/>
      <c r="T56" s="113"/>
      <c r="U56" s="381" t="s">
        <v>244</v>
      </c>
      <c r="V56" s="382"/>
      <c r="W56" s="382"/>
      <c r="X56" s="382"/>
      <c r="Y56" s="382"/>
      <c r="Z56" s="382"/>
      <c r="AA56" s="111"/>
      <c r="AB56" s="112"/>
      <c r="AC56" s="113"/>
      <c r="AD56" s="111"/>
      <c r="AE56" s="112"/>
      <c r="AF56" s="113"/>
      <c r="AG56" s="381" t="s">
        <v>246</v>
      </c>
      <c r="AH56" s="382"/>
      <c r="AI56" s="382"/>
      <c r="AJ56" s="382"/>
      <c r="AK56" s="382"/>
      <c r="AL56" s="382"/>
      <c r="AM56" s="382"/>
      <c r="AN56" s="382"/>
      <c r="AO56" s="383"/>
      <c r="AP56" s="111"/>
      <c r="AQ56" s="112"/>
      <c r="AR56" s="114"/>
      <c r="AS56" s="142"/>
      <c r="AT56" s="142"/>
      <c r="AU56" s="155"/>
      <c r="AV56" s="155"/>
      <c r="AW56" s="155"/>
      <c r="AX56" s="155"/>
      <c r="AY56" s="155"/>
      <c r="AZ56" s="155"/>
      <c r="BA56" s="155"/>
      <c r="BB56" s="155"/>
      <c r="BC56" s="155"/>
      <c r="BD56" s="155"/>
    </row>
    <row r="57" spans="1:56" s="163" customFormat="1" ht="30" customHeight="1" x14ac:dyDescent="0.25">
      <c r="A57" s="161"/>
      <c r="B57" s="161"/>
      <c r="C57" s="161"/>
      <c r="D57" s="161"/>
      <c r="E57" s="161"/>
      <c r="F57" s="161"/>
      <c r="G57" s="161"/>
      <c r="H57" s="389"/>
      <c r="I57" s="389"/>
      <c r="J57" s="389"/>
      <c r="K57" s="389"/>
      <c r="L57" s="389"/>
      <c r="M57" s="389"/>
      <c r="N57" s="389"/>
      <c r="O57" s="389"/>
      <c r="P57" s="389"/>
      <c r="Q57" s="390"/>
      <c r="R57" s="386" t="s">
        <v>243</v>
      </c>
      <c r="S57" s="387"/>
      <c r="T57" s="388"/>
      <c r="U57" s="384" t="s">
        <v>804</v>
      </c>
      <c r="V57" s="385"/>
      <c r="W57" s="385"/>
      <c r="X57" s="385" t="s">
        <v>805</v>
      </c>
      <c r="Y57" s="385"/>
      <c r="Z57" s="385"/>
      <c r="AA57" s="386" t="s">
        <v>806</v>
      </c>
      <c r="AB57" s="387"/>
      <c r="AC57" s="388"/>
      <c r="AD57" s="386" t="s">
        <v>253</v>
      </c>
      <c r="AE57" s="387"/>
      <c r="AF57" s="388"/>
      <c r="AG57" s="384" t="s">
        <v>248</v>
      </c>
      <c r="AH57" s="385"/>
      <c r="AI57" s="385"/>
      <c r="AJ57" s="385" t="s">
        <v>249</v>
      </c>
      <c r="AK57" s="385"/>
      <c r="AL57" s="385"/>
      <c r="AM57" s="385" t="s">
        <v>250</v>
      </c>
      <c r="AN57" s="385"/>
      <c r="AO57" s="391"/>
      <c r="AP57" s="386" t="s">
        <v>247</v>
      </c>
      <c r="AQ57" s="387"/>
      <c r="AR57" s="392"/>
      <c r="AS57" s="161"/>
      <c r="AT57" s="161"/>
      <c r="AU57" s="162"/>
      <c r="AV57" s="162"/>
      <c r="AW57" s="162"/>
      <c r="AX57" s="162"/>
      <c r="AY57" s="162"/>
      <c r="AZ57" s="162"/>
      <c r="BA57" s="162"/>
      <c r="BB57" s="162"/>
      <c r="BC57" s="162"/>
      <c r="BD57" s="162"/>
    </row>
    <row r="58" spans="1:56" ht="30" customHeight="1" x14ac:dyDescent="0.3">
      <c r="A58" s="142"/>
      <c r="B58" s="142"/>
      <c r="C58" s="142"/>
      <c r="D58" s="142"/>
      <c r="E58" s="142"/>
      <c r="F58" s="142"/>
      <c r="G58" s="142"/>
      <c r="H58" s="436" t="s">
        <v>269</v>
      </c>
      <c r="I58" s="436"/>
      <c r="J58" s="436"/>
      <c r="K58" s="436"/>
      <c r="L58" s="436"/>
      <c r="M58" s="436"/>
      <c r="N58" s="436"/>
      <c r="O58" s="436"/>
      <c r="P58" s="346"/>
      <c r="Q58" s="146"/>
      <c r="R58" s="441">
        <f>SUMIF(ResearchInput[Institution Name],H1,ResearchInput[Fed.MedRes])</f>
        <v>0</v>
      </c>
      <c r="S58" s="442"/>
      <c r="T58" s="443"/>
      <c r="U58" s="448">
        <f>SUMIF(ResearchInput[Institution Name],H1,ResearchInput[St.MedRes])</f>
        <v>0</v>
      </c>
      <c r="V58" s="442"/>
      <c r="W58" s="442"/>
      <c r="X58" s="442">
        <f>SUMIF(ResearchInput[Institution Name],H1,ResearchInput[St.C&amp;G.MedRes])</f>
        <v>0</v>
      </c>
      <c r="Y58" s="442"/>
      <c r="Z58" s="442"/>
      <c r="AA58" s="442">
        <f>SUMIF(ResearchInput[Institution Name],H1,ResearchInput[St.All.MedRes])</f>
        <v>0</v>
      </c>
      <c r="AB58" s="442"/>
      <c r="AC58" s="449"/>
      <c r="AD58" s="441">
        <f>SUMIF(ResearchInput[Institution Name],H1,ResearchInput[Inst.MedRes])</f>
        <v>0</v>
      </c>
      <c r="AE58" s="442"/>
      <c r="AF58" s="443"/>
      <c r="AG58" s="448">
        <f>SUMIF(ResearchInput[Institution Name],H1,ResearchInput[P4P.MedRes])</f>
        <v>0</v>
      </c>
      <c r="AH58" s="442"/>
      <c r="AI58" s="442"/>
      <c r="AJ58" s="442">
        <f>SUMIF(ResearchInput[Institution Name],H1,ResearchInput[PNP.MedRes])</f>
        <v>0</v>
      </c>
      <c r="AK58" s="442"/>
      <c r="AL58" s="442"/>
      <c r="AM58" s="442">
        <f>SUMIF(ResearchInput[Institution Name],H1,ResearchInput[P.All.MedRes])</f>
        <v>0</v>
      </c>
      <c r="AN58" s="442"/>
      <c r="AO58" s="443"/>
      <c r="AP58" s="427">
        <f>SUM(R58:AO58)</f>
        <v>0</v>
      </c>
      <c r="AQ58" s="428"/>
      <c r="AR58" s="428"/>
      <c r="AS58" s="142"/>
      <c r="AT58" s="142"/>
      <c r="AU58" s="155"/>
      <c r="AV58" s="155"/>
      <c r="AW58" s="155"/>
      <c r="AX58" s="155"/>
      <c r="AY58" s="155"/>
      <c r="AZ58" s="155"/>
      <c r="BA58" s="155"/>
      <c r="BB58" s="155"/>
      <c r="BC58" s="155"/>
      <c r="BD58" s="155"/>
    </row>
    <row r="59" spans="1:56" ht="30" customHeight="1" x14ac:dyDescent="0.3">
      <c r="A59" s="142"/>
      <c r="B59" s="142"/>
      <c r="C59" s="142"/>
      <c r="D59" s="142"/>
      <c r="E59" s="142"/>
      <c r="F59" s="142"/>
      <c r="G59" s="142"/>
      <c r="H59" s="426" t="s">
        <v>270</v>
      </c>
      <c r="I59" s="426"/>
      <c r="J59" s="426"/>
      <c r="K59" s="426"/>
      <c r="L59" s="426"/>
      <c r="M59" s="426"/>
      <c r="N59" s="426"/>
      <c r="O59" s="426"/>
      <c r="P59" s="352"/>
      <c r="Q59" s="147"/>
      <c r="R59" s="453">
        <f>SUMIF(ResearchInput[Institution Name],H1,ResearchInput[Fed.Adult])</f>
        <v>0</v>
      </c>
      <c r="S59" s="451"/>
      <c r="T59" s="454"/>
      <c r="U59" s="450">
        <f>SUMIF(ResearchInput[Institution Name],H1,ResearchInput[St.Adult])</f>
        <v>0</v>
      </c>
      <c r="V59" s="451"/>
      <c r="W59" s="451"/>
      <c r="X59" s="451">
        <f>SUMIF(ResearchInput[Institution Name],H1,ResearchInput[St.C&amp;G.Adult])</f>
        <v>0</v>
      </c>
      <c r="Y59" s="451"/>
      <c r="Z59" s="451"/>
      <c r="AA59" s="451">
        <f>SUMIF(ResearchInput[Institution Name],H1,ResearchInput[St.All.Adult])</f>
        <v>0</v>
      </c>
      <c r="AB59" s="451"/>
      <c r="AC59" s="452"/>
      <c r="AD59" s="453">
        <f>SUMIF(ResearchInput[Institution Name],H1,ResearchInput[Inst.Adult])</f>
        <v>0</v>
      </c>
      <c r="AE59" s="451"/>
      <c r="AF59" s="454"/>
      <c r="AG59" s="450">
        <f>SUMIF(ResearchInput[Institution Name],H1,ResearchInput[P4P.Adult])</f>
        <v>0</v>
      </c>
      <c r="AH59" s="451"/>
      <c r="AI59" s="451"/>
      <c r="AJ59" s="451">
        <f>SUMIF(ResearchInput[Institution Name],H1,ResearchInput[PNP.Adult])</f>
        <v>0</v>
      </c>
      <c r="AK59" s="451"/>
      <c r="AL59" s="451"/>
      <c r="AM59" s="451">
        <f>SUMIF(ResearchInput[Institution Name],H1,ResearchInput[P.All.Adult])</f>
        <v>0</v>
      </c>
      <c r="AN59" s="451"/>
      <c r="AO59" s="454"/>
      <c r="AP59" s="427">
        <f>SUM(R59:AO59)</f>
        <v>0</v>
      </c>
      <c r="AQ59" s="428"/>
      <c r="AR59" s="428"/>
      <c r="AS59" s="142"/>
      <c r="AT59" s="142"/>
      <c r="AU59" s="155"/>
      <c r="AV59" s="155"/>
      <c r="AW59" s="155"/>
      <c r="AX59" s="155"/>
      <c r="AY59" s="155"/>
      <c r="AZ59" s="155"/>
      <c r="BA59" s="155"/>
      <c r="BB59" s="155"/>
      <c r="BC59" s="155"/>
      <c r="BD59" s="155"/>
    </row>
    <row r="60" spans="1:56" ht="30" customHeight="1" thickBot="1" x14ac:dyDescent="0.35">
      <c r="A60" s="142"/>
      <c r="B60" s="142"/>
      <c r="C60" s="142"/>
      <c r="D60" s="142"/>
      <c r="E60" s="142"/>
      <c r="F60" s="142"/>
      <c r="G60" s="142"/>
      <c r="H60" s="437" t="s">
        <v>271</v>
      </c>
      <c r="I60" s="437"/>
      <c r="J60" s="437"/>
      <c r="K60" s="437"/>
      <c r="L60" s="437"/>
      <c r="M60" s="437"/>
      <c r="N60" s="437"/>
      <c r="O60" s="437"/>
      <c r="P60" s="438"/>
      <c r="Q60" s="158"/>
      <c r="R60" s="444">
        <f>SUMIF(ResearchInput[Institution Name],H1,ResearchInput[Fed.Embr])</f>
        <v>0</v>
      </c>
      <c r="S60" s="445"/>
      <c r="T60" s="446"/>
      <c r="U60" s="447">
        <f>SUMIF(ResearchInput[Institution Name],H1,ResearchInput[St.Embr])</f>
        <v>0</v>
      </c>
      <c r="V60" s="445"/>
      <c r="W60" s="445"/>
      <c r="X60" s="445">
        <f>SUMIF(ResearchInput[Institution Name],H1,ResearchInput[St.C&amp;G.Embr])</f>
        <v>0</v>
      </c>
      <c r="Y60" s="445"/>
      <c r="Z60" s="445"/>
      <c r="AA60" s="445">
        <f>SUMIF(ResearchInput[Institution Name],H1,ResearchInput[St.All.Embr])</f>
        <v>0</v>
      </c>
      <c r="AB60" s="445"/>
      <c r="AC60" s="460"/>
      <c r="AD60" s="444">
        <f>SUMIF(ResearchInput[Institution Name],H1,ResearchInput[Inst.Embr])</f>
        <v>0</v>
      </c>
      <c r="AE60" s="445"/>
      <c r="AF60" s="446"/>
      <c r="AG60" s="447">
        <f>SUMIF(ResearchInput[Institution Name],H1,ResearchInput[P4P.Embr])</f>
        <v>0</v>
      </c>
      <c r="AH60" s="445"/>
      <c r="AI60" s="445"/>
      <c r="AJ60" s="445">
        <f>SUMIF(ResearchInput[Institution Name],H1,ResearchInput[PNP.Embr])</f>
        <v>0</v>
      </c>
      <c r="AK60" s="445"/>
      <c r="AL60" s="445"/>
      <c r="AM60" s="445">
        <f>SUMIF(ResearchInput[Institution Name],H1,ResearchInput[P.All.Embr])</f>
        <v>0</v>
      </c>
      <c r="AN60" s="445"/>
      <c r="AO60" s="446"/>
      <c r="AP60" s="427">
        <f>SUM(R60:AO60)</f>
        <v>0</v>
      </c>
      <c r="AQ60" s="428"/>
      <c r="AR60" s="428"/>
      <c r="AS60" s="142"/>
      <c r="AT60" s="142"/>
      <c r="AU60" s="155"/>
      <c r="AV60" s="155"/>
      <c r="AW60" s="155"/>
      <c r="AX60" s="155"/>
      <c r="AY60" s="155"/>
      <c r="AZ60" s="155"/>
      <c r="BA60" s="155"/>
      <c r="BB60" s="155"/>
      <c r="BC60" s="155"/>
      <c r="BD60" s="155"/>
    </row>
    <row r="61" spans="1:56" ht="30" customHeight="1" thickTop="1" x14ac:dyDescent="0.3">
      <c r="A61" s="142"/>
      <c r="B61" s="142"/>
      <c r="C61" s="142"/>
      <c r="D61" s="142"/>
      <c r="E61" s="142"/>
      <c r="F61" s="142"/>
      <c r="G61" s="142"/>
      <c r="H61" s="415"/>
      <c r="I61" s="416"/>
      <c r="J61" s="416"/>
      <c r="K61" s="416"/>
      <c r="L61" s="416"/>
      <c r="M61" s="416"/>
      <c r="N61" s="416"/>
      <c r="O61" s="416"/>
      <c r="P61" s="416"/>
      <c r="Q61" s="416"/>
      <c r="R61" s="417">
        <f>SUM(R58:T60)</f>
        <v>0</v>
      </c>
      <c r="S61" s="418"/>
      <c r="T61" s="419"/>
      <c r="U61" s="420">
        <f>SUM(U58:W60)</f>
        <v>0</v>
      </c>
      <c r="V61" s="418"/>
      <c r="W61" s="418"/>
      <c r="X61" s="418">
        <f>SUM(X58:Z60)</f>
        <v>0</v>
      </c>
      <c r="Y61" s="418"/>
      <c r="Z61" s="418"/>
      <c r="AA61" s="418">
        <f>SUM(AA58:AC60)</f>
        <v>0</v>
      </c>
      <c r="AB61" s="418"/>
      <c r="AC61" s="429"/>
      <c r="AD61" s="417">
        <f>SUM(AD58:AF60)</f>
        <v>0</v>
      </c>
      <c r="AE61" s="418"/>
      <c r="AF61" s="419"/>
      <c r="AG61" s="420">
        <f>SUM(AG58:AI60)</f>
        <v>0</v>
      </c>
      <c r="AH61" s="418"/>
      <c r="AI61" s="418"/>
      <c r="AJ61" s="418">
        <f>SUM(AJ58:AL60)</f>
        <v>0</v>
      </c>
      <c r="AK61" s="418"/>
      <c r="AL61" s="418"/>
      <c r="AM61" s="418">
        <f>SUM(AM58:AO60)</f>
        <v>0</v>
      </c>
      <c r="AN61" s="418"/>
      <c r="AO61" s="429"/>
      <c r="AP61" s="439">
        <f>SUM(AP58:AR60)</f>
        <v>0</v>
      </c>
      <c r="AQ61" s="430"/>
      <c r="AR61" s="431"/>
      <c r="AS61" s="142"/>
      <c r="AT61" s="142"/>
      <c r="AU61" s="155"/>
      <c r="AV61" s="155"/>
      <c r="AW61" s="155"/>
      <c r="AX61" s="155"/>
      <c r="AY61" s="155"/>
      <c r="AZ61" s="155"/>
      <c r="BA61" s="155"/>
      <c r="BB61" s="155"/>
      <c r="BC61" s="155"/>
      <c r="BD61" s="155"/>
    </row>
    <row r="62" spans="1:56" ht="30" customHeight="1" x14ac:dyDescent="0.3">
      <c r="A62" s="142"/>
      <c r="B62" s="142"/>
      <c r="C62" s="142"/>
      <c r="D62" s="142"/>
      <c r="E62" s="142"/>
      <c r="F62" s="142"/>
      <c r="G62" s="142"/>
      <c r="H62" s="440" t="s">
        <v>272</v>
      </c>
      <c r="I62" s="440"/>
      <c r="J62" s="440"/>
      <c r="K62" s="440"/>
      <c r="L62" s="440"/>
      <c r="M62" s="440"/>
      <c r="N62" s="440"/>
      <c r="O62" s="440"/>
      <c r="P62" s="440"/>
      <c r="Q62" s="440"/>
      <c r="R62" s="440"/>
      <c r="S62" s="440"/>
      <c r="T62" s="440"/>
      <c r="U62" s="440"/>
      <c r="V62" s="440"/>
      <c r="W62" s="440"/>
      <c r="X62" s="440"/>
      <c r="Y62" s="440"/>
      <c r="Z62" s="440"/>
      <c r="AA62" s="440"/>
      <c r="AB62" s="440"/>
      <c r="AC62" s="440"/>
      <c r="AD62" s="440"/>
      <c r="AE62" s="440"/>
      <c r="AF62" s="440"/>
      <c r="AG62" s="440"/>
      <c r="AH62" s="440"/>
      <c r="AI62" s="440"/>
      <c r="AJ62" s="440"/>
      <c r="AK62" s="440"/>
      <c r="AL62" s="440"/>
      <c r="AM62" s="440"/>
      <c r="AN62" s="440"/>
      <c r="AO62" s="440"/>
      <c r="AP62" s="440"/>
      <c r="AQ62" s="440"/>
      <c r="AR62" s="440"/>
      <c r="AS62" s="142"/>
      <c r="AT62" s="142"/>
      <c r="AU62" s="155"/>
      <c r="AV62" s="155"/>
      <c r="AW62" s="155"/>
      <c r="AX62" s="155"/>
      <c r="AY62" s="155"/>
      <c r="AZ62" s="155"/>
      <c r="BA62" s="155"/>
      <c r="BB62" s="155"/>
      <c r="BC62" s="155"/>
      <c r="BD62" s="155"/>
    </row>
    <row r="63" spans="1:56" ht="30" customHeight="1" x14ac:dyDescent="0.3">
      <c r="A63" s="142"/>
      <c r="B63" s="142"/>
      <c r="C63" s="142"/>
      <c r="D63" s="142"/>
      <c r="E63" s="142"/>
      <c r="F63" s="142"/>
      <c r="G63" s="142"/>
      <c r="H63" s="142"/>
      <c r="I63" s="142"/>
      <c r="J63" s="142"/>
      <c r="K63" s="142"/>
      <c r="L63" s="142"/>
      <c r="M63" s="142"/>
      <c r="N63" s="142"/>
      <c r="O63" s="142"/>
      <c r="P63" s="142"/>
      <c r="Q63" s="142"/>
      <c r="R63" s="142"/>
      <c r="S63" s="142"/>
      <c r="T63" s="142"/>
      <c r="U63" s="142"/>
      <c r="V63" s="142"/>
      <c r="W63" s="142"/>
      <c r="X63" s="142"/>
      <c r="Y63" s="142"/>
      <c r="Z63" s="142"/>
      <c r="AA63" s="142"/>
      <c r="AB63" s="142"/>
      <c r="AC63" s="142"/>
      <c r="AD63" s="142"/>
      <c r="AE63" s="142"/>
      <c r="AF63" s="142"/>
      <c r="AG63" s="142"/>
      <c r="AH63" s="142"/>
      <c r="AI63" s="142"/>
      <c r="AJ63" s="142"/>
      <c r="AK63" s="142"/>
      <c r="AL63" s="142"/>
      <c r="AM63" s="142"/>
      <c r="AN63" s="142"/>
      <c r="AO63" s="142"/>
      <c r="AP63" s="142"/>
      <c r="AQ63" s="142"/>
      <c r="AR63" s="142"/>
      <c r="AS63" s="142"/>
      <c r="AT63" s="142"/>
      <c r="AU63" s="155"/>
      <c r="AV63" s="155"/>
      <c r="AW63" s="155"/>
      <c r="AX63" s="155"/>
      <c r="AY63" s="155"/>
      <c r="AZ63" s="155"/>
      <c r="BA63" s="155"/>
      <c r="BB63" s="155"/>
      <c r="BC63" s="155"/>
      <c r="BD63" s="155"/>
    </row>
    <row r="64" spans="1:56" ht="30" customHeight="1" x14ac:dyDescent="0.3">
      <c r="A64" s="142"/>
      <c r="B64" s="142"/>
      <c r="C64" s="142"/>
      <c r="D64" s="142"/>
      <c r="E64" s="142"/>
      <c r="F64" s="142"/>
      <c r="G64" s="142"/>
      <c r="H64" s="142"/>
      <c r="I64" s="142"/>
      <c r="J64" s="142"/>
      <c r="K64" s="142"/>
      <c r="L64" s="142"/>
      <c r="M64" s="142"/>
      <c r="N64" s="142"/>
      <c r="O64" s="142"/>
      <c r="P64" s="142"/>
      <c r="Q64" s="142"/>
      <c r="R64" s="142"/>
      <c r="S64" s="142"/>
      <c r="T64" s="142"/>
      <c r="U64" s="142"/>
      <c r="V64" s="142"/>
      <c r="W64" s="142"/>
      <c r="X64" s="142"/>
      <c r="Y64" s="142"/>
      <c r="Z64" s="142"/>
      <c r="AA64" s="142"/>
      <c r="AB64" s="142"/>
      <c r="AC64" s="142"/>
      <c r="AD64" s="142"/>
      <c r="AE64" s="142"/>
      <c r="AF64" s="142"/>
      <c r="AG64" s="142"/>
      <c r="AH64" s="142"/>
      <c r="AI64" s="142"/>
      <c r="AJ64" s="142"/>
      <c r="AK64" s="142"/>
      <c r="AL64" s="142"/>
      <c r="AM64" s="142"/>
      <c r="AN64" s="142"/>
      <c r="AO64" s="142"/>
      <c r="AP64" s="142"/>
      <c r="AQ64" s="142"/>
      <c r="AR64" s="142"/>
      <c r="AS64" s="142"/>
      <c r="AT64" s="142"/>
      <c r="AU64" s="155"/>
      <c r="AV64" s="155"/>
      <c r="AW64" s="155"/>
      <c r="AX64" s="155"/>
      <c r="AY64" s="155"/>
      <c r="AZ64" s="155"/>
      <c r="BA64" s="155"/>
      <c r="BB64" s="155"/>
      <c r="BC64" s="155"/>
      <c r="BD64" s="155"/>
    </row>
    <row r="65" ht="30" customHeight="1" x14ac:dyDescent="0.3"/>
    <row r="66" ht="27" customHeight="1" x14ac:dyDescent="0.3"/>
    <row r="67" ht="27" customHeight="1" x14ac:dyDescent="0.3"/>
    <row r="68" ht="27" customHeight="1" x14ac:dyDescent="0.3"/>
    <row r="69" ht="27" customHeight="1" x14ac:dyDescent="0.3"/>
    <row r="70" ht="27" customHeight="1" x14ac:dyDescent="0.3"/>
    <row r="71" ht="27" customHeight="1" x14ac:dyDescent="0.3"/>
    <row r="72" ht="27" customHeight="1" x14ac:dyDescent="0.3"/>
    <row r="73" ht="27" customHeight="1" x14ac:dyDescent="0.3"/>
    <row r="74" ht="27" customHeight="1" x14ac:dyDescent="0.3"/>
    <row r="75" ht="27" customHeight="1" x14ac:dyDescent="0.3"/>
    <row r="76" ht="27" customHeight="1" x14ac:dyDescent="0.3"/>
    <row r="77" ht="27" customHeight="1" x14ac:dyDescent="0.3"/>
    <row r="78" ht="27" customHeight="1" x14ac:dyDescent="0.3"/>
    <row r="79" ht="27" customHeight="1" x14ac:dyDescent="0.3"/>
    <row r="80" ht="27" customHeight="1" x14ac:dyDescent="0.3"/>
    <row r="81" ht="27" customHeight="1" x14ac:dyDescent="0.3"/>
    <row r="82" ht="27" customHeight="1" x14ac:dyDescent="0.3"/>
    <row r="83" ht="27" customHeight="1" x14ac:dyDescent="0.3"/>
    <row r="84" ht="27" customHeight="1" x14ac:dyDescent="0.3"/>
    <row r="85" ht="27" customHeight="1" x14ac:dyDescent="0.3"/>
    <row r="86" ht="27" customHeight="1" x14ac:dyDescent="0.3"/>
    <row r="87" ht="27" customHeight="1" x14ac:dyDescent="0.3"/>
    <row r="88" ht="27" customHeight="1" x14ac:dyDescent="0.3"/>
    <row r="89" ht="27" customHeight="1" x14ac:dyDescent="0.3"/>
    <row r="90" ht="27" customHeight="1" x14ac:dyDescent="0.3"/>
    <row r="91" ht="27" customHeight="1" x14ac:dyDescent="0.3"/>
  </sheetData>
  <sheetProtection algorithmName="SHA-512" hashValue="On/MHlV/gEKgQnZ7ymhOR+7um1OzaBG3Pband2m7IwlF/dB74C3OBnJwBCcrMXr2jHCCoZl4DzASjexUibPY0w==" saltValue="Sh+ibPssINWNhgZ4cKtrIA==" spinCount="100000" sheet="1" objects="1" scenarios="1" formatCells="0" formatColumns="0" formatRows="0"/>
  <mergeCells count="316">
    <mergeCell ref="AP57:AR57"/>
    <mergeCell ref="AA57:AC57"/>
    <mergeCell ref="AA38:AC38"/>
    <mergeCell ref="H49:Q49"/>
    <mergeCell ref="R49:T49"/>
    <mergeCell ref="U49:W49"/>
    <mergeCell ref="X49:Z49"/>
    <mergeCell ref="AA49:AC49"/>
    <mergeCell ref="AD49:AF49"/>
    <mergeCell ref="AG51:AI51"/>
    <mergeCell ref="AJ51:AL51"/>
    <mergeCell ref="AM51:AO51"/>
    <mergeCell ref="H57:Q57"/>
    <mergeCell ref="U56:Z56"/>
    <mergeCell ref="AG56:AO56"/>
    <mergeCell ref="R57:T57"/>
    <mergeCell ref="U57:W57"/>
    <mergeCell ref="X57:Z57"/>
    <mergeCell ref="AD57:AF57"/>
    <mergeCell ref="AG57:AI57"/>
    <mergeCell ref="AJ57:AL57"/>
    <mergeCell ref="AM57:AO57"/>
    <mergeCell ref="AP51:AR51"/>
    <mergeCell ref="H44:P44"/>
    <mergeCell ref="H1:T1"/>
    <mergeCell ref="H2:T2"/>
    <mergeCell ref="H3:T3"/>
    <mergeCell ref="R60:T60"/>
    <mergeCell ref="U60:W60"/>
    <mergeCell ref="X60:Z60"/>
    <mergeCell ref="AA60:AC60"/>
    <mergeCell ref="R59:T59"/>
    <mergeCell ref="H58:P58"/>
    <mergeCell ref="H53:AR53"/>
    <mergeCell ref="H54:AQ55"/>
    <mergeCell ref="AR54:AR55"/>
    <mergeCell ref="AG49:AI49"/>
    <mergeCell ref="AJ49:AL49"/>
    <mergeCell ref="AM49:AO49"/>
    <mergeCell ref="AP49:AR49"/>
    <mergeCell ref="H51:Q51"/>
    <mergeCell ref="R51:T51"/>
    <mergeCell ref="U51:W51"/>
    <mergeCell ref="X51:Z51"/>
    <mergeCell ref="AA51:AC51"/>
    <mergeCell ref="AD51:AF51"/>
    <mergeCell ref="AP38:AR38"/>
    <mergeCell ref="H38:Q38"/>
    <mergeCell ref="AD58:AF58"/>
    <mergeCell ref="AG58:AI58"/>
    <mergeCell ref="AJ58:AL58"/>
    <mergeCell ref="AM58:AO58"/>
    <mergeCell ref="U59:W59"/>
    <mergeCell ref="X59:Z59"/>
    <mergeCell ref="AA59:AC59"/>
    <mergeCell ref="AD59:AF59"/>
    <mergeCell ref="AG59:AI59"/>
    <mergeCell ref="AJ59:AL59"/>
    <mergeCell ref="AM59:AO59"/>
    <mergeCell ref="AP58:AR58"/>
    <mergeCell ref="H59:P59"/>
    <mergeCell ref="AM61:AO61"/>
    <mergeCell ref="AP61:AR61"/>
    <mergeCell ref="H62:AR62"/>
    <mergeCell ref="AP60:AR60"/>
    <mergeCell ref="H61:Q61"/>
    <mergeCell ref="R61:T61"/>
    <mergeCell ref="U61:W61"/>
    <mergeCell ref="X61:Z61"/>
    <mergeCell ref="AA61:AC61"/>
    <mergeCell ref="AD61:AF61"/>
    <mergeCell ref="AG61:AI61"/>
    <mergeCell ref="AJ61:AL61"/>
    <mergeCell ref="AP59:AR59"/>
    <mergeCell ref="H60:P60"/>
    <mergeCell ref="R58:T58"/>
    <mergeCell ref="AD60:AF60"/>
    <mergeCell ref="AG60:AI60"/>
    <mergeCell ref="AJ60:AL60"/>
    <mergeCell ref="AM60:AO60"/>
    <mergeCell ref="U58:W58"/>
    <mergeCell ref="X58:Z58"/>
    <mergeCell ref="AA58:AC58"/>
    <mergeCell ref="AP44:AR44"/>
    <mergeCell ref="H45:P45"/>
    <mergeCell ref="AP45:AR45"/>
    <mergeCell ref="H46:P46"/>
    <mergeCell ref="AP46:AR46"/>
    <mergeCell ref="H47:P47"/>
    <mergeCell ref="AP47:AR47"/>
    <mergeCell ref="H48:P48"/>
    <mergeCell ref="AP48:AR48"/>
    <mergeCell ref="R44:T44"/>
    <mergeCell ref="R45:T45"/>
    <mergeCell ref="R46:T46"/>
    <mergeCell ref="R47:T47"/>
    <mergeCell ref="R48:T48"/>
    <mergeCell ref="U44:W44"/>
    <mergeCell ref="X44:Z44"/>
    <mergeCell ref="AA44:AC44"/>
    <mergeCell ref="AD44:AF44"/>
    <mergeCell ref="AG44:AI44"/>
    <mergeCell ref="AJ44:AL44"/>
    <mergeCell ref="U45:W45"/>
    <mergeCell ref="X45:Z45"/>
    <mergeCell ref="AA47:AC47"/>
    <mergeCell ref="AD47:AF47"/>
    <mergeCell ref="H41:P41"/>
    <mergeCell ref="AP41:AR41"/>
    <mergeCell ref="H42:P42"/>
    <mergeCell ref="AP42:AR42"/>
    <mergeCell ref="H43:P43"/>
    <mergeCell ref="AP43:AR43"/>
    <mergeCell ref="R39:T39"/>
    <mergeCell ref="R40:T40"/>
    <mergeCell ref="R41:T41"/>
    <mergeCell ref="R42:T42"/>
    <mergeCell ref="R43:T43"/>
    <mergeCell ref="U39:W39"/>
    <mergeCell ref="X39:Z39"/>
    <mergeCell ref="AA39:AC39"/>
    <mergeCell ref="AD39:AF39"/>
    <mergeCell ref="AG39:AI39"/>
    <mergeCell ref="AJ39:AL39"/>
    <mergeCell ref="U40:W40"/>
    <mergeCell ref="X40:Z40"/>
    <mergeCell ref="AA40:AC40"/>
    <mergeCell ref="AD40:AF40"/>
    <mergeCell ref="AG40:AI40"/>
    <mergeCell ref="AJ40:AL40"/>
    <mergeCell ref="H39:P39"/>
    <mergeCell ref="AP39:AR39"/>
    <mergeCell ref="H40:P40"/>
    <mergeCell ref="AP40:AR40"/>
    <mergeCell ref="AD31:AF31"/>
    <mergeCell ref="AG31:AI31"/>
    <mergeCell ref="AJ31:AL31"/>
    <mergeCell ref="AM31:AO31"/>
    <mergeCell ref="AP31:AR31"/>
    <mergeCell ref="H34:AR34"/>
    <mergeCell ref="H35:AQ36"/>
    <mergeCell ref="AR35:AR36"/>
    <mergeCell ref="AG37:AO37"/>
    <mergeCell ref="U37:Z37"/>
    <mergeCell ref="R38:T38"/>
    <mergeCell ref="U38:W38"/>
    <mergeCell ref="X38:Z38"/>
    <mergeCell ref="AD38:AF38"/>
    <mergeCell ref="AG38:AI38"/>
    <mergeCell ref="AJ38:AL38"/>
    <mergeCell ref="AM38:AO38"/>
    <mergeCell ref="AP28:AR30"/>
    <mergeCell ref="H31:Q31"/>
    <mergeCell ref="R31:T31"/>
    <mergeCell ref="U31:W31"/>
    <mergeCell ref="X31:Z31"/>
    <mergeCell ref="AA31:AC31"/>
    <mergeCell ref="H28:P30"/>
    <mergeCell ref="Q28:Q30"/>
    <mergeCell ref="R28:T30"/>
    <mergeCell ref="AA28:AC30"/>
    <mergeCell ref="H18:P18"/>
    <mergeCell ref="H15:P17"/>
    <mergeCell ref="Q15:Q17"/>
    <mergeCell ref="H19:P20"/>
    <mergeCell ref="Q19:Q20"/>
    <mergeCell ref="AP19:AR20"/>
    <mergeCell ref="AP18:AR18"/>
    <mergeCell ref="H25:P27"/>
    <mergeCell ref="Q25:Q27"/>
    <mergeCell ref="H21:P24"/>
    <mergeCell ref="Q21:Q24"/>
    <mergeCell ref="AP25:AR27"/>
    <mergeCell ref="AP21:AR24"/>
    <mergeCell ref="R18:T18"/>
    <mergeCell ref="R19:T20"/>
    <mergeCell ref="R21:T24"/>
    <mergeCell ref="R25:T27"/>
    <mergeCell ref="AA18:AC18"/>
    <mergeCell ref="AA19:AC20"/>
    <mergeCell ref="AA21:AC24"/>
    <mergeCell ref="AA25:AC27"/>
    <mergeCell ref="AD18:AF18"/>
    <mergeCell ref="AD19:AF20"/>
    <mergeCell ref="AD21:AF24"/>
    <mergeCell ref="H13:P14"/>
    <mergeCell ref="Q13:Q14"/>
    <mergeCell ref="AP13:AR14"/>
    <mergeCell ref="AP12:AR12"/>
    <mergeCell ref="AP15:AR17"/>
    <mergeCell ref="H12:P12"/>
    <mergeCell ref="R12:T12"/>
    <mergeCell ref="R13:T14"/>
    <mergeCell ref="R15:T17"/>
    <mergeCell ref="AA15:AC17"/>
    <mergeCell ref="AD13:AF14"/>
    <mergeCell ref="AD15:AF17"/>
    <mergeCell ref="U12:W12"/>
    <mergeCell ref="X12:Z12"/>
    <mergeCell ref="AA12:AC12"/>
    <mergeCell ref="AD12:AF12"/>
    <mergeCell ref="AG12:AI12"/>
    <mergeCell ref="AJ12:AL12"/>
    <mergeCell ref="AM12:AO12"/>
    <mergeCell ref="U13:W14"/>
    <mergeCell ref="U15:W17"/>
    <mergeCell ref="AA13:AC14"/>
    <mergeCell ref="H4:AR6"/>
    <mergeCell ref="H7:AR7"/>
    <mergeCell ref="H8:AQ9"/>
    <mergeCell ref="AG10:AO10"/>
    <mergeCell ref="U11:W11"/>
    <mergeCell ref="X11:Z11"/>
    <mergeCell ref="R11:T11"/>
    <mergeCell ref="H11:Q11"/>
    <mergeCell ref="AD11:AF11"/>
    <mergeCell ref="AG11:AI11"/>
    <mergeCell ref="AJ11:AL11"/>
    <mergeCell ref="AM11:AO11"/>
    <mergeCell ref="AP11:AR11"/>
    <mergeCell ref="AA11:AC11"/>
    <mergeCell ref="U10:Z10"/>
    <mergeCell ref="U18:W18"/>
    <mergeCell ref="U19:W20"/>
    <mergeCell ref="U21:W24"/>
    <mergeCell ref="U25:W27"/>
    <mergeCell ref="U28:W30"/>
    <mergeCell ref="X13:Z14"/>
    <mergeCell ref="X15:Z17"/>
    <mergeCell ref="X18:Z18"/>
    <mergeCell ref="X19:Z20"/>
    <mergeCell ref="X21:Z24"/>
    <mergeCell ref="X25:Z27"/>
    <mergeCell ref="X28:Z30"/>
    <mergeCell ref="AD25:AF27"/>
    <mergeCell ref="AD28:AF30"/>
    <mergeCell ref="AG13:AI14"/>
    <mergeCell ref="AJ13:AL14"/>
    <mergeCell ref="AM13:AO14"/>
    <mergeCell ref="AG15:AI17"/>
    <mergeCell ref="AJ15:AL17"/>
    <mergeCell ref="AM15:AO17"/>
    <mergeCell ref="AG18:AI18"/>
    <mergeCell ref="AJ18:AL18"/>
    <mergeCell ref="AM18:AO18"/>
    <mergeCell ref="AG19:AI20"/>
    <mergeCell ref="AJ19:AL20"/>
    <mergeCell ref="AM19:AO20"/>
    <mergeCell ref="AG21:AI24"/>
    <mergeCell ref="AJ21:AL24"/>
    <mergeCell ref="AM21:AO24"/>
    <mergeCell ref="AG25:AI27"/>
    <mergeCell ref="AJ25:AL27"/>
    <mergeCell ref="AM25:AO27"/>
    <mergeCell ref="AG28:AI30"/>
    <mergeCell ref="AJ28:AL30"/>
    <mergeCell ref="AM28:AO30"/>
    <mergeCell ref="U41:W41"/>
    <mergeCell ref="X41:Z41"/>
    <mergeCell ref="AA41:AC41"/>
    <mergeCell ref="AD41:AF41"/>
    <mergeCell ref="AG41:AI41"/>
    <mergeCell ref="AJ41:AL41"/>
    <mergeCell ref="U42:W42"/>
    <mergeCell ref="X42:Z42"/>
    <mergeCell ref="AA42:AC42"/>
    <mergeCell ref="AD42:AF42"/>
    <mergeCell ref="AG42:AI42"/>
    <mergeCell ref="AJ42:AL42"/>
    <mergeCell ref="AG47:AI47"/>
    <mergeCell ref="AJ47:AL47"/>
    <mergeCell ref="U43:W43"/>
    <mergeCell ref="X43:Z43"/>
    <mergeCell ref="AA43:AC43"/>
    <mergeCell ref="AD43:AF43"/>
    <mergeCell ref="AG43:AI43"/>
    <mergeCell ref="AJ43:AL43"/>
    <mergeCell ref="AD45:AF45"/>
    <mergeCell ref="AG45:AI45"/>
    <mergeCell ref="AJ45:AL45"/>
    <mergeCell ref="AA45:AC45"/>
    <mergeCell ref="U48:W48"/>
    <mergeCell ref="X48:Z48"/>
    <mergeCell ref="AA48:AC48"/>
    <mergeCell ref="AD48:AF48"/>
    <mergeCell ref="AG48:AI48"/>
    <mergeCell ref="AJ48:AL48"/>
    <mergeCell ref="AM48:AO48"/>
    <mergeCell ref="AM39:AO39"/>
    <mergeCell ref="AM40:AO40"/>
    <mergeCell ref="AM41:AO41"/>
    <mergeCell ref="AM42:AO42"/>
    <mergeCell ref="AM43:AO43"/>
    <mergeCell ref="AM44:AO44"/>
    <mergeCell ref="AM45:AO45"/>
    <mergeCell ref="AM46:AO46"/>
    <mergeCell ref="AM47:AO47"/>
    <mergeCell ref="U46:W46"/>
    <mergeCell ref="X46:Z46"/>
    <mergeCell ref="AA46:AC46"/>
    <mergeCell ref="AD46:AF46"/>
    <mergeCell ref="AG46:AI46"/>
    <mergeCell ref="AJ46:AL46"/>
    <mergeCell ref="U47:W47"/>
    <mergeCell ref="X47:Z47"/>
    <mergeCell ref="AU12:AX12"/>
    <mergeCell ref="AY12:BA12"/>
    <mergeCell ref="AU7:BA7"/>
    <mergeCell ref="AU8:AX8"/>
    <mergeCell ref="AY8:BA8"/>
    <mergeCell ref="AU9:AX9"/>
    <mergeCell ref="AY9:BA9"/>
    <mergeCell ref="AU10:AX10"/>
    <mergeCell ref="AY10:BA10"/>
    <mergeCell ref="AU11:AX11"/>
    <mergeCell ref="AY11:BA11"/>
  </mergeCells>
  <conditionalFormatting sqref="H2:T2">
    <cfRule type="containsText" dxfId="3" priority="1" operator="containsText" text="Select">
      <formula>NOT(ISERROR(SEARCH("Select",H2)))</formula>
    </cfRule>
  </conditionalFormatting>
  <conditionalFormatting sqref="R51:AR51">
    <cfRule type="containsText" dxfId="2" priority="2" operator="containsText" text="Out of Balance">
      <formula>NOT(ISERROR(SEARCH("Out of Balance",R51)))</formula>
    </cfRule>
  </conditionalFormatting>
  <dataValidations count="1">
    <dataValidation type="list" allowBlank="1" showInputMessage="1" showErrorMessage="1" sqref="H1:T1" xr:uid="{51E34AFD-9534-44D8-919E-F6B5F9A59FF0}">
      <formula1>Inst_Name_List</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C0DB9B-3129-430C-BCDF-9C7D444C06C2}">
  <sheetPr codeName="Sheet5">
    <tabColor theme="6"/>
  </sheetPr>
  <dimension ref="A1:BE53"/>
  <sheetViews>
    <sheetView zoomScale="80" zoomScaleNormal="80" workbookViewId="0"/>
  </sheetViews>
  <sheetFormatPr defaultColWidth="8.90625" defaultRowHeight="15.6" x14ac:dyDescent="0.3"/>
  <cols>
    <col min="1" max="58" width="6.6328125" style="143" customWidth="1"/>
    <col min="59" max="16384" width="8.90625" style="143"/>
  </cols>
  <sheetData>
    <row r="1" spans="1:57" ht="30" customHeight="1" x14ac:dyDescent="0.3">
      <c r="A1" s="142"/>
      <c r="B1" s="142"/>
      <c r="C1" s="142"/>
      <c r="D1" s="142"/>
      <c r="E1" s="142"/>
      <c r="F1" s="142"/>
      <c r="G1" s="142"/>
      <c r="H1" s="455"/>
      <c r="I1" s="455"/>
      <c r="J1" s="455"/>
      <c r="K1" s="455"/>
      <c r="L1" s="455"/>
      <c r="M1" s="455"/>
      <c r="N1" s="455"/>
      <c r="O1" s="455"/>
      <c r="P1" s="455"/>
      <c r="Q1" s="455"/>
      <c r="R1" s="455"/>
      <c r="S1" s="455"/>
      <c r="T1" s="455"/>
      <c r="U1" s="142"/>
      <c r="V1" s="142"/>
      <c r="W1" s="142"/>
      <c r="X1" s="502" t="str">
        <f>IFERROR(VLOOKUP(H1,Inst_System,3,FALSE),"")</f>
        <v/>
      </c>
      <c r="Y1" s="502"/>
      <c r="Z1" s="502"/>
      <c r="AA1" s="142"/>
      <c r="AB1" s="142"/>
      <c r="AC1" s="142"/>
      <c r="AD1" s="142"/>
      <c r="AE1" s="142"/>
      <c r="AF1" s="142"/>
      <c r="AG1" s="142"/>
      <c r="AH1" s="142"/>
      <c r="AI1" s="142"/>
      <c r="AJ1" s="142"/>
      <c r="AK1" s="142"/>
      <c r="AL1" s="142"/>
      <c r="AM1" s="142"/>
      <c r="AN1" s="142"/>
      <c r="AO1" s="142"/>
      <c r="AP1" s="142"/>
      <c r="AQ1" s="142"/>
      <c r="AR1" s="142"/>
      <c r="AS1" s="142"/>
      <c r="AT1" s="142"/>
      <c r="AU1" s="142"/>
      <c r="AV1" s="142"/>
      <c r="AW1" s="142"/>
      <c r="AX1" s="142"/>
      <c r="AY1" s="142"/>
      <c r="AZ1" s="142"/>
      <c r="BA1" s="142"/>
      <c r="BB1" s="142"/>
      <c r="BC1" s="142"/>
      <c r="BD1" s="142"/>
      <c r="BE1" s="142"/>
    </row>
    <row r="2" spans="1:57" ht="30" customHeight="1" x14ac:dyDescent="0.3">
      <c r="A2" s="142"/>
      <c r="B2" s="142"/>
      <c r="C2" s="142"/>
      <c r="D2" s="142"/>
      <c r="E2" s="142"/>
      <c r="F2" s="142"/>
      <c r="G2" s="142"/>
      <c r="H2" s="456" t="str">
        <f>IF(ISBLANK(H1),"▲ Select from dropdown menu ▲",VLOOKUP(H1,Inst_System,2,FALSE))</f>
        <v>▲ Select from dropdown menu ▲</v>
      </c>
      <c r="I2" s="457"/>
      <c r="J2" s="457"/>
      <c r="K2" s="457"/>
      <c r="L2" s="457"/>
      <c r="M2" s="457"/>
      <c r="N2" s="457"/>
      <c r="O2" s="457"/>
      <c r="P2" s="457"/>
      <c r="Q2" s="457"/>
      <c r="R2" s="457"/>
      <c r="S2" s="457"/>
      <c r="T2" s="457"/>
      <c r="U2" s="142"/>
      <c r="V2" s="142"/>
      <c r="W2" s="142"/>
      <c r="X2" s="142"/>
      <c r="Y2" s="142"/>
      <c r="Z2" s="142"/>
      <c r="AA2" s="142"/>
      <c r="AB2" s="142"/>
      <c r="AC2" s="142"/>
      <c r="AD2" s="142"/>
      <c r="AE2" s="142"/>
      <c r="AF2" s="142"/>
      <c r="AG2" s="142"/>
      <c r="AH2" s="142"/>
      <c r="AI2" s="142"/>
      <c r="AJ2" s="142"/>
      <c r="AK2" s="142"/>
      <c r="AL2" s="142"/>
      <c r="AM2" s="142"/>
      <c r="AN2" s="142"/>
      <c r="AO2" s="142"/>
      <c r="AP2" s="142"/>
      <c r="AQ2" s="142"/>
      <c r="AR2" s="142"/>
      <c r="AS2" s="142"/>
      <c r="AT2" s="142"/>
      <c r="AU2" s="503" t="s">
        <v>706</v>
      </c>
      <c r="AV2" s="504"/>
      <c r="AW2" s="504"/>
      <c r="AX2" s="504"/>
      <c r="AY2" s="504"/>
      <c r="AZ2" s="504"/>
      <c r="BA2" s="504"/>
      <c r="BB2" s="504"/>
      <c r="BC2" s="504"/>
      <c r="BD2" s="505"/>
      <c r="BE2" s="142"/>
    </row>
    <row r="3" spans="1:57" ht="30" customHeight="1" x14ac:dyDescent="0.3">
      <c r="A3" s="142"/>
      <c r="B3" s="142"/>
      <c r="C3" s="142"/>
      <c r="D3" s="142"/>
      <c r="E3" s="142"/>
      <c r="F3" s="142"/>
      <c r="G3" s="142"/>
      <c r="H3" s="458" t="s">
        <v>273</v>
      </c>
      <c r="I3" s="459"/>
      <c r="J3" s="459"/>
      <c r="K3" s="459"/>
      <c r="L3" s="459"/>
      <c r="M3" s="459"/>
      <c r="N3" s="459"/>
      <c r="O3" s="459"/>
      <c r="P3" s="459"/>
      <c r="Q3" s="459"/>
      <c r="R3" s="459"/>
      <c r="S3" s="459"/>
      <c r="T3" s="459"/>
      <c r="U3" s="142"/>
      <c r="V3" s="142"/>
      <c r="W3" s="142"/>
      <c r="X3" s="142"/>
      <c r="Y3" s="142"/>
      <c r="Z3" s="142"/>
      <c r="AA3" s="142"/>
      <c r="AB3" s="142"/>
      <c r="AC3" s="142"/>
      <c r="AD3" s="142"/>
      <c r="AE3" s="142"/>
      <c r="AF3" s="142"/>
      <c r="AG3" s="142"/>
      <c r="AH3" s="142"/>
      <c r="AI3" s="142"/>
      <c r="AJ3" s="142"/>
      <c r="AK3" s="142"/>
      <c r="AL3" s="142"/>
      <c r="AM3" s="142"/>
      <c r="AN3" s="142"/>
      <c r="AO3" s="142"/>
      <c r="AP3" s="142"/>
      <c r="AQ3" s="142"/>
      <c r="AR3" s="142"/>
      <c r="AS3" s="142"/>
      <c r="AT3" s="142"/>
      <c r="AU3" s="506" t="s">
        <v>789</v>
      </c>
      <c r="AV3" s="507"/>
      <c r="AW3" s="507"/>
      <c r="AX3" s="507"/>
      <c r="AY3" s="507"/>
      <c r="AZ3" s="507"/>
      <c r="BA3" s="507"/>
      <c r="BB3" s="507"/>
      <c r="BC3" s="507"/>
      <c r="BD3" s="144"/>
      <c r="BE3" s="142"/>
    </row>
    <row r="4" spans="1:57" ht="30" customHeight="1" x14ac:dyDescent="0.3">
      <c r="A4" s="142"/>
      <c r="B4" s="142"/>
      <c r="C4" s="142"/>
      <c r="D4" s="142"/>
      <c r="E4" s="142"/>
      <c r="F4" s="142"/>
      <c r="G4" s="142"/>
      <c r="H4" s="493" t="s">
        <v>700</v>
      </c>
      <c r="I4" s="493"/>
      <c r="J4" s="493"/>
      <c r="K4" s="493"/>
      <c r="L4" s="493"/>
      <c r="M4" s="493"/>
      <c r="N4" s="493"/>
      <c r="O4" s="493"/>
      <c r="P4" s="493"/>
      <c r="Q4" s="493"/>
      <c r="R4" s="493"/>
      <c r="S4" s="493"/>
      <c r="T4" s="493"/>
      <c r="U4" s="493"/>
      <c r="V4" s="493"/>
      <c r="W4" s="493"/>
      <c r="X4" s="493"/>
      <c r="Y4" s="493"/>
      <c r="Z4" s="493"/>
      <c r="AA4" s="493"/>
      <c r="AB4" s="493"/>
      <c r="AC4" s="493"/>
      <c r="AD4" s="493"/>
      <c r="AE4" s="493"/>
      <c r="AF4" s="493"/>
      <c r="AG4" s="493"/>
      <c r="AH4" s="493"/>
      <c r="AI4" s="493"/>
      <c r="AJ4" s="493"/>
      <c r="AK4" s="493"/>
      <c r="AL4" s="493"/>
      <c r="AM4" s="493"/>
      <c r="AN4" s="493"/>
      <c r="AO4" s="493"/>
      <c r="AP4" s="493"/>
      <c r="AQ4" s="493"/>
      <c r="AR4" s="493"/>
      <c r="AS4" s="493"/>
      <c r="AT4" s="142"/>
      <c r="AU4" s="506"/>
      <c r="AV4" s="507"/>
      <c r="AW4" s="507"/>
      <c r="AX4" s="507"/>
      <c r="AY4" s="507"/>
      <c r="AZ4" s="507"/>
      <c r="BA4" s="507"/>
      <c r="BB4" s="507"/>
      <c r="BC4" s="507"/>
      <c r="BD4" s="144"/>
      <c r="BE4" s="142"/>
    </row>
    <row r="5" spans="1:57" ht="30" customHeight="1" x14ac:dyDescent="0.3">
      <c r="A5" s="142"/>
      <c r="B5" s="142"/>
      <c r="C5" s="142"/>
      <c r="D5" s="142"/>
      <c r="E5" s="142"/>
      <c r="F5" s="142"/>
      <c r="G5" s="142"/>
      <c r="H5" s="493"/>
      <c r="I5" s="493"/>
      <c r="J5" s="493"/>
      <c r="K5" s="493"/>
      <c r="L5" s="493"/>
      <c r="M5" s="493"/>
      <c r="N5" s="493"/>
      <c r="O5" s="493"/>
      <c r="P5" s="493"/>
      <c r="Q5" s="493"/>
      <c r="R5" s="493"/>
      <c r="S5" s="493"/>
      <c r="T5" s="493"/>
      <c r="U5" s="493"/>
      <c r="V5" s="493"/>
      <c r="W5" s="493"/>
      <c r="X5" s="493"/>
      <c r="Y5" s="493"/>
      <c r="Z5" s="493"/>
      <c r="AA5" s="493"/>
      <c r="AB5" s="493"/>
      <c r="AC5" s="493"/>
      <c r="AD5" s="493"/>
      <c r="AE5" s="493"/>
      <c r="AF5" s="493"/>
      <c r="AG5" s="493"/>
      <c r="AH5" s="493"/>
      <c r="AI5" s="493"/>
      <c r="AJ5" s="493"/>
      <c r="AK5" s="493"/>
      <c r="AL5" s="493"/>
      <c r="AM5" s="493"/>
      <c r="AN5" s="493"/>
      <c r="AO5" s="493"/>
      <c r="AP5" s="493"/>
      <c r="AQ5" s="493"/>
      <c r="AR5" s="493"/>
      <c r="AS5" s="493"/>
      <c r="AT5" s="142"/>
      <c r="AU5" s="506"/>
      <c r="AV5" s="507"/>
      <c r="AW5" s="507"/>
      <c r="AX5" s="507"/>
      <c r="AY5" s="507"/>
      <c r="AZ5" s="507"/>
      <c r="BA5" s="507"/>
      <c r="BB5" s="507"/>
      <c r="BC5" s="507"/>
      <c r="BD5" s="144"/>
      <c r="BE5" s="142"/>
    </row>
    <row r="6" spans="1:57" ht="30" customHeight="1" x14ac:dyDescent="0.3">
      <c r="A6" s="142"/>
      <c r="B6" s="142"/>
      <c r="C6" s="142"/>
      <c r="D6" s="142"/>
      <c r="E6" s="142"/>
      <c r="F6" s="142"/>
      <c r="G6" s="142"/>
      <c r="H6" s="493"/>
      <c r="I6" s="493"/>
      <c r="J6" s="493"/>
      <c r="K6" s="493"/>
      <c r="L6" s="493"/>
      <c r="M6" s="493"/>
      <c r="N6" s="493"/>
      <c r="O6" s="493"/>
      <c r="P6" s="493"/>
      <c r="Q6" s="493"/>
      <c r="R6" s="493"/>
      <c r="S6" s="493"/>
      <c r="T6" s="493"/>
      <c r="U6" s="493"/>
      <c r="V6" s="493"/>
      <c r="W6" s="493"/>
      <c r="X6" s="493"/>
      <c r="Y6" s="493"/>
      <c r="Z6" s="493"/>
      <c r="AA6" s="493"/>
      <c r="AB6" s="493"/>
      <c r="AC6" s="493"/>
      <c r="AD6" s="493"/>
      <c r="AE6" s="493"/>
      <c r="AF6" s="493"/>
      <c r="AG6" s="493"/>
      <c r="AH6" s="493"/>
      <c r="AI6" s="493"/>
      <c r="AJ6" s="493"/>
      <c r="AK6" s="493"/>
      <c r="AL6" s="493"/>
      <c r="AM6" s="493"/>
      <c r="AN6" s="493"/>
      <c r="AO6" s="493"/>
      <c r="AP6" s="493"/>
      <c r="AQ6" s="493"/>
      <c r="AR6" s="493"/>
      <c r="AS6" s="493"/>
      <c r="AT6" s="142"/>
      <c r="AU6" s="508"/>
      <c r="AV6" s="509"/>
      <c r="AW6" s="509"/>
      <c r="AX6" s="509"/>
      <c r="AY6" s="509"/>
      <c r="AZ6" s="509"/>
      <c r="BA6" s="509"/>
      <c r="BB6" s="509"/>
      <c r="BC6" s="509"/>
      <c r="BD6" s="145"/>
      <c r="BE6" s="142"/>
    </row>
    <row r="7" spans="1:57" ht="30" customHeight="1" x14ac:dyDescent="0.3">
      <c r="A7" s="142"/>
      <c r="B7" s="142"/>
      <c r="C7" s="142"/>
      <c r="D7" s="142"/>
      <c r="E7" s="142"/>
      <c r="F7" s="142"/>
      <c r="G7" s="142"/>
      <c r="H7" s="493"/>
      <c r="I7" s="493"/>
      <c r="J7" s="493"/>
      <c r="K7" s="493"/>
      <c r="L7" s="493"/>
      <c r="M7" s="493"/>
      <c r="N7" s="493"/>
      <c r="O7" s="493"/>
      <c r="P7" s="493"/>
      <c r="Q7" s="493"/>
      <c r="R7" s="493"/>
      <c r="S7" s="493"/>
      <c r="T7" s="493"/>
      <c r="U7" s="493"/>
      <c r="V7" s="493"/>
      <c r="W7" s="493"/>
      <c r="X7" s="493"/>
      <c r="Y7" s="493"/>
      <c r="Z7" s="493"/>
      <c r="AA7" s="493"/>
      <c r="AB7" s="493"/>
      <c r="AC7" s="493"/>
      <c r="AD7" s="493"/>
      <c r="AE7" s="493"/>
      <c r="AF7" s="493"/>
      <c r="AG7" s="493"/>
      <c r="AH7" s="493"/>
      <c r="AI7" s="493"/>
      <c r="AJ7" s="493"/>
      <c r="AK7" s="493"/>
      <c r="AL7" s="493"/>
      <c r="AM7" s="493"/>
      <c r="AN7" s="493"/>
      <c r="AO7" s="493"/>
      <c r="AP7" s="493"/>
      <c r="AQ7" s="493"/>
      <c r="AR7" s="493"/>
      <c r="AS7" s="493"/>
      <c r="AT7" s="142"/>
      <c r="AU7" s="142"/>
      <c r="AV7" s="142"/>
      <c r="AW7" s="142"/>
      <c r="AX7" s="142"/>
      <c r="AY7" s="142"/>
      <c r="AZ7" s="142"/>
      <c r="BA7" s="142"/>
      <c r="BB7" s="142"/>
      <c r="BC7" s="142"/>
      <c r="BD7" s="142"/>
      <c r="BE7" s="142"/>
    </row>
    <row r="8" spans="1:57" ht="30" customHeight="1" x14ac:dyDescent="0.3">
      <c r="A8" s="142"/>
      <c r="B8" s="142"/>
      <c r="C8" s="142"/>
      <c r="D8" s="142"/>
      <c r="E8" s="142"/>
      <c r="F8" s="142"/>
      <c r="G8" s="142"/>
      <c r="H8" s="514" t="s">
        <v>255</v>
      </c>
      <c r="I8" s="515"/>
      <c r="J8" s="515"/>
      <c r="K8" s="515"/>
      <c r="L8" s="515"/>
      <c r="M8" s="515"/>
      <c r="N8" s="515"/>
      <c r="O8" s="515"/>
      <c r="P8" s="515"/>
      <c r="Q8" s="515"/>
      <c r="R8" s="515"/>
      <c r="S8" s="515"/>
      <c r="T8" s="515"/>
      <c r="U8" s="515"/>
      <c r="V8" s="515"/>
      <c r="W8" s="515"/>
      <c r="X8" s="515"/>
      <c r="Y8" s="515"/>
      <c r="Z8" s="515"/>
      <c r="AA8" s="515"/>
      <c r="AB8" s="515"/>
      <c r="AC8" s="515"/>
      <c r="AD8" s="515"/>
      <c r="AE8" s="515"/>
      <c r="AF8" s="515"/>
      <c r="AG8" s="515"/>
      <c r="AH8" s="515"/>
      <c r="AI8" s="515"/>
      <c r="AJ8" s="515"/>
      <c r="AK8" s="515"/>
      <c r="AL8" s="515"/>
      <c r="AM8" s="515"/>
      <c r="AN8" s="515"/>
      <c r="AO8" s="515"/>
      <c r="AP8" s="515"/>
      <c r="AQ8" s="515"/>
      <c r="AR8" s="515"/>
      <c r="AS8" s="515"/>
      <c r="AT8" s="142"/>
      <c r="AU8" s="516" t="s">
        <v>707</v>
      </c>
      <c r="AV8" s="516"/>
      <c r="AW8" s="516"/>
      <c r="AX8" s="516"/>
      <c r="AY8" s="516"/>
      <c r="AZ8" s="516"/>
      <c r="BA8" s="516"/>
      <c r="BB8" s="516"/>
      <c r="BC8" s="516"/>
      <c r="BD8" s="516"/>
      <c r="BE8" s="142"/>
    </row>
    <row r="9" spans="1:57" ht="30" customHeight="1" x14ac:dyDescent="0.3">
      <c r="A9" s="142"/>
      <c r="B9" s="142"/>
      <c r="C9" s="142"/>
      <c r="D9" s="142"/>
      <c r="E9" s="142"/>
      <c r="F9" s="142"/>
      <c r="G9" s="142"/>
      <c r="H9" s="380" t="s">
        <v>814</v>
      </c>
      <c r="I9" s="380"/>
      <c r="J9" s="380"/>
      <c r="K9" s="380"/>
      <c r="L9" s="380"/>
      <c r="M9" s="380"/>
      <c r="N9" s="380"/>
      <c r="O9" s="380"/>
      <c r="P9" s="380"/>
      <c r="Q9" s="380"/>
      <c r="R9" s="380"/>
      <c r="S9" s="380"/>
      <c r="T9" s="380"/>
      <c r="U9" s="380"/>
      <c r="V9" s="380"/>
      <c r="W9" s="380"/>
      <c r="X9" s="380"/>
      <c r="Y9" s="380"/>
      <c r="Z9" s="380"/>
      <c r="AA9" s="380"/>
      <c r="AB9" s="380"/>
      <c r="AC9" s="380"/>
      <c r="AD9" s="380"/>
      <c r="AE9" s="380"/>
      <c r="AF9" s="380"/>
      <c r="AG9" s="380"/>
      <c r="AH9" s="380"/>
      <c r="AI9" s="380"/>
      <c r="AJ9" s="380"/>
      <c r="AK9" s="380"/>
      <c r="AL9" s="380"/>
      <c r="AM9" s="380"/>
      <c r="AN9" s="380"/>
      <c r="AO9" s="380"/>
      <c r="AP9" s="380"/>
      <c r="AQ9" s="380"/>
      <c r="AR9" s="380"/>
      <c r="AS9" s="432"/>
      <c r="AT9" s="142"/>
      <c r="AU9" s="517" t="str" cm="1">
        <f t="array" ref="AU9">"
"&amp;_xlfn.TEXTJOIN(CHAR(10), TRUE, IF(ResearchInput[System]=$X$1, "▸ "&amp;ResearchInput[Institution Name], ""))</f>
        <v xml:space="preserve">
</v>
      </c>
      <c r="AV9" s="518"/>
      <c r="AW9" s="518"/>
      <c r="AX9" s="518"/>
      <c r="AY9" s="518"/>
      <c r="AZ9" s="518"/>
      <c r="BA9" s="518"/>
      <c r="BB9" s="518"/>
      <c r="BC9" s="518"/>
      <c r="BD9" s="518"/>
      <c r="BE9" s="142"/>
    </row>
    <row r="10" spans="1:57" ht="30" customHeight="1" x14ac:dyDescent="0.3">
      <c r="A10" s="142"/>
      <c r="B10" s="142"/>
      <c r="C10" s="142"/>
      <c r="D10" s="142"/>
      <c r="E10" s="142"/>
      <c r="F10" s="142"/>
      <c r="H10" s="380"/>
      <c r="I10" s="380"/>
      <c r="J10" s="380"/>
      <c r="K10" s="380"/>
      <c r="L10" s="380"/>
      <c r="M10" s="380"/>
      <c r="N10" s="380"/>
      <c r="O10" s="380"/>
      <c r="P10" s="380"/>
      <c r="Q10" s="380"/>
      <c r="R10" s="380"/>
      <c r="S10" s="380"/>
      <c r="T10" s="380"/>
      <c r="U10" s="380"/>
      <c r="V10" s="380"/>
      <c r="W10" s="380"/>
      <c r="X10" s="380"/>
      <c r="Y10" s="380"/>
      <c r="Z10" s="380"/>
      <c r="AA10" s="380"/>
      <c r="AB10" s="380"/>
      <c r="AC10" s="380"/>
      <c r="AD10" s="380"/>
      <c r="AE10" s="380"/>
      <c r="AF10" s="380"/>
      <c r="AG10" s="380"/>
      <c r="AH10" s="380"/>
      <c r="AI10" s="380"/>
      <c r="AJ10" s="380"/>
      <c r="AK10" s="380"/>
      <c r="AL10" s="380"/>
      <c r="AM10" s="380"/>
      <c r="AN10" s="380"/>
      <c r="AO10" s="380"/>
      <c r="AP10" s="380"/>
      <c r="AQ10" s="380"/>
      <c r="AR10" s="380"/>
      <c r="AS10" s="432"/>
      <c r="AT10" s="142"/>
      <c r="AU10" s="518"/>
      <c r="AV10" s="518"/>
      <c r="AW10" s="518"/>
      <c r="AX10" s="518"/>
      <c r="AY10" s="518"/>
      <c r="AZ10" s="518"/>
      <c r="BA10" s="518"/>
      <c r="BB10" s="518"/>
      <c r="BC10" s="518"/>
      <c r="BD10" s="518"/>
      <c r="BE10" s="142"/>
    </row>
    <row r="11" spans="1:57" ht="30" customHeight="1" x14ac:dyDescent="0.3">
      <c r="A11" s="142"/>
      <c r="B11" s="142"/>
      <c r="C11" s="142"/>
      <c r="D11" s="142"/>
      <c r="E11" s="142"/>
      <c r="F11" s="142"/>
      <c r="G11" s="142"/>
      <c r="H11" s="37"/>
      <c r="I11" s="38"/>
      <c r="J11" s="38"/>
      <c r="K11" s="38"/>
      <c r="L11" s="38"/>
      <c r="M11" s="38"/>
      <c r="N11" s="38"/>
      <c r="O11" s="38"/>
      <c r="P11" s="38"/>
      <c r="Q11" s="38"/>
      <c r="R11" s="45"/>
      <c r="S11" s="39"/>
      <c r="T11" s="40"/>
      <c r="U11" s="41"/>
      <c r="V11" s="510" t="s">
        <v>244</v>
      </c>
      <c r="W11" s="511"/>
      <c r="X11" s="511"/>
      <c r="Y11" s="511"/>
      <c r="Z11" s="511"/>
      <c r="AA11" s="511"/>
      <c r="AB11" s="39"/>
      <c r="AC11" s="40"/>
      <c r="AD11" s="41"/>
      <c r="AE11" s="39"/>
      <c r="AF11" s="40"/>
      <c r="AG11" s="41"/>
      <c r="AH11" s="510" t="s">
        <v>246</v>
      </c>
      <c r="AI11" s="511"/>
      <c r="AJ11" s="511"/>
      <c r="AK11" s="511"/>
      <c r="AL11" s="511"/>
      <c r="AM11" s="511"/>
      <c r="AN11" s="511"/>
      <c r="AO11" s="511"/>
      <c r="AP11" s="512"/>
      <c r="AQ11" s="39"/>
      <c r="AR11" s="40"/>
      <c r="AS11" s="42"/>
      <c r="AT11" s="142"/>
      <c r="AU11" s="518"/>
      <c r="AV11" s="518"/>
      <c r="AW11" s="518"/>
      <c r="AX11" s="518"/>
      <c r="AY11" s="518"/>
      <c r="AZ11" s="518"/>
      <c r="BA11" s="518"/>
      <c r="BB11" s="518"/>
      <c r="BC11" s="518"/>
      <c r="BD11" s="518"/>
      <c r="BE11" s="142"/>
    </row>
    <row r="12" spans="1:57" ht="30" customHeight="1" x14ac:dyDescent="0.3">
      <c r="A12" s="142"/>
      <c r="B12" s="142"/>
      <c r="C12" s="142"/>
      <c r="D12" s="142"/>
      <c r="E12" s="142"/>
      <c r="F12" s="142"/>
      <c r="G12" s="142"/>
      <c r="H12" s="499"/>
      <c r="I12" s="500"/>
      <c r="J12" s="500"/>
      <c r="K12" s="500"/>
      <c r="L12" s="500"/>
      <c r="M12" s="500"/>
      <c r="N12" s="500"/>
      <c r="O12" s="500"/>
      <c r="P12" s="500"/>
      <c r="Q12" s="500"/>
      <c r="R12" s="501"/>
      <c r="S12" s="490" t="s">
        <v>243</v>
      </c>
      <c r="T12" s="491"/>
      <c r="U12" s="513"/>
      <c r="V12" s="384" t="s">
        <v>804</v>
      </c>
      <c r="W12" s="385"/>
      <c r="X12" s="385"/>
      <c r="Y12" s="385" t="s">
        <v>805</v>
      </c>
      <c r="Z12" s="385"/>
      <c r="AA12" s="385"/>
      <c r="AB12" s="490" t="s">
        <v>806</v>
      </c>
      <c r="AC12" s="491"/>
      <c r="AD12" s="513"/>
      <c r="AE12" s="490" t="s">
        <v>253</v>
      </c>
      <c r="AF12" s="491"/>
      <c r="AG12" s="513"/>
      <c r="AH12" s="384" t="s">
        <v>248</v>
      </c>
      <c r="AI12" s="385"/>
      <c r="AJ12" s="385"/>
      <c r="AK12" s="385" t="s">
        <v>249</v>
      </c>
      <c r="AL12" s="385"/>
      <c r="AM12" s="385"/>
      <c r="AN12" s="385" t="s">
        <v>250</v>
      </c>
      <c r="AO12" s="385"/>
      <c r="AP12" s="391"/>
      <c r="AQ12" s="490" t="s">
        <v>247</v>
      </c>
      <c r="AR12" s="491"/>
      <c r="AS12" s="492"/>
      <c r="AT12" s="142"/>
      <c r="AU12" s="518"/>
      <c r="AV12" s="518"/>
      <c r="AW12" s="518"/>
      <c r="AX12" s="518"/>
      <c r="AY12" s="518"/>
      <c r="AZ12" s="518"/>
      <c r="BA12" s="518"/>
      <c r="BB12" s="518"/>
      <c r="BC12" s="518"/>
      <c r="BD12" s="518"/>
      <c r="BE12" s="142"/>
    </row>
    <row r="13" spans="1:57" ht="30" customHeight="1" x14ac:dyDescent="0.3">
      <c r="A13" s="142"/>
      <c r="B13" s="142"/>
      <c r="C13" s="142"/>
      <c r="D13" s="142"/>
      <c r="E13" s="142"/>
      <c r="F13" s="142"/>
      <c r="G13" s="142"/>
      <c r="H13" s="352" t="s">
        <v>257</v>
      </c>
      <c r="I13" s="353"/>
      <c r="J13" s="353"/>
      <c r="K13" s="353"/>
      <c r="L13" s="353"/>
      <c r="M13" s="353"/>
      <c r="N13" s="353"/>
      <c r="O13" s="353"/>
      <c r="P13" s="353"/>
      <c r="Q13" s="353"/>
      <c r="R13" s="146"/>
      <c r="S13" s="494">
        <f>SUMIF(ResearchInput[System],X1,ResearchInput[Fed.Comp])</f>
        <v>0</v>
      </c>
      <c r="T13" s="495"/>
      <c r="U13" s="496"/>
      <c r="V13" s="494">
        <f>SUMIF(ResearchInput[System],X1,ResearchInput[St.Comp])</f>
        <v>0</v>
      </c>
      <c r="W13" s="495"/>
      <c r="X13" s="495"/>
      <c r="Y13" s="495">
        <f>SUMIF(ResearchInput[System],X1,ResearchInput[St.C&amp;G.Comp])</f>
        <v>0</v>
      </c>
      <c r="Z13" s="495"/>
      <c r="AA13" s="495"/>
      <c r="AB13" s="495">
        <f>SUMIF(ResearchInput[System],X1,ResearchInput[St.All.Comp])</f>
        <v>0</v>
      </c>
      <c r="AC13" s="495"/>
      <c r="AD13" s="496"/>
      <c r="AE13" s="494">
        <f>SUMIF(ResearchInput[System],X1,ResearchInput[Inst.Comp])</f>
        <v>0</v>
      </c>
      <c r="AF13" s="495"/>
      <c r="AG13" s="496"/>
      <c r="AH13" s="494">
        <f>SUMIF(ResearchInput[System],X1,ResearchInput[P4P.Comp])</f>
        <v>0</v>
      </c>
      <c r="AI13" s="495"/>
      <c r="AJ13" s="495"/>
      <c r="AK13" s="495">
        <f>SUMIF(ResearchInput[System],X1,ResearchInput[PNP.Comp])</f>
        <v>0</v>
      </c>
      <c r="AL13" s="495"/>
      <c r="AM13" s="495"/>
      <c r="AN13" s="495">
        <f>SUMIF(ResearchInput[System],X1,ResearchInput[P.All.Comp])</f>
        <v>0</v>
      </c>
      <c r="AO13" s="495"/>
      <c r="AP13" s="496"/>
      <c r="AQ13" s="497">
        <f>SUM(S13:AP13)</f>
        <v>0</v>
      </c>
      <c r="AR13" s="497"/>
      <c r="AS13" s="498"/>
      <c r="AT13" s="142"/>
      <c r="AU13" s="518"/>
      <c r="AV13" s="518"/>
      <c r="AW13" s="518"/>
      <c r="AX13" s="518"/>
      <c r="AY13" s="518"/>
      <c r="AZ13" s="518"/>
      <c r="BA13" s="518"/>
      <c r="BB13" s="518"/>
      <c r="BC13" s="518"/>
      <c r="BD13" s="518"/>
      <c r="BE13" s="142"/>
    </row>
    <row r="14" spans="1:57" ht="30" customHeight="1" x14ac:dyDescent="0.3">
      <c r="A14" s="142"/>
      <c r="B14" s="142"/>
      <c r="C14" s="142"/>
      <c r="D14" s="142"/>
      <c r="E14" s="142"/>
      <c r="F14" s="142"/>
      <c r="G14" s="142"/>
      <c r="H14" s="352" t="s">
        <v>258</v>
      </c>
      <c r="I14" s="353"/>
      <c r="J14" s="353"/>
      <c r="K14" s="353"/>
      <c r="L14" s="353"/>
      <c r="M14" s="353"/>
      <c r="N14" s="353"/>
      <c r="O14" s="353"/>
      <c r="P14" s="353"/>
      <c r="Q14" s="353"/>
      <c r="R14" s="147"/>
      <c r="S14" s="489">
        <f>SUMIF(ResearchInput[System],X1,ResearchInput[Fed.Eng])</f>
        <v>0</v>
      </c>
      <c r="T14" s="484"/>
      <c r="U14" s="485"/>
      <c r="V14" s="489">
        <f>SUMIF(ResearchInput[System],X1,ResearchInput[St.Eng])</f>
        <v>0</v>
      </c>
      <c r="W14" s="484"/>
      <c r="X14" s="484"/>
      <c r="Y14" s="484">
        <f>SUMIF(ResearchInput[System],X1,ResearchInput[St.C&amp;G.Eng])</f>
        <v>0</v>
      </c>
      <c r="Z14" s="484"/>
      <c r="AA14" s="484"/>
      <c r="AB14" s="484">
        <f>SUMIF(ResearchInput[System],X1,ResearchInput[St.All.Eng])</f>
        <v>0</v>
      </c>
      <c r="AC14" s="484"/>
      <c r="AD14" s="485"/>
      <c r="AE14" s="489">
        <f>SUMIF(ResearchInput[System],X1,ResearchInput[Inst.Eng])</f>
        <v>0</v>
      </c>
      <c r="AF14" s="484"/>
      <c r="AG14" s="485"/>
      <c r="AH14" s="489">
        <f>SUMIF(ResearchInput[System],X1,ResearchInput[P4P.Eng])</f>
        <v>0</v>
      </c>
      <c r="AI14" s="484"/>
      <c r="AJ14" s="484"/>
      <c r="AK14" s="484">
        <f>SUMIF(ResearchInput[System],X1,ResearchInput[PNP.Eng])</f>
        <v>0</v>
      </c>
      <c r="AL14" s="484"/>
      <c r="AM14" s="484"/>
      <c r="AN14" s="484">
        <f>SUMIF(ResearchInput[System],X1,ResearchInput[P.All.Eng])</f>
        <v>0</v>
      </c>
      <c r="AO14" s="484"/>
      <c r="AP14" s="485"/>
      <c r="AQ14" s="486">
        <f t="shared" ref="AQ14:AQ22" si="0">SUM(S14:AP14)</f>
        <v>0</v>
      </c>
      <c r="AR14" s="486"/>
      <c r="AS14" s="487"/>
      <c r="AT14" s="142"/>
      <c r="AU14" s="518"/>
      <c r="AV14" s="518"/>
      <c r="AW14" s="518"/>
      <c r="AX14" s="518"/>
      <c r="AY14" s="518"/>
      <c r="AZ14" s="518"/>
      <c r="BA14" s="518"/>
      <c r="BB14" s="518"/>
      <c r="BC14" s="518"/>
      <c r="BD14" s="518"/>
      <c r="BE14" s="142"/>
    </row>
    <row r="15" spans="1:57" ht="30" customHeight="1" x14ac:dyDescent="0.3">
      <c r="A15" s="142"/>
      <c r="B15" s="142"/>
      <c r="C15" s="142"/>
      <c r="D15" s="142"/>
      <c r="E15" s="142"/>
      <c r="F15" s="142"/>
      <c r="G15" s="142"/>
      <c r="H15" s="352" t="s">
        <v>259</v>
      </c>
      <c r="I15" s="353"/>
      <c r="J15" s="353"/>
      <c r="K15" s="353"/>
      <c r="L15" s="353"/>
      <c r="M15" s="353"/>
      <c r="N15" s="353"/>
      <c r="O15" s="353"/>
      <c r="P15" s="353"/>
      <c r="Q15" s="353"/>
      <c r="R15" s="147"/>
      <c r="S15" s="489">
        <f>SUMIF(ResearchInput[System],X1,ResearchInput[Fed.Geo])</f>
        <v>0</v>
      </c>
      <c r="T15" s="484"/>
      <c r="U15" s="485"/>
      <c r="V15" s="489">
        <f>SUMIF(ResearchInput[System],X1,ResearchInput[St.Geo])</f>
        <v>0</v>
      </c>
      <c r="W15" s="484"/>
      <c r="X15" s="484"/>
      <c r="Y15" s="484">
        <f>SUMIF(ResearchInput[System],X1,ResearchInput[St.C&amp;G.Geo])</f>
        <v>0</v>
      </c>
      <c r="Z15" s="484"/>
      <c r="AA15" s="484"/>
      <c r="AB15" s="484">
        <f>SUMIF(ResearchInput[System],X1,ResearchInput[St.All.Geo])</f>
        <v>0</v>
      </c>
      <c r="AC15" s="484"/>
      <c r="AD15" s="485"/>
      <c r="AE15" s="489">
        <f>SUMIF(ResearchInput[System],X1,ResearchInput[Inst.Geo])</f>
        <v>0</v>
      </c>
      <c r="AF15" s="484"/>
      <c r="AG15" s="485"/>
      <c r="AH15" s="489">
        <f>SUMIF(ResearchInput[System],X1,ResearchInput[P4P.Geo])</f>
        <v>0</v>
      </c>
      <c r="AI15" s="484"/>
      <c r="AJ15" s="484"/>
      <c r="AK15" s="484">
        <f>SUMIF(ResearchInput[System],X1,ResearchInput[PNP.Geo])</f>
        <v>0</v>
      </c>
      <c r="AL15" s="484"/>
      <c r="AM15" s="484"/>
      <c r="AN15" s="484">
        <f>SUMIF(ResearchInput[System],X1,ResearchInput[P.All.Geo])</f>
        <v>0</v>
      </c>
      <c r="AO15" s="484"/>
      <c r="AP15" s="485"/>
      <c r="AQ15" s="486">
        <f t="shared" si="0"/>
        <v>0</v>
      </c>
      <c r="AR15" s="486"/>
      <c r="AS15" s="487"/>
      <c r="AT15" s="142"/>
      <c r="AU15" s="518"/>
      <c r="AV15" s="518"/>
      <c r="AW15" s="518"/>
      <c r="AX15" s="518"/>
      <c r="AY15" s="518"/>
      <c r="AZ15" s="518"/>
      <c r="BA15" s="518"/>
      <c r="BB15" s="518"/>
      <c r="BC15" s="518"/>
      <c r="BD15" s="518"/>
      <c r="BE15" s="142"/>
    </row>
    <row r="16" spans="1:57" ht="30" customHeight="1" x14ac:dyDescent="0.3">
      <c r="A16" s="142"/>
      <c r="B16" s="142"/>
      <c r="C16" s="142"/>
      <c r="D16" s="142"/>
      <c r="E16" s="142"/>
      <c r="F16" s="142"/>
      <c r="G16" s="142"/>
      <c r="H16" s="352" t="s">
        <v>260</v>
      </c>
      <c r="I16" s="353"/>
      <c r="J16" s="353"/>
      <c r="K16" s="353"/>
      <c r="L16" s="353"/>
      <c r="M16" s="353"/>
      <c r="N16" s="353"/>
      <c r="O16" s="353"/>
      <c r="P16" s="353"/>
      <c r="Q16" s="353"/>
      <c r="R16" s="147"/>
      <c r="S16" s="489">
        <f>SUMIF(ResearchInput[System],X1,ResearchInput[Fed.Life])</f>
        <v>0</v>
      </c>
      <c r="T16" s="484"/>
      <c r="U16" s="485"/>
      <c r="V16" s="489">
        <f>SUMIF(ResearchInput[System],X1,ResearchInput[St.Life])</f>
        <v>0</v>
      </c>
      <c r="W16" s="484"/>
      <c r="X16" s="484"/>
      <c r="Y16" s="484">
        <f>SUMIF(ResearchInput[System],X1,ResearchInput[St.C&amp;G.Life])</f>
        <v>0</v>
      </c>
      <c r="Z16" s="484"/>
      <c r="AA16" s="484"/>
      <c r="AB16" s="484">
        <f>SUMIF(ResearchInput[System],X1,ResearchInput[St.All.Life])</f>
        <v>0</v>
      </c>
      <c r="AC16" s="484"/>
      <c r="AD16" s="485"/>
      <c r="AE16" s="489">
        <f>SUMIF(ResearchInput[System],X1,ResearchInput[Inst.Life])</f>
        <v>0</v>
      </c>
      <c r="AF16" s="484"/>
      <c r="AG16" s="485"/>
      <c r="AH16" s="489">
        <f>SUMIF(ResearchInput[System],X1,ResearchInput[P4P.Life])</f>
        <v>0</v>
      </c>
      <c r="AI16" s="484"/>
      <c r="AJ16" s="484"/>
      <c r="AK16" s="484">
        <f>SUMIF(ResearchInput[System],X1,ResearchInput[PNP.Life])</f>
        <v>0</v>
      </c>
      <c r="AL16" s="484"/>
      <c r="AM16" s="484"/>
      <c r="AN16" s="484">
        <f>SUMIF(ResearchInput[System],X1,ResearchInput[P.All.Life])</f>
        <v>0</v>
      </c>
      <c r="AO16" s="484"/>
      <c r="AP16" s="485"/>
      <c r="AQ16" s="486">
        <f t="shared" si="0"/>
        <v>0</v>
      </c>
      <c r="AR16" s="486"/>
      <c r="AS16" s="487"/>
      <c r="AT16" s="142"/>
      <c r="AU16" s="518"/>
      <c r="AV16" s="518"/>
      <c r="AW16" s="518"/>
      <c r="AX16" s="518"/>
      <c r="AY16" s="518"/>
      <c r="AZ16" s="518"/>
      <c r="BA16" s="518"/>
      <c r="BB16" s="518"/>
      <c r="BC16" s="518"/>
      <c r="BD16" s="518"/>
      <c r="BE16" s="142"/>
    </row>
    <row r="17" spans="1:57" ht="30" customHeight="1" x14ac:dyDescent="0.3">
      <c r="A17" s="142"/>
      <c r="B17" s="142"/>
      <c r="C17" s="142"/>
      <c r="D17" s="142"/>
      <c r="E17" s="142"/>
      <c r="F17" s="142"/>
      <c r="G17" s="142"/>
      <c r="H17" s="352" t="s">
        <v>261</v>
      </c>
      <c r="I17" s="353"/>
      <c r="J17" s="353"/>
      <c r="K17" s="353"/>
      <c r="L17" s="353"/>
      <c r="M17" s="353"/>
      <c r="N17" s="353"/>
      <c r="O17" s="353"/>
      <c r="P17" s="353"/>
      <c r="Q17" s="353"/>
      <c r="R17" s="147"/>
      <c r="S17" s="489">
        <f>SUMIF(ResearchInput[System],X1,ResearchInput[Fed.Math])</f>
        <v>0</v>
      </c>
      <c r="T17" s="484"/>
      <c r="U17" s="485"/>
      <c r="V17" s="489">
        <f>SUMIF(ResearchInput[System],X1,ResearchInput[St.Math])</f>
        <v>0</v>
      </c>
      <c r="W17" s="484"/>
      <c r="X17" s="484"/>
      <c r="Y17" s="484">
        <f>SUMIF(ResearchInput[System],X1,ResearchInput[St.C&amp;G.Math])</f>
        <v>0</v>
      </c>
      <c r="Z17" s="484"/>
      <c r="AA17" s="484"/>
      <c r="AB17" s="484">
        <f>SUMIF(ResearchInput[System],X1,ResearchInput[St.All.Math])</f>
        <v>0</v>
      </c>
      <c r="AC17" s="484"/>
      <c r="AD17" s="485"/>
      <c r="AE17" s="489">
        <f>SUMIF(ResearchInput[System],X1,ResearchInput[Inst.Math])</f>
        <v>0</v>
      </c>
      <c r="AF17" s="484"/>
      <c r="AG17" s="485"/>
      <c r="AH17" s="489">
        <f>SUMIF(ResearchInput[System],X1,ResearchInput[P4P.Math])</f>
        <v>0</v>
      </c>
      <c r="AI17" s="484"/>
      <c r="AJ17" s="484"/>
      <c r="AK17" s="484">
        <f>SUMIF(ResearchInput[System],X1,ResearchInput[PNP.Math])</f>
        <v>0</v>
      </c>
      <c r="AL17" s="484"/>
      <c r="AM17" s="484"/>
      <c r="AN17" s="484">
        <f>SUMIF(ResearchInput[System],X1,ResearchInput[P.All.Math])</f>
        <v>0</v>
      </c>
      <c r="AO17" s="484"/>
      <c r="AP17" s="485"/>
      <c r="AQ17" s="486">
        <f t="shared" si="0"/>
        <v>0</v>
      </c>
      <c r="AR17" s="486"/>
      <c r="AS17" s="487"/>
      <c r="AT17" s="142"/>
      <c r="AU17" s="518"/>
      <c r="AV17" s="518"/>
      <c r="AW17" s="518"/>
      <c r="AX17" s="518"/>
      <c r="AY17" s="518"/>
      <c r="AZ17" s="518"/>
      <c r="BA17" s="518"/>
      <c r="BB17" s="518"/>
      <c r="BC17" s="518"/>
      <c r="BD17" s="518"/>
      <c r="BE17" s="142"/>
    </row>
    <row r="18" spans="1:57" ht="30" customHeight="1" x14ac:dyDescent="0.3">
      <c r="A18" s="142"/>
      <c r="B18" s="142"/>
      <c r="C18" s="142"/>
      <c r="D18" s="142"/>
      <c r="E18" s="142"/>
      <c r="F18" s="142"/>
      <c r="G18" s="142"/>
      <c r="H18" s="352" t="s">
        <v>262</v>
      </c>
      <c r="I18" s="353"/>
      <c r="J18" s="353"/>
      <c r="K18" s="353"/>
      <c r="L18" s="353"/>
      <c r="M18" s="353"/>
      <c r="N18" s="353"/>
      <c r="O18" s="353"/>
      <c r="P18" s="353"/>
      <c r="Q18" s="353"/>
      <c r="R18" s="147"/>
      <c r="S18" s="489">
        <f>SUMIF(ResearchInput[System],X1,ResearchInput[Fed.Phys])</f>
        <v>0</v>
      </c>
      <c r="T18" s="484"/>
      <c r="U18" s="485"/>
      <c r="V18" s="489">
        <f>SUMIF(ResearchInput[System],X1,ResearchInput[St.Phys])</f>
        <v>0</v>
      </c>
      <c r="W18" s="484"/>
      <c r="X18" s="484"/>
      <c r="Y18" s="484">
        <f>SUMIF(ResearchInput[System],X1,ResearchInput[St.C&amp;G.Phys])</f>
        <v>0</v>
      </c>
      <c r="Z18" s="484"/>
      <c r="AA18" s="484"/>
      <c r="AB18" s="484">
        <f>SUMIF(ResearchInput[System],X1,ResearchInput[St.All.Phys])</f>
        <v>0</v>
      </c>
      <c r="AC18" s="484"/>
      <c r="AD18" s="485"/>
      <c r="AE18" s="489">
        <f>SUMIF(ResearchInput[System],X1,ResearchInput[Inst.Phys])</f>
        <v>0</v>
      </c>
      <c r="AF18" s="484"/>
      <c r="AG18" s="485"/>
      <c r="AH18" s="489">
        <f>SUMIF(ResearchInput[System],X1,ResearchInput[P4P.Phys])</f>
        <v>0</v>
      </c>
      <c r="AI18" s="484"/>
      <c r="AJ18" s="484"/>
      <c r="AK18" s="484">
        <f>SUMIF(ResearchInput[System],X1,ResearchInput[PNP.Phys])</f>
        <v>0</v>
      </c>
      <c r="AL18" s="484"/>
      <c r="AM18" s="484"/>
      <c r="AN18" s="484">
        <f>SUMIF(ResearchInput[System],X1,ResearchInput[P.All.Phys])</f>
        <v>0</v>
      </c>
      <c r="AO18" s="484"/>
      <c r="AP18" s="485"/>
      <c r="AQ18" s="486">
        <f t="shared" si="0"/>
        <v>0</v>
      </c>
      <c r="AR18" s="486"/>
      <c r="AS18" s="487"/>
      <c r="AT18" s="142"/>
      <c r="AU18" s="518"/>
      <c r="AV18" s="518"/>
      <c r="AW18" s="518"/>
      <c r="AX18" s="518"/>
      <c r="AY18" s="518"/>
      <c r="AZ18" s="518"/>
      <c r="BA18" s="518"/>
      <c r="BB18" s="518"/>
      <c r="BC18" s="518"/>
      <c r="BD18" s="518"/>
      <c r="BE18" s="142"/>
    </row>
    <row r="19" spans="1:57" ht="30" customHeight="1" x14ac:dyDescent="0.3">
      <c r="A19" s="142"/>
      <c r="B19" s="142"/>
      <c r="C19" s="142"/>
      <c r="D19" s="142"/>
      <c r="E19" s="142"/>
      <c r="F19" s="142"/>
      <c r="G19" s="142"/>
      <c r="H19" s="352" t="s">
        <v>263</v>
      </c>
      <c r="I19" s="353"/>
      <c r="J19" s="353"/>
      <c r="K19" s="353"/>
      <c r="L19" s="353"/>
      <c r="M19" s="353"/>
      <c r="N19" s="353"/>
      <c r="O19" s="353"/>
      <c r="P19" s="353"/>
      <c r="Q19" s="353"/>
      <c r="R19" s="147"/>
      <c r="S19" s="489">
        <f>SUMIF(ResearchInput[System],X1,ResearchInput[Fed.Psyc])</f>
        <v>0</v>
      </c>
      <c r="T19" s="484"/>
      <c r="U19" s="485"/>
      <c r="V19" s="489">
        <f>SUMIF(ResearchInput[System],X1,ResearchInput[St.Psyc])</f>
        <v>0</v>
      </c>
      <c r="W19" s="484"/>
      <c r="X19" s="484"/>
      <c r="Y19" s="484">
        <f>SUMIF(ResearchInput[System],X1,ResearchInput[St.C&amp;G.Psyc])</f>
        <v>0</v>
      </c>
      <c r="Z19" s="484"/>
      <c r="AA19" s="484"/>
      <c r="AB19" s="484">
        <f>SUMIF(ResearchInput[System],X1,ResearchInput[St.All.Psyc])</f>
        <v>0</v>
      </c>
      <c r="AC19" s="484"/>
      <c r="AD19" s="485"/>
      <c r="AE19" s="489">
        <f>SUMIF(ResearchInput[System],X1,ResearchInput[Inst.Psyc])</f>
        <v>0</v>
      </c>
      <c r="AF19" s="484"/>
      <c r="AG19" s="485"/>
      <c r="AH19" s="489">
        <f>SUMIF(ResearchInput[System],X1,ResearchInput[P4P.Psyc])</f>
        <v>0</v>
      </c>
      <c r="AI19" s="484"/>
      <c r="AJ19" s="484"/>
      <c r="AK19" s="484">
        <f>SUMIF(ResearchInput[System],X1,ResearchInput[PNP.Psyc])</f>
        <v>0</v>
      </c>
      <c r="AL19" s="484"/>
      <c r="AM19" s="484"/>
      <c r="AN19" s="484">
        <f>SUMIF(ResearchInput[System],X1,ResearchInput[P.All.Psyc])</f>
        <v>0</v>
      </c>
      <c r="AO19" s="484"/>
      <c r="AP19" s="485"/>
      <c r="AQ19" s="486">
        <f t="shared" si="0"/>
        <v>0</v>
      </c>
      <c r="AR19" s="486"/>
      <c r="AS19" s="487"/>
      <c r="AT19" s="142"/>
      <c r="AU19" s="518"/>
      <c r="AV19" s="518"/>
      <c r="AW19" s="518"/>
      <c r="AX19" s="518"/>
      <c r="AY19" s="518"/>
      <c r="AZ19" s="518"/>
      <c r="BA19" s="518"/>
      <c r="BB19" s="518"/>
      <c r="BC19" s="518"/>
      <c r="BD19" s="518"/>
      <c r="BE19" s="142"/>
    </row>
    <row r="20" spans="1:57" ht="30" customHeight="1" x14ac:dyDescent="0.3">
      <c r="A20" s="142"/>
      <c r="B20" s="142"/>
      <c r="C20" s="142"/>
      <c r="D20" s="142"/>
      <c r="E20" s="142"/>
      <c r="F20" s="142"/>
      <c r="G20" s="142"/>
      <c r="H20" s="352" t="s">
        <v>264</v>
      </c>
      <c r="I20" s="353"/>
      <c r="J20" s="353"/>
      <c r="K20" s="353"/>
      <c r="L20" s="353"/>
      <c r="M20" s="353"/>
      <c r="N20" s="353"/>
      <c r="O20" s="353"/>
      <c r="P20" s="353"/>
      <c r="Q20" s="353"/>
      <c r="R20" s="147"/>
      <c r="S20" s="489">
        <f>SUMIF(ResearchInput[System],X1,ResearchInput[Fed.Soc])</f>
        <v>0</v>
      </c>
      <c r="T20" s="484"/>
      <c r="U20" s="485"/>
      <c r="V20" s="489">
        <f>SUMIF(ResearchInput[System],X1,ResearchInput[St.Soc])</f>
        <v>0</v>
      </c>
      <c r="W20" s="484"/>
      <c r="X20" s="484"/>
      <c r="Y20" s="484">
        <f>SUMIF(ResearchInput[System],X1,ResearchInput[St.C&amp;G.Soc])</f>
        <v>0</v>
      </c>
      <c r="Z20" s="484"/>
      <c r="AA20" s="484"/>
      <c r="AB20" s="484">
        <f>SUMIF(ResearchInput[System],X1,ResearchInput[St.All.Soc])</f>
        <v>0</v>
      </c>
      <c r="AC20" s="484"/>
      <c r="AD20" s="485"/>
      <c r="AE20" s="489">
        <f>SUMIF(ResearchInput[System],X1,ResearchInput[Inst.Soc])</f>
        <v>0</v>
      </c>
      <c r="AF20" s="484"/>
      <c r="AG20" s="485"/>
      <c r="AH20" s="489">
        <f>SUMIF(ResearchInput[System],X1,ResearchInput[P4P.Soc])</f>
        <v>0</v>
      </c>
      <c r="AI20" s="484"/>
      <c r="AJ20" s="484"/>
      <c r="AK20" s="484">
        <f>SUMIF(ResearchInput[System],X1,ResearchInput[PNP.Soc])</f>
        <v>0</v>
      </c>
      <c r="AL20" s="484"/>
      <c r="AM20" s="484"/>
      <c r="AN20" s="484">
        <f>SUMIF(ResearchInput[System],X1,ResearchInput[P.All.Soc])</f>
        <v>0</v>
      </c>
      <c r="AO20" s="484"/>
      <c r="AP20" s="485"/>
      <c r="AQ20" s="486">
        <f t="shared" si="0"/>
        <v>0</v>
      </c>
      <c r="AR20" s="486"/>
      <c r="AS20" s="487"/>
      <c r="AT20" s="142"/>
      <c r="AU20" s="518"/>
      <c r="AV20" s="518"/>
      <c r="AW20" s="518"/>
      <c r="AX20" s="518"/>
      <c r="AY20" s="518"/>
      <c r="AZ20" s="518"/>
      <c r="BA20" s="518"/>
      <c r="BB20" s="518"/>
      <c r="BC20" s="518"/>
      <c r="BD20" s="518"/>
      <c r="BE20" s="142"/>
    </row>
    <row r="21" spans="1:57" ht="30" customHeight="1" x14ac:dyDescent="0.3">
      <c r="A21" s="142"/>
      <c r="B21" s="142"/>
      <c r="C21" s="142"/>
      <c r="D21" s="142"/>
      <c r="E21" s="142"/>
      <c r="F21" s="142"/>
      <c r="G21" s="142"/>
      <c r="H21" s="352" t="s">
        <v>265</v>
      </c>
      <c r="I21" s="353"/>
      <c r="J21" s="353"/>
      <c r="K21" s="353"/>
      <c r="L21" s="353"/>
      <c r="M21" s="353"/>
      <c r="N21" s="353"/>
      <c r="O21" s="353"/>
      <c r="P21" s="353"/>
      <c r="Q21" s="353"/>
      <c r="R21" s="147"/>
      <c r="S21" s="489">
        <f>SUMIF(ResearchInput[System],X1,ResearchInput[Fed.Othr])</f>
        <v>0</v>
      </c>
      <c r="T21" s="484"/>
      <c r="U21" s="485"/>
      <c r="V21" s="489">
        <f>SUMIF(ResearchInput[System],X1,ResearchInput[St.Othr])</f>
        <v>0</v>
      </c>
      <c r="W21" s="484"/>
      <c r="X21" s="484"/>
      <c r="Y21" s="484">
        <f>SUMIF(ResearchInput[System],X1,ResearchInput[St.C&amp;G.Othr])</f>
        <v>0</v>
      </c>
      <c r="Z21" s="484"/>
      <c r="AA21" s="484"/>
      <c r="AB21" s="484">
        <f>SUMIF(ResearchInput[System],X1,ResearchInput[St.All.Othr])</f>
        <v>0</v>
      </c>
      <c r="AC21" s="484"/>
      <c r="AD21" s="485"/>
      <c r="AE21" s="489">
        <f>SUMIF(ResearchInput[System],X1,ResearchInput[Inst.Othr])</f>
        <v>0</v>
      </c>
      <c r="AF21" s="484"/>
      <c r="AG21" s="485"/>
      <c r="AH21" s="489">
        <f>SUMIF(ResearchInput[System],X1,ResearchInput[P4P.Othr])</f>
        <v>0</v>
      </c>
      <c r="AI21" s="484"/>
      <c r="AJ21" s="484"/>
      <c r="AK21" s="484">
        <f>SUMIF(ResearchInput[System],X1,ResearchInput[PNP.Othr])</f>
        <v>0</v>
      </c>
      <c r="AL21" s="484"/>
      <c r="AM21" s="484"/>
      <c r="AN21" s="484">
        <f>SUMIF(ResearchInput[System],X1,ResearchInput[P.All.Othr])</f>
        <v>0</v>
      </c>
      <c r="AO21" s="484"/>
      <c r="AP21" s="485"/>
      <c r="AQ21" s="486">
        <f t="shared" si="0"/>
        <v>0</v>
      </c>
      <c r="AR21" s="486"/>
      <c r="AS21" s="487"/>
      <c r="AT21" s="142"/>
      <c r="AU21" s="518"/>
      <c r="AV21" s="518"/>
      <c r="AW21" s="518"/>
      <c r="AX21" s="518"/>
      <c r="AY21" s="518"/>
      <c r="AZ21" s="518"/>
      <c r="BA21" s="518"/>
      <c r="BB21" s="518"/>
      <c r="BC21" s="518"/>
      <c r="BD21" s="518"/>
      <c r="BE21" s="142"/>
    </row>
    <row r="22" spans="1:57" ht="30" customHeight="1" thickBot="1" x14ac:dyDescent="0.35">
      <c r="A22" s="142"/>
      <c r="B22" s="142"/>
      <c r="C22" s="142"/>
      <c r="D22" s="142"/>
      <c r="E22" s="142"/>
      <c r="F22" s="142"/>
      <c r="G22" s="142"/>
      <c r="H22" s="358" t="s">
        <v>266</v>
      </c>
      <c r="I22" s="359"/>
      <c r="J22" s="359"/>
      <c r="K22" s="359"/>
      <c r="L22" s="359"/>
      <c r="M22" s="359"/>
      <c r="N22" s="359"/>
      <c r="O22" s="359"/>
      <c r="P22" s="359"/>
      <c r="Q22" s="359"/>
      <c r="R22" s="148"/>
      <c r="S22" s="488">
        <f>SUMIF(ResearchInput[System],X1,ResearchInput[Fed.Non])</f>
        <v>0</v>
      </c>
      <c r="T22" s="473"/>
      <c r="U22" s="474"/>
      <c r="V22" s="488">
        <f>SUMIF(ResearchInput[System],X1,ResearchInput[St.Non])</f>
        <v>0</v>
      </c>
      <c r="W22" s="473"/>
      <c r="X22" s="473"/>
      <c r="Y22" s="473">
        <f>SUMIF(ResearchInput[System],X1,ResearchInput[St.C&amp;G.Non])</f>
        <v>0</v>
      </c>
      <c r="Z22" s="473"/>
      <c r="AA22" s="473"/>
      <c r="AB22" s="473">
        <f>SUMIF(ResearchInput[System],X1,ResearchInput[St.All.Non])</f>
        <v>0</v>
      </c>
      <c r="AC22" s="473"/>
      <c r="AD22" s="474"/>
      <c r="AE22" s="488">
        <f>SUMIF(ResearchInput[System],X1,ResearchInput[Inst.Non])</f>
        <v>0</v>
      </c>
      <c r="AF22" s="473"/>
      <c r="AG22" s="474"/>
      <c r="AH22" s="488">
        <f>SUMIF(ResearchInput[System],X1,ResearchInput[P4P.Non])</f>
        <v>0</v>
      </c>
      <c r="AI22" s="473"/>
      <c r="AJ22" s="473"/>
      <c r="AK22" s="473">
        <f>SUMIF(ResearchInput[System],X1,ResearchInput[PNP.Non])</f>
        <v>0</v>
      </c>
      <c r="AL22" s="473"/>
      <c r="AM22" s="473"/>
      <c r="AN22" s="473">
        <f>SUMIF(ResearchInput[System],X1,ResearchInput[P.All.Non])</f>
        <v>0</v>
      </c>
      <c r="AO22" s="473"/>
      <c r="AP22" s="474"/>
      <c r="AQ22" s="475">
        <f t="shared" si="0"/>
        <v>0</v>
      </c>
      <c r="AR22" s="475"/>
      <c r="AS22" s="476"/>
      <c r="AT22" s="142"/>
      <c r="AU22" s="518"/>
      <c r="AV22" s="518"/>
      <c r="AW22" s="518"/>
      <c r="AX22" s="518"/>
      <c r="AY22" s="518"/>
      <c r="AZ22" s="518"/>
      <c r="BA22" s="518"/>
      <c r="BB22" s="518"/>
      <c r="BC22" s="518"/>
      <c r="BD22" s="518"/>
      <c r="BE22" s="142"/>
    </row>
    <row r="23" spans="1:57" ht="30" customHeight="1" thickTop="1" x14ac:dyDescent="0.3">
      <c r="A23" s="142"/>
      <c r="B23" s="142"/>
      <c r="C23" s="142"/>
      <c r="D23" s="142"/>
      <c r="E23" s="142"/>
      <c r="F23" s="142"/>
      <c r="G23" s="142"/>
      <c r="H23" s="415"/>
      <c r="I23" s="416"/>
      <c r="J23" s="416"/>
      <c r="K23" s="416"/>
      <c r="L23" s="416"/>
      <c r="M23" s="416"/>
      <c r="N23" s="416"/>
      <c r="O23" s="416"/>
      <c r="P23" s="416"/>
      <c r="Q23" s="416"/>
      <c r="R23" s="416"/>
      <c r="S23" s="477">
        <f>SUM(S13:U22)</f>
        <v>0</v>
      </c>
      <c r="T23" s="469"/>
      <c r="U23" s="470"/>
      <c r="V23" s="477">
        <f t="shared" ref="V23" si="1">SUM(V13:X22)</f>
        <v>0</v>
      </c>
      <c r="W23" s="469"/>
      <c r="X23" s="469"/>
      <c r="Y23" s="469">
        <f t="shared" ref="Y23" si="2">SUM(Y13:AA22)</f>
        <v>0</v>
      </c>
      <c r="Z23" s="469"/>
      <c r="AA23" s="469"/>
      <c r="AB23" s="469">
        <f t="shared" ref="AB23" si="3">SUM(AB13:AD22)</f>
        <v>0</v>
      </c>
      <c r="AC23" s="469"/>
      <c r="AD23" s="470"/>
      <c r="AE23" s="477">
        <f t="shared" ref="AE23" si="4">SUM(AE13:AG22)</f>
        <v>0</v>
      </c>
      <c r="AF23" s="469"/>
      <c r="AG23" s="470"/>
      <c r="AH23" s="477">
        <f t="shared" ref="AH23" si="5">SUM(AH13:AJ22)</f>
        <v>0</v>
      </c>
      <c r="AI23" s="469"/>
      <c r="AJ23" s="469"/>
      <c r="AK23" s="469">
        <f t="shared" ref="AK23" si="6">SUM(AK13:AM22)</f>
        <v>0</v>
      </c>
      <c r="AL23" s="469"/>
      <c r="AM23" s="469"/>
      <c r="AN23" s="469">
        <f t="shared" ref="AN23" si="7">SUM(AN13:AP22)</f>
        <v>0</v>
      </c>
      <c r="AO23" s="469"/>
      <c r="AP23" s="470"/>
      <c r="AQ23" s="471">
        <f t="shared" ref="AQ23" si="8">SUM(AQ13:AS22)</f>
        <v>0</v>
      </c>
      <c r="AR23" s="471"/>
      <c r="AS23" s="472"/>
      <c r="AT23" s="142"/>
      <c r="AU23" s="518"/>
      <c r="AV23" s="518"/>
      <c r="AW23" s="518"/>
      <c r="AX23" s="518"/>
      <c r="AY23" s="518"/>
      <c r="AZ23" s="518"/>
      <c r="BA23" s="518"/>
      <c r="BB23" s="518"/>
      <c r="BC23" s="518"/>
      <c r="BD23" s="518"/>
      <c r="BE23" s="142"/>
    </row>
    <row r="24" spans="1:57" ht="30" customHeight="1" x14ac:dyDescent="0.3">
      <c r="A24" s="142"/>
      <c r="B24" s="142"/>
      <c r="C24" s="142"/>
      <c r="D24" s="142"/>
      <c r="E24" s="142"/>
      <c r="F24" s="142"/>
      <c r="G24" s="142"/>
      <c r="H24" s="142"/>
      <c r="I24" s="142"/>
      <c r="J24" s="142"/>
      <c r="K24" s="142"/>
      <c r="L24" s="142"/>
      <c r="M24" s="142"/>
      <c r="N24" s="142"/>
      <c r="O24" s="142"/>
      <c r="P24" s="142"/>
      <c r="Q24" s="142"/>
      <c r="R24" s="142"/>
      <c r="S24" s="142"/>
      <c r="T24" s="142"/>
      <c r="U24" s="142"/>
      <c r="V24" s="142"/>
      <c r="W24" s="142"/>
      <c r="X24" s="142"/>
      <c r="Y24" s="142"/>
      <c r="Z24" s="142"/>
      <c r="AA24" s="142"/>
      <c r="AB24" s="142"/>
      <c r="AC24" s="142"/>
      <c r="AD24" s="142"/>
      <c r="AE24" s="142"/>
      <c r="AF24" s="142"/>
      <c r="AG24" s="142"/>
      <c r="AH24" s="142"/>
      <c r="AI24" s="142"/>
      <c r="AJ24" s="142"/>
      <c r="AK24" s="142"/>
      <c r="AL24" s="142"/>
      <c r="AM24" s="142"/>
      <c r="AN24" s="142"/>
      <c r="AO24" s="142"/>
      <c r="AP24" s="142"/>
      <c r="AQ24" s="142"/>
      <c r="AR24" s="142"/>
      <c r="AS24" s="142"/>
      <c r="AT24" s="142"/>
      <c r="AU24" s="518"/>
      <c r="AV24" s="518"/>
      <c r="AW24" s="518"/>
      <c r="AX24" s="518"/>
      <c r="AY24" s="518"/>
      <c r="AZ24" s="518"/>
      <c r="BA24" s="518"/>
      <c r="BB24" s="518"/>
      <c r="BC24" s="518"/>
      <c r="BD24" s="518"/>
      <c r="BE24" s="142"/>
    </row>
    <row r="25" spans="1:57" ht="30" customHeight="1" x14ac:dyDescent="0.3">
      <c r="A25" s="142"/>
      <c r="B25" s="142"/>
      <c r="C25" s="142"/>
      <c r="D25" s="142"/>
      <c r="E25" s="142"/>
      <c r="F25" s="142"/>
      <c r="G25" s="142"/>
      <c r="H25" s="343" t="s">
        <v>702</v>
      </c>
      <c r="I25" s="344"/>
      <c r="J25" s="344"/>
      <c r="K25" s="344"/>
      <c r="L25" s="344"/>
      <c r="M25" s="344"/>
      <c r="N25" s="345"/>
      <c r="O25" s="142"/>
      <c r="P25" s="142"/>
      <c r="Q25" s="142"/>
      <c r="R25" s="142"/>
      <c r="S25" s="343" t="s">
        <v>705</v>
      </c>
      <c r="T25" s="344"/>
      <c r="U25" s="344"/>
      <c r="V25" s="344"/>
      <c r="W25" s="344"/>
      <c r="X25" s="344"/>
      <c r="Y25" s="344"/>
      <c r="Z25" s="344"/>
      <c r="AA25" s="344"/>
      <c r="AB25" s="344"/>
      <c r="AC25" s="344"/>
      <c r="AD25" s="344"/>
      <c r="AE25" s="344"/>
      <c r="AF25" s="345"/>
      <c r="AG25" s="142"/>
      <c r="AH25" s="142"/>
      <c r="AI25" s="142"/>
      <c r="AJ25" s="142"/>
      <c r="AK25" s="142"/>
      <c r="AL25" s="142"/>
      <c r="AM25" s="142"/>
      <c r="AN25" s="142"/>
      <c r="AO25" s="142"/>
      <c r="AP25" s="142"/>
      <c r="AQ25" s="142"/>
      <c r="AR25" s="142"/>
      <c r="AS25" s="142"/>
      <c r="AT25" s="142"/>
      <c r="AU25" s="518"/>
      <c r="AV25" s="518"/>
      <c r="AW25" s="518"/>
      <c r="AX25" s="518"/>
      <c r="AY25" s="518"/>
      <c r="AZ25" s="518"/>
      <c r="BA25" s="518"/>
      <c r="BB25" s="518"/>
      <c r="BC25" s="518"/>
      <c r="BD25" s="518"/>
      <c r="BE25" s="142"/>
    </row>
    <row r="26" spans="1:57" ht="30" customHeight="1" x14ac:dyDescent="0.3">
      <c r="A26" s="142"/>
      <c r="B26" s="142"/>
      <c r="C26" s="142"/>
      <c r="D26" s="142"/>
      <c r="E26" s="142"/>
      <c r="F26" s="142"/>
      <c r="G26" s="142"/>
      <c r="H26" s="346" t="s">
        <v>243</v>
      </c>
      <c r="I26" s="347"/>
      <c r="J26" s="347"/>
      <c r="K26" s="348"/>
      <c r="L26" s="349">
        <f>SUM(S23)</f>
        <v>0</v>
      </c>
      <c r="M26" s="350"/>
      <c r="N26" s="351"/>
      <c r="O26" s="142"/>
      <c r="P26" s="142"/>
      <c r="Q26" s="142"/>
      <c r="R26" s="142"/>
      <c r="S26" s="149" t="str" cm="1">
        <f t="array" ref="S26">_xlfn.XLOOKUP(IFERROR(LARGE(_xlfn._xlws.FILTER(AQ$13:AQ$22, AQ$13:AQ$22&gt;0), 1), ""),$AQ$13:$AQ$22,$H$13:$H$22,"",0,-1)</f>
        <v/>
      </c>
      <c r="T26" s="150"/>
      <c r="U26" s="150"/>
      <c r="V26" s="150"/>
      <c r="W26" s="150"/>
      <c r="X26" s="150"/>
      <c r="Y26" s="150"/>
      <c r="Z26" s="150"/>
      <c r="AA26" s="150"/>
      <c r="AB26" s="150"/>
      <c r="AC26" s="150"/>
      <c r="AD26" s="519">
        <f>_xlfn.XLOOKUP(S26,$H$13:$H$22,$AQ$13:$AQ$22,0,0,1)</f>
        <v>0</v>
      </c>
      <c r="AE26" s="520"/>
      <c r="AF26" s="521"/>
      <c r="AG26" s="142"/>
      <c r="AH26" s="142"/>
      <c r="AI26" s="142"/>
      <c r="AJ26" s="142"/>
      <c r="AK26" s="142"/>
      <c r="AL26" s="142"/>
      <c r="AM26" s="142"/>
      <c r="AN26" s="142"/>
      <c r="AO26" s="142"/>
      <c r="AP26" s="142"/>
      <c r="AQ26" s="142"/>
      <c r="AR26" s="142"/>
      <c r="AS26" s="142"/>
      <c r="AT26" s="142"/>
      <c r="AU26" s="518"/>
      <c r="AV26" s="518"/>
      <c r="AW26" s="518"/>
      <c r="AX26" s="518"/>
      <c r="AY26" s="518"/>
      <c r="AZ26" s="518"/>
      <c r="BA26" s="518"/>
      <c r="BB26" s="518"/>
      <c r="BC26" s="518"/>
      <c r="BD26" s="518"/>
      <c r="BE26" s="142"/>
    </row>
    <row r="27" spans="1:57" ht="30" customHeight="1" x14ac:dyDescent="0.3">
      <c r="A27" s="142"/>
      <c r="B27" s="142"/>
      <c r="C27" s="142"/>
      <c r="D27" s="142"/>
      <c r="E27" s="142"/>
      <c r="F27" s="142"/>
      <c r="G27" s="142"/>
      <c r="H27" s="352" t="s">
        <v>703</v>
      </c>
      <c r="I27" s="353"/>
      <c r="J27" s="353"/>
      <c r="K27" s="354"/>
      <c r="L27" s="355">
        <f>SUM(V23:AD23)</f>
        <v>0</v>
      </c>
      <c r="M27" s="356"/>
      <c r="N27" s="357"/>
      <c r="O27" s="142"/>
      <c r="P27" s="142"/>
      <c r="Q27" s="142"/>
      <c r="R27" s="142"/>
      <c r="S27" s="151" t="str" cm="1">
        <f t="array" ref="S27">_xlfn.XLOOKUP(IFERROR(LARGE(_xlfn._xlws.FILTER(AQ$13:AQ$22, AQ$13:AQ$22&gt;0), 2), ""),$AQ$13:$AQ$22,$H$13:$H$22,"",0,-1)</f>
        <v/>
      </c>
      <c r="T27" s="152"/>
      <c r="U27" s="152"/>
      <c r="V27" s="152"/>
      <c r="W27" s="152"/>
      <c r="X27" s="152"/>
      <c r="Y27" s="152"/>
      <c r="Z27" s="152"/>
      <c r="AA27" s="152"/>
      <c r="AB27" s="152"/>
      <c r="AC27" s="152"/>
      <c r="AD27" s="478">
        <f>_xlfn.XLOOKUP(S27,$H$13:$H$22,$AQ$13:$AQ$22,0,0,1)</f>
        <v>0</v>
      </c>
      <c r="AE27" s="479"/>
      <c r="AF27" s="480"/>
      <c r="AG27" s="142"/>
      <c r="AH27" s="142"/>
      <c r="AI27" s="142"/>
      <c r="AJ27" s="142"/>
      <c r="AK27" s="142"/>
      <c r="AL27" s="142"/>
      <c r="AM27" s="142"/>
      <c r="AN27" s="142"/>
      <c r="AO27" s="142"/>
      <c r="AP27" s="142"/>
      <c r="AQ27" s="142"/>
      <c r="AR27" s="142"/>
      <c r="AS27" s="142"/>
      <c r="AT27" s="142"/>
      <c r="AU27" s="518"/>
      <c r="AV27" s="518"/>
      <c r="AW27" s="518"/>
      <c r="AX27" s="518"/>
      <c r="AY27" s="518"/>
      <c r="AZ27" s="518"/>
      <c r="BA27" s="518"/>
      <c r="BB27" s="518"/>
      <c r="BC27" s="518"/>
      <c r="BD27" s="518"/>
      <c r="BE27" s="142"/>
    </row>
    <row r="28" spans="1:57" ht="30" customHeight="1" x14ac:dyDescent="0.3">
      <c r="A28" s="142"/>
      <c r="B28" s="142"/>
      <c r="C28" s="142"/>
      <c r="D28" s="142"/>
      <c r="E28" s="142"/>
      <c r="F28" s="142"/>
      <c r="G28" s="142"/>
      <c r="H28" s="352" t="s">
        <v>245</v>
      </c>
      <c r="I28" s="353"/>
      <c r="J28" s="353"/>
      <c r="K28" s="354"/>
      <c r="L28" s="355">
        <f>SUM(AE23)</f>
        <v>0</v>
      </c>
      <c r="M28" s="356"/>
      <c r="N28" s="357"/>
      <c r="O28" s="142"/>
      <c r="P28" s="142"/>
      <c r="Q28" s="142"/>
      <c r="R28" s="142"/>
      <c r="S28" s="151" t="str" cm="1">
        <f t="array" ref="S28">_xlfn.XLOOKUP(IFERROR(LARGE(_xlfn._xlws.FILTER(AQ$13:AQ$22, AQ$13:AQ$22&gt;0), 3), ""),$AQ$13:$AQ$22,$H$13:$H$22,"",0,-1)</f>
        <v/>
      </c>
      <c r="T28" s="152"/>
      <c r="U28" s="152"/>
      <c r="V28" s="152"/>
      <c r="W28" s="152"/>
      <c r="X28" s="152"/>
      <c r="Y28" s="152"/>
      <c r="Z28" s="152"/>
      <c r="AA28" s="152"/>
      <c r="AB28" s="152"/>
      <c r="AC28" s="152"/>
      <c r="AD28" s="478">
        <f>_xlfn.XLOOKUP(S28,$H$13:$H$22,$AQ$13:$AQ$22,0,0,1)</f>
        <v>0</v>
      </c>
      <c r="AE28" s="479"/>
      <c r="AF28" s="480"/>
      <c r="AG28" s="142"/>
      <c r="AH28" s="142"/>
      <c r="AI28" s="142"/>
      <c r="AJ28" s="142"/>
      <c r="AK28" s="142"/>
      <c r="AL28" s="142"/>
      <c r="AM28" s="142"/>
      <c r="AN28" s="142"/>
      <c r="AO28" s="142"/>
      <c r="AP28" s="142"/>
      <c r="AQ28" s="142"/>
      <c r="AR28" s="142"/>
      <c r="AS28" s="142"/>
      <c r="AT28" s="142"/>
      <c r="AU28" s="518"/>
      <c r="AV28" s="518"/>
      <c r="AW28" s="518"/>
      <c r="AX28" s="518"/>
      <c r="AY28" s="518"/>
      <c r="AZ28" s="518"/>
      <c r="BA28" s="518"/>
      <c r="BB28" s="518"/>
      <c r="BC28" s="518"/>
      <c r="BD28" s="518"/>
      <c r="BE28" s="142"/>
    </row>
    <row r="29" spans="1:57" ht="30" customHeight="1" thickBot="1" x14ac:dyDescent="0.35">
      <c r="A29" s="142"/>
      <c r="B29" s="142"/>
      <c r="C29" s="142"/>
      <c r="D29" s="142"/>
      <c r="E29" s="142"/>
      <c r="F29" s="142"/>
      <c r="G29" s="142"/>
      <c r="H29" s="358" t="s">
        <v>246</v>
      </c>
      <c r="I29" s="359"/>
      <c r="J29" s="359"/>
      <c r="K29" s="360"/>
      <c r="L29" s="361">
        <f>SUM(AH23:AP23)</f>
        <v>0</v>
      </c>
      <c r="M29" s="362"/>
      <c r="N29" s="363"/>
      <c r="O29" s="142"/>
      <c r="P29" s="142"/>
      <c r="Q29" s="142"/>
      <c r="R29" s="142"/>
      <c r="S29" s="153" t="str" cm="1">
        <f t="array" ref="S29">_xlfn.XLOOKUP(IFERROR(LARGE(_xlfn._xlws.FILTER(AQ$13:AQ$22, AQ$13:AQ$22&gt;0), 4), ""),$AQ$13:$AQ$22,$H$13:$H$22,"",0,-1)</f>
        <v/>
      </c>
      <c r="T29" s="154"/>
      <c r="U29" s="154"/>
      <c r="V29" s="154"/>
      <c r="W29" s="154"/>
      <c r="X29" s="154"/>
      <c r="Y29" s="154"/>
      <c r="Z29" s="154"/>
      <c r="AA29" s="154"/>
      <c r="AB29" s="154"/>
      <c r="AC29" s="154"/>
      <c r="AD29" s="481">
        <f>_xlfn.XLOOKUP(S29,$H$13:$H$22,$AQ$13:$AQ$22,0,0,1)</f>
        <v>0</v>
      </c>
      <c r="AE29" s="482"/>
      <c r="AF29" s="483"/>
      <c r="AG29" s="142"/>
      <c r="AH29" s="142"/>
      <c r="AI29" s="142"/>
      <c r="AJ29" s="142"/>
      <c r="AK29" s="142"/>
      <c r="AL29" s="142"/>
      <c r="AM29" s="142"/>
      <c r="AN29" s="142"/>
      <c r="AO29" s="142"/>
      <c r="AP29" s="142"/>
      <c r="AQ29" s="142"/>
      <c r="AR29" s="142"/>
      <c r="AS29" s="142"/>
      <c r="AT29" s="142"/>
      <c r="AU29" s="518"/>
      <c r="AV29" s="518"/>
      <c r="AW29" s="518"/>
      <c r="AX29" s="518"/>
      <c r="AY29" s="518"/>
      <c r="AZ29" s="518"/>
      <c r="BA29" s="518"/>
      <c r="BB29" s="518"/>
      <c r="BC29" s="518"/>
      <c r="BD29" s="518"/>
      <c r="BE29" s="142"/>
    </row>
    <row r="30" spans="1:57" ht="30" customHeight="1" thickTop="1" x14ac:dyDescent="0.3">
      <c r="A30" s="142"/>
      <c r="B30" s="142"/>
      <c r="C30" s="142"/>
      <c r="D30" s="142"/>
      <c r="E30" s="142"/>
      <c r="F30" s="142"/>
      <c r="G30" s="142"/>
      <c r="H30" s="337" t="s">
        <v>704</v>
      </c>
      <c r="I30" s="338"/>
      <c r="J30" s="338"/>
      <c r="K30" s="339"/>
      <c r="L30" s="340">
        <f>SUM(L26,L29)</f>
        <v>0</v>
      </c>
      <c r="M30" s="341"/>
      <c r="N30" s="342"/>
      <c r="O30" s="142"/>
      <c r="Q30" s="142"/>
      <c r="R30" s="142"/>
      <c r="S30" s="142"/>
      <c r="T30" s="142"/>
      <c r="U30" s="142"/>
      <c r="V30" s="142"/>
      <c r="W30" s="142"/>
      <c r="X30" s="142"/>
      <c r="Y30" s="142"/>
      <c r="Z30" s="142"/>
      <c r="AA30" s="142"/>
      <c r="AB30" s="142"/>
      <c r="AC30" s="142"/>
      <c r="AD30" s="142"/>
      <c r="AE30" s="142"/>
      <c r="AF30" s="142"/>
      <c r="AG30" s="142"/>
      <c r="AH30" s="142"/>
      <c r="AI30" s="142"/>
      <c r="AJ30" s="142"/>
      <c r="AK30" s="142"/>
      <c r="AL30" s="142"/>
      <c r="AM30" s="142"/>
      <c r="AN30" s="142"/>
      <c r="AO30" s="142"/>
      <c r="AP30" s="142"/>
      <c r="AQ30" s="142"/>
      <c r="AR30" s="142"/>
      <c r="AS30" s="142"/>
      <c r="AT30" s="142"/>
      <c r="AU30" s="518"/>
      <c r="AV30" s="518"/>
      <c r="AW30" s="518"/>
      <c r="AX30" s="518"/>
      <c r="AY30" s="518"/>
      <c r="AZ30" s="518"/>
      <c r="BA30" s="518"/>
      <c r="BB30" s="518"/>
      <c r="BC30" s="518"/>
      <c r="BD30" s="518"/>
      <c r="BE30" s="142"/>
    </row>
    <row r="31" spans="1:57" ht="30" customHeight="1" x14ac:dyDescent="0.3">
      <c r="A31" s="142"/>
      <c r="B31" s="142"/>
      <c r="C31" s="142"/>
      <c r="D31" s="142"/>
      <c r="E31" s="142"/>
      <c r="F31" s="142"/>
      <c r="G31" s="142"/>
      <c r="H31" s="142"/>
      <c r="I31" s="142"/>
      <c r="J31" s="142"/>
      <c r="K31" s="142"/>
      <c r="L31" s="142"/>
      <c r="M31" s="142"/>
      <c r="N31" s="142"/>
      <c r="O31" s="142"/>
      <c r="P31" s="142"/>
      <c r="Q31" s="142"/>
      <c r="R31" s="142"/>
      <c r="S31" s="142"/>
      <c r="T31" s="142"/>
      <c r="U31" s="142"/>
      <c r="V31" s="142"/>
      <c r="W31" s="142"/>
      <c r="X31" s="142"/>
      <c r="Y31" s="142"/>
      <c r="Z31" s="142"/>
      <c r="AA31" s="142"/>
      <c r="AB31" s="142"/>
      <c r="AC31" s="142"/>
      <c r="AD31" s="142"/>
      <c r="AE31" s="142"/>
      <c r="AF31" s="142"/>
      <c r="AG31" s="142"/>
      <c r="AH31" s="142"/>
      <c r="AI31" s="142"/>
      <c r="AJ31" s="142"/>
      <c r="AK31" s="142"/>
      <c r="AL31" s="142"/>
      <c r="AM31" s="142"/>
      <c r="AN31" s="142"/>
      <c r="AO31" s="142"/>
      <c r="AP31" s="142"/>
      <c r="AQ31" s="142"/>
      <c r="AR31" s="142"/>
      <c r="AS31" s="142"/>
      <c r="AT31" s="142"/>
      <c r="AU31" s="142"/>
      <c r="AV31" s="142"/>
      <c r="AW31" s="142"/>
      <c r="AX31" s="142"/>
      <c r="AY31" s="142"/>
      <c r="AZ31" s="142"/>
      <c r="BA31" s="142"/>
      <c r="BB31" s="142"/>
      <c r="BC31" s="142"/>
      <c r="BD31" s="142"/>
      <c r="BE31" s="142"/>
    </row>
    <row r="32" spans="1:57" ht="30" customHeight="1" x14ac:dyDescent="0.3">
      <c r="A32" s="142"/>
      <c r="B32" s="142"/>
      <c r="C32" s="142"/>
      <c r="D32" s="142"/>
      <c r="E32" s="142"/>
      <c r="F32" s="142"/>
      <c r="G32" s="142"/>
      <c r="H32" s="142"/>
      <c r="I32" s="142"/>
      <c r="J32" s="142"/>
      <c r="K32" s="142"/>
      <c r="L32" s="142"/>
      <c r="M32" s="142"/>
      <c r="N32" s="142"/>
      <c r="P32" s="142"/>
      <c r="Q32" s="142"/>
      <c r="R32" s="142"/>
      <c r="S32" s="142"/>
      <c r="T32" s="142"/>
      <c r="U32" s="142"/>
      <c r="V32" s="142"/>
      <c r="W32" s="142"/>
      <c r="X32" s="142"/>
      <c r="Y32" s="142"/>
      <c r="Z32" s="142"/>
      <c r="AA32" s="142"/>
      <c r="AB32" s="142"/>
      <c r="AC32" s="142"/>
      <c r="AD32" s="142"/>
      <c r="AE32" s="142"/>
      <c r="AF32" s="142"/>
      <c r="AG32" s="142"/>
      <c r="AH32" s="142"/>
      <c r="AI32" s="142"/>
      <c r="AJ32" s="142"/>
      <c r="AK32" s="142"/>
      <c r="AL32" s="142"/>
      <c r="AM32" s="142"/>
      <c r="AN32" s="142"/>
      <c r="AO32" s="142"/>
      <c r="AP32" s="142"/>
      <c r="AQ32" s="142"/>
      <c r="AR32" s="142"/>
      <c r="AS32" s="142"/>
      <c r="AT32" s="142"/>
      <c r="AU32" s="142"/>
      <c r="AV32" s="142"/>
      <c r="AW32" s="142"/>
      <c r="AX32" s="142"/>
      <c r="AY32" s="142"/>
      <c r="AZ32" s="142"/>
      <c r="BA32" s="142"/>
      <c r="BB32" s="142"/>
      <c r="BC32" s="142"/>
      <c r="BD32" s="142"/>
      <c r="BE32" s="142"/>
    </row>
    <row r="33" ht="30" customHeight="1" x14ac:dyDescent="0.3"/>
    <row r="34" ht="27" customHeight="1" x14ac:dyDescent="0.3"/>
    <row r="35" ht="27" customHeight="1" x14ac:dyDescent="0.3"/>
    <row r="36" ht="27" customHeight="1" x14ac:dyDescent="0.3"/>
    <row r="37" ht="27" customHeight="1" x14ac:dyDescent="0.3"/>
    <row r="38" ht="27" customHeight="1" x14ac:dyDescent="0.3"/>
    <row r="39" ht="27" customHeight="1" x14ac:dyDescent="0.3"/>
    <row r="40" ht="27" customHeight="1" x14ac:dyDescent="0.3"/>
    <row r="41" ht="27" customHeight="1" x14ac:dyDescent="0.3"/>
    <row r="42" ht="27" customHeight="1" x14ac:dyDescent="0.3"/>
    <row r="43" ht="27" customHeight="1" x14ac:dyDescent="0.3"/>
    <row r="44" ht="27" customHeight="1" x14ac:dyDescent="0.3"/>
    <row r="45" ht="27" customHeight="1" x14ac:dyDescent="0.3"/>
    <row r="46" ht="27" customHeight="1" x14ac:dyDescent="0.3"/>
    <row r="47" ht="27" customHeight="1" x14ac:dyDescent="0.3"/>
    <row r="48" ht="27" customHeight="1" x14ac:dyDescent="0.3"/>
    <row r="49" ht="27" customHeight="1" x14ac:dyDescent="0.3"/>
    <row r="50" ht="27" customHeight="1" x14ac:dyDescent="0.3"/>
    <row r="51" ht="27" customHeight="1" x14ac:dyDescent="0.3"/>
    <row r="52" ht="27" customHeight="1" x14ac:dyDescent="0.3"/>
    <row r="53" ht="27" customHeight="1" x14ac:dyDescent="0.3"/>
  </sheetData>
  <sheetProtection algorithmName="SHA-512" hashValue="QR0khS7TYxKrXUMeWfZ9tlFxNJLp8LmzklrtG1zqYPWT7oBrr8jby2SbNQ6etr+KN/RKQW+DmBanPRqhmhOjZA==" saltValue="mOflx2J3zsZtPVwqN3HaqA==" spinCount="100000" sheet="1" objects="1" scenarios="1" formatCells="0" formatColumns="0" formatRows="0"/>
  <mergeCells count="150">
    <mergeCell ref="AU2:BD2"/>
    <mergeCell ref="AU3:BC6"/>
    <mergeCell ref="V11:AA11"/>
    <mergeCell ref="AH11:AP11"/>
    <mergeCell ref="S12:U12"/>
    <mergeCell ref="V12:X12"/>
    <mergeCell ref="Y12:AA12"/>
    <mergeCell ref="AB12:AD12"/>
    <mergeCell ref="AE12:AG12"/>
    <mergeCell ref="AH12:AJ12"/>
    <mergeCell ref="H8:AS8"/>
    <mergeCell ref="H9:AR10"/>
    <mergeCell ref="AS9:AS10"/>
    <mergeCell ref="AU8:BD8"/>
    <mergeCell ref="AU9:BD30"/>
    <mergeCell ref="L29:N29"/>
    <mergeCell ref="L30:N30"/>
    <mergeCell ref="S25:AF25"/>
    <mergeCell ref="AD26:AF26"/>
    <mergeCell ref="Y14:AA14"/>
    <mergeCell ref="AB14:AD14"/>
    <mergeCell ref="AE14:AG14"/>
    <mergeCell ref="AH14:AJ14"/>
    <mergeCell ref="AK14:AM14"/>
    <mergeCell ref="AN14:AP14"/>
    <mergeCell ref="AK12:AM12"/>
    <mergeCell ref="AN12:AP12"/>
    <mergeCell ref="AQ12:AS12"/>
    <mergeCell ref="H1:T1"/>
    <mergeCell ref="H2:T2"/>
    <mergeCell ref="H3:T3"/>
    <mergeCell ref="H4:AS7"/>
    <mergeCell ref="H13:Q13"/>
    <mergeCell ref="S13:U13"/>
    <mergeCell ref="V13:X13"/>
    <mergeCell ref="Y13:AA13"/>
    <mergeCell ref="AB13:AD13"/>
    <mergeCell ref="AE13:AG13"/>
    <mergeCell ref="AH13:AJ13"/>
    <mergeCell ref="AK13:AM13"/>
    <mergeCell ref="AN13:AP13"/>
    <mergeCell ref="AQ13:AS13"/>
    <mergeCell ref="H12:R12"/>
    <mergeCell ref="X1:Z1"/>
    <mergeCell ref="AQ14:AS14"/>
    <mergeCell ref="H14:Q14"/>
    <mergeCell ref="S14:U14"/>
    <mergeCell ref="V14:X14"/>
    <mergeCell ref="AQ15:AS15"/>
    <mergeCell ref="H16:Q16"/>
    <mergeCell ref="S16:U16"/>
    <mergeCell ref="V16:X16"/>
    <mergeCell ref="Y16:AA16"/>
    <mergeCell ref="AB16:AD16"/>
    <mergeCell ref="AE16:AG16"/>
    <mergeCell ref="AH16:AJ16"/>
    <mergeCell ref="AK16:AM16"/>
    <mergeCell ref="AN16:AP16"/>
    <mergeCell ref="AQ16:AS16"/>
    <mergeCell ref="H15:Q15"/>
    <mergeCell ref="S15:U15"/>
    <mergeCell ref="V15:X15"/>
    <mergeCell ref="Y15:AA15"/>
    <mergeCell ref="AB15:AD15"/>
    <mergeCell ref="AE15:AG15"/>
    <mergeCell ref="AH15:AJ15"/>
    <mergeCell ref="AK15:AM15"/>
    <mergeCell ref="AN15:AP15"/>
    <mergeCell ref="AQ17:AS17"/>
    <mergeCell ref="H18:Q18"/>
    <mergeCell ref="S18:U18"/>
    <mergeCell ref="V18:X18"/>
    <mergeCell ref="Y18:AA18"/>
    <mergeCell ref="AB18:AD18"/>
    <mergeCell ref="AE18:AG18"/>
    <mergeCell ref="AH18:AJ18"/>
    <mergeCell ref="AK18:AM18"/>
    <mergeCell ref="AN18:AP18"/>
    <mergeCell ref="AQ18:AS18"/>
    <mergeCell ref="H17:Q17"/>
    <mergeCell ref="S17:U17"/>
    <mergeCell ref="V17:X17"/>
    <mergeCell ref="Y17:AA17"/>
    <mergeCell ref="AB17:AD17"/>
    <mergeCell ref="AE17:AG17"/>
    <mergeCell ref="AH17:AJ17"/>
    <mergeCell ref="AK17:AM17"/>
    <mergeCell ref="AN17:AP17"/>
    <mergeCell ref="AQ19:AS19"/>
    <mergeCell ref="H20:Q20"/>
    <mergeCell ref="S20:U20"/>
    <mergeCell ref="V20:X20"/>
    <mergeCell ref="Y20:AA20"/>
    <mergeCell ref="AB20:AD20"/>
    <mergeCell ref="AE20:AG20"/>
    <mergeCell ref="AH20:AJ20"/>
    <mergeCell ref="AK20:AM20"/>
    <mergeCell ref="AN20:AP20"/>
    <mergeCell ref="AQ20:AS20"/>
    <mergeCell ref="H19:Q19"/>
    <mergeCell ref="S19:U19"/>
    <mergeCell ref="V19:X19"/>
    <mergeCell ref="Y19:AA19"/>
    <mergeCell ref="AB19:AD19"/>
    <mergeCell ref="AE19:AG19"/>
    <mergeCell ref="AH19:AJ19"/>
    <mergeCell ref="AK19:AM19"/>
    <mergeCell ref="AN19:AP19"/>
    <mergeCell ref="AN21:AP21"/>
    <mergeCell ref="AQ21:AS21"/>
    <mergeCell ref="H22:Q22"/>
    <mergeCell ref="S22:U22"/>
    <mergeCell ref="V22:X22"/>
    <mergeCell ref="Y22:AA22"/>
    <mergeCell ref="AB22:AD22"/>
    <mergeCell ref="AE22:AG22"/>
    <mergeCell ref="AH22:AJ22"/>
    <mergeCell ref="AK22:AM22"/>
    <mergeCell ref="H21:Q21"/>
    <mergeCell ref="S21:U21"/>
    <mergeCell ref="V21:X21"/>
    <mergeCell ref="Y21:AA21"/>
    <mergeCell ref="AB21:AD21"/>
    <mergeCell ref="AE21:AG21"/>
    <mergeCell ref="AH21:AJ21"/>
    <mergeCell ref="AK21:AM21"/>
    <mergeCell ref="AD29:AF29"/>
    <mergeCell ref="H25:N25"/>
    <mergeCell ref="H26:K26"/>
    <mergeCell ref="H27:K27"/>
    <mergeCell ref="H28:K28"/>
    <mergeCell ref="H29:K29"/>
    <mergeCell ref="H30:K30"/>
    <mergeCell ref="L26:N26"/>
    <mergeCell ref="L27:N27"/>
    <mergeCell ref="L28:N28"/>
    <mergeCell ref="AN23:AP23"/>
    <mergeCell ref="AQ23:AS23"/>
    <mergeCell ref="AN22:AP22"/>
    <mergeCell ref="AQ22:AS22"/>
    <mergeCell ref="H23:R23"/>
    <mergeCell ref="S23:U23"/>
    <mergeCell ref="V23:X23"/>
    <mergeCell ref="AD27:AF27"/>
    <mergeCell ref="AD28:AF28"/>
    <mergeCell ref="Y23:AA23"/>
    <mergeCell ref="AB23:AD23"/>
    <mergeCell ref="AE23:AG23"/>
    <mergeCell ref="AH23:AJ23"/>
    <mergeCell ref="AK23:AM23"/>
  </mergeCells>
  <conditionalFormatting sqref="H2:T2">
    <cfRule type="containsText" dxfId="1" priority="1" operator="containsText" text="Select">
      <formula>NOT(ISERROR(SEARCH("Select",H2)))</formula>
    </cfRule>
  </conditionalFormatting>
  <dataValidations count="1">
    <dataValidation type="list" allowBlank="1" showInputMessage="1" showErrorMessage="1" sqref="H1:T1" xr:uid="{D92FDB7D-847C-40C9-88DD-4D0E6D1DE699}">
      <formula1>Inst_System_List</formula1>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003A30-FC70-4DBC-A35E-8898F9F799ED}">
  <sheetPr codeName="Sheet8">
    <tabColor theme="6"/>
  </sheetPr>
  <dimension ref="A1:BE34"/>
  <sheetViews>
    <sheetView zoomScale="80" zoomScaleNormal="80" workbookViewId="0"/>
  </sheetViews>
  <sheetFormatPr defaultColWidth="8.90625" defaultRowHeight="15.6" x14ac:dyDescent="0.3"/>
  <cols>
    <col min="1" max="58" width="6.6328125" style="143" customWidth="1"/>
    <col min="59" max="16384" width="8.90625" style="143"/>
  </cols>
  <sheetData>
    <row r="1" spans="1:57" ht="30" customHeight="1" x14ac:dyDescent="0.3">
      <c r="A1" s="142"/>
      <c r="B1" s="142"/>
      <c r="C1" s="142"/>
      <c r="D1" s="142"/>
      <c r="E1" s="142"/>
      <c r="F1" s="142"/>
      <c r="G1" s="142"/>
      <c r="H1" s="455"/>
      <c r="I1" s="455"/>
      <c r="J1" s="455"/>
      <c r="K1" s="455"/>
      <c r="L1" s="455"/>
      <c r="M1" s="455"/>
      <c r="N1" s="455"/>
      <c r="O1" s="455"/>
      <c r="P1" s="455"/>
      <c r="Q1" s="455"/>
      <c r="R1" s="455"/>
      <c r="S1" s="455"/>
      <c r="T1" s="455"/>
      <c r="U1" s="142"/>
      <c r="V1" s="142"/>
      <c r="W1" s="142"/>
      <c r="X1" s="502" t="str">
        <f>IFERROR(VLOOKUP(H1,Inst_Type,3,FALSE),"")</f>
        <v/>
      </c>
      <c r="Y1" s="502"/>
      <c r="Z1" s="502"/>
      <c r="AA1" s="142"/>
      <c r="AB1" s="142"/>
      <c r="AC1" s="142"/>
      <c r="AD1" s="142"/>
      <c r="AE1" s="142"/>
      <c r="AF1" s="142"/>
      <c r="AG1" s="142"/>
      <c r="AH1" s="142"/>
      <c r="AI1" s="142"/>
      <c r="AJ1" s="142"/>
      <c r="AK1" s="142"/>
      <c r="AL1" s="142"/>
      <c r="AM1" s="142"/>
      <c r="AN1" s="142"/>
      <c r="AO1" s="142"/>
      <c r="AP1" s="142"/>
      <c r="AQ1" s="142"/>
      <c r="AR1" s="142"/>
      <c r="AS1" s="142"/>
      <c r="AT1" s="142"/>
      <c r="AU1" s="142"/>
      <c r="AV1" s="142"/>
      <c r="AW1" s="142"/>
      <c r="AX1" s="142"/>
      <c r="AY1" s="142"/>
      <c r="AZ1" s="142"/>
      <c r="BA1" s="142"/>
      <c r="BB1" s="142"/>
      <c r="BC1" s="142"/>
      <c r="BD1" s="142"/>
      <c r="BE1" s="142"/>
    </row>
    <row r="2" spans="1:57" ht="30" customHeight="1" x14ac:dyDescent="0.3">
      <c r="A2" s="142"/>
      <c r="B2" s="142"/>
      <c r="C2" s="142"/>
      <c r="D2" s="142"/>
      <c r="E2" s="142"/>
      <c r="F2" s="142"/>
      <c r="G2" s="142"/>
      <c r="H2" s="456" t="str">
        <f>IF(ISBLANK(H1),"▲ Select from dropdown menu ▲",VLOOKUP(H1,Inst_Type,2,FALSE))</f>
        <v>▲ Select from dropdown menu ▲</v>
      </c>
      <c r="I2" s="457"/>
      <c r="J2" s="457"/>
      <c r="K2" s="457"/>
      <c r="L2" s="457"/>
      <c r="M2" s="457"/>
      <c r="N2" s="457"/>
      <c r="O2" s="457"/>
      <c r="P2" s="457"/>
      <c r="Q2" s="457"/>
      <c r="R2" s="457"/>
      <c r="S2" s="457"/>
      <c r="T2" s="457"/>
      <c r="U2" s="142"/>
      <c r="V2" s="142"/>
      <c r="W2" s="142"/>
      <c r="X2" s="142"/>
      <c r="Y2" s="142"/>
      <c r="Z2" s="142"/>
      <c r="AA2" s="142"/>
      <c r="AB2" s="142"/>
      <c r="AC2" s="142"/>
      <c r="AD2" s="142"/>
      <c r="AE2" s="142"/>
      <c r="AF2" s="142"/>
      <c r="AG2" s="142"/>
      <c r="AH2" s="142"/>
      <c r="AI2" s="142"/>
      <c r="AJ2" s="142"/>
      <c r="AK2" s="142"/>
      <c r="AL2" s="142"/>
      <c r="AM2" s="142"/>
      <c r="AN2" s="142"/>
      <c r="AO2" s="142"/>
      <c r="AP2" s="142"/>
      <c r="AQ2" s="142"/>
      <c r="AR2" s="142"/>
      <c r="AS2" s="142"/>
      <c r="AT2" s="142"/>
      <c r="AU2" s="503" t="s">
        <v>706</v>
      </c>
      <c r="AV2" s="504"/>
      <c r="AW2" s="504"/>
      <c r="AX2" s="504"/>
      <c r="AY2" s="504"/>
      <c r="AZ2" s="504"/>
      <c r="BA2" s="504"/>
      <c r="BB2" s="504"/>
      <c r="BC2" s="504"/>
      <c r="BD2" s="505"/>
      <c r="BE2" s="142"/>
    </row>
    <row r="3" spans="1:57" ht="30" customHeight="1" x14ac:dyDescent="0.3">
      <c r="A3" s="142"/>
      <c r="B3" s="142"/>
      <c r="C3" s="142"/>
      <c r="D3" s="142"/>
      <c r="E3" s="142"/>
      <c r="F3" s="142"/>
      <c r="G3" s="142"/>
      <c r="H3" s="458" t="s">
        <v>273</v>
      </c>
      <c r="I3" s="459"/>
      <c r="J3" s="459"/>
      <c r="K3" s="459"/>
      <c r="L3" s="459"/>
      <c r="M3" s="459"/>
      <c r="N3" s="459"/>
      <c r="O3" s="459"/>
      <c r="P3" s="459"/>
      <c r="Q3" s="459"/>
      <c r="R3" s="459"/>
      <c r="S3" s="459"/>
      <c r="T3" s="459"/>
      <c r="U3" s="142"/>
      <c r="V3" s="142"/>
      <c r="W3" s="142"/>
      <c r="X3" s="142"/>
      <c r="Y3" s="142"/>
      <c r="Z3" s="142"/>
      <c r="AA3" s="142"/>
      <c r="AB3" s="142"/>
      <c r="AC3" s="142"/>
      <c r="AD3" s="142"/>
      <c r="AE3" s="142"/>
      <c r="AF3" s="142"/>
      <c r="AG3" s="142"/>
      <c r="AH3" s="142"/>
      <c r="AI3" s="142"/>
      <c r="AJ3" s="142"/>
      <c r="AK3" s="142"/>
      <c r="AL3" s="142"/>
      <c r="AM3" s="142"/>
      <c r="AN3" s="142"/>
      <c r="AO3" s="142"/>
      <c r="AP3" s="142"/>
      <c r="AQ3" s="142"/>
      <c r="AR3" s="142"/>
      <c r="AS3" s="142"/>
      <c r="AT3" s="142"/>
      <c r="AU3" s="506" t="s">
        <v>789</v>
      </c>
      <c r="AV3" s="507"/>
      <c r="AW3" s="507"/>
      <c r="AX3" s="507"/>
      <c r="AY3" s="507"/>
      <c r="AZ3" s="507"/>
      <c r="BA3" s="507"/>
      <c r="BB3" s="507"/>
      <c r="BC3" s="507"/>
      <c r="BD3" s="144"/>
      <c r="BE3" s="142"/>
    </row>
    <row r="4" spans="1:57" ht="30" customHeight="1" x14ac:dyDescent="0.3">
      <c r="A4" s="142"/>
      <c r="B4" s="142"/>
      <c r="C4" s="142"/>
      <c r="D4" s="142"/>
      <c r="E4" s="142"/>
      <c r="F4" s="142"/>
      <c r="G4" s="142"/>
      <c r="H4" s="493" t="s">
        <v>700</v>
      </c>
      <c r="I4" s="493"/>
      <c r="J4" s="493"/>
      <c r="K4" s="493"/>
      <c r="L4" s="493"/>
      <c r="M4" s="493"/>
      <c r="N4" s="493"/>
      <c r="O4" s="493"/>
      <c r="P4" s="493"/>
      <c r="Q4" s="493"/>
      <c r="R4" s="493"/>
      <c r="S4" s="493"/>
      <c r="T4" s="493"/>
      <c r="U4" s="493"/>
      <c r="V4" s="493"/>
      <c r="W4" s="493"/>
      <c r="X4" s="493"/>
      <c r="Y4" s="493"/>
      <c r="Z4" s="493"/>
      <c r="AA4" s="493"/>
      <c r="AB4" s="493"/>
      <c r="AC4" s="493"/>
      <c r="AD4" s="493"/>
      <c r="AE4" s="493"/>
      <c r="AF4" s="493"/>
      <c r="AG4" s="493"/>
      <c r="AH4" s="493"/>
      <c r="AI4" s="493"/>
      <c r="AJ4" s="493"/>
      <c r="AK4" s="493"/>
      <c r="AL4" s="493"/>
      <c r="AM4" s="493"/>
      <c r="AN4" s="493"/>
      <c r="AO4" s="493"/>
      <c r="AP4" s="493"/>
      <c r="AQ4" s="493"/>
      <c r="AR4" s="493"/>
      <c r="AS4" s="493"/>
      <c r="AT4" s="142"/>
      <c r="AU4" s="506"/>
      <c r="AV4" s="507"/>
      <c r="AW4" s="507"/>
      <c r="AX4" s="507"/>
      <c r="AY4" s="507"/>
      <c r="AZ4" s="507"/>
      <c r="BA4" s="507"/>
      <c r="BB4" s="507"/>
      <c r="BC4" s="507"/>
      <c r="BD4" s="144"/>
      <c r="BE4" s="142"/>
    </row>
    <row r="5" spans="1:57" ht="30" customHeight="1" x14ac:dyDescent="0.3">
      <c r="A5" s="142"/>
      <c r="B5" s="142"/>
      <c r="C5" s="142"/>
      <c r="D5" s="142"/>
      <c r="E5" s="142"/>
      <c r="F5" s="142"/>
      <c r="G5" s="142"/>
      <c r="H5" s="493"/>
      <c r="I5" s="493"/>
      <c r="J5" s="493"/>
      <c r="K5" s="493"/>
      <c r="L5" s="493"/>
      <c r="M5" s="493"/>
      <c r="N5" s="493"/>
      <c r="O5" s="493"/>
      <c r="P5" s="493"/>
      <c r="Q5" s="493"/>
      <c r="R5" s="493"/>
      <c r="S5" s="493"/>
      <c r="T5" s="493"/>
      <c r="U5" s="493"/>
      <c r="V5" s="493"/>
      <c r="W5" s="493"/>
      <c r="X5" s="493"/>
      <c r="Y5" s="493"/>
      <c r="Z5" s="493"/>
      <c r="AA5" s="493"/>
      <c r="AB5" s="493"/>
      <c r="AC5" s="493"/>
      <c r="AD5" s="493"/>
      <c r="AE5" s="493"/>
      <c r="AF5" s="493"/>
      <c r="AG5" s="493"/>
      <c r="AH5" s="493"/>
      <c r="AI5" s="493"/>
      <c r="AJ5" s="493"/>
      <c r="AK5" s="493"/>
      <c r="AL5" s="493"/>
      <c r="AM5" s="493"/>
      <c r="AN5" s="493"/>
      <c r="AO5" s="493"/>
      <c r="AP5" s="493"/>
      <c r="AQ5" s="493"/>
      <c r="AR5" s="493"/>
      <c r="AS5" s="493"/>
      <c r="AT5" s="142"/>
      <c r="AU5" s="506"/>
      <c r="AV5" s="507"/>
      <c r="AW5" s="507"/>
      <c r="AX5" s="507"/>
      <c r="AY5" s="507"/>
      <c r="AZ5" s="507"/>
      <c r="BA5" s="507"/>
      <c r="BB5" s="507"/>
      <c r="BC5" s="507"/>
      <c r="BD5" s="144"/>
      <c r="BE5" s="142"/>
    </row>
    <row r="6" spans="1:57" ht="30" customHeight="1" x14ac:dyDescent="0.3">
      <c r="A6" s="142"/>
      <c r="B6" s="142"/>
      <c r="C6" s="142"/>
      <c r="D6" s="142"/>
      <c r="E6" s="142"/>
      <c r="F6" s="142"/>
      <c r="G6" s="142"/>
      <c r="H6" s="493"/>
      <c r="I6" s="493"/>
      <c r="J6" s="493"/>
      <c r="K6" s="493"/>
      <c r="L6" s="493"/>
      <c r="M6" s="493"/>
      <c r="N6" s="493"/>
      <c r="O6" s="493"/>
      <c r="P6" s="493"/>
      <c r="Q6" s="493"/>
      <c r="R6" s="493"/>
      <c r="S6" s="493"/>
      <c r="T6" s="493"/>
      <c r="U6" s="493"/>
      <c r="V6" s="493"/>
      <c r="W6" s="493"/>
      <c r="X6" s="493"/>
      <c r="Y6" s="493"/>
      <c r="Z6" s="493"/>
      <c r="AA6" s="493"/>
      <c r="AB6" s="493"/>
      <c r="AC6" s="493"/>
      <c r="AD6" s="493"/>
      <c r="AE6" s="493"/>
      <c r="AF6" s="493"/>
      <c r="AG6" s="493"/>
      <c r="AH6" s="493"/>
      <c r="AI6" s="493"/>
      <c r="AJ6" s="493"/>
      <c r="AK6" s="493"/>
      <c r="AL6" s="493"/>
      <c r="AM6" s="493"/>
      <c r="AN6" s="493"/>
      <c r="AO6" s="493"/>
      <c r="AP6" s="493"/>
      <c r="AQ6" s="493"/>
      <c r="AR6" s="493"/>
      <c r="AS6" s="493"/>
      <c r="AT6" s="142"/>
      <c r="AU6" s="508"/>
      <c r="AV6" s="509"/>
      <c r="AW6" s="509"/>
      <c r="AX6" s="509"/>
      <c r="AY6" s="509"/>
      <c r="AZ6" s="509"/>
      <c r="BA6" s="509"/>
      <c r="BB6" s="509"/>
      <c r="BC6" s="509"/>
      <c r="BD6" s="145"/>
      <c r="BE6" s="142"/>
    </row>
    <row r="7" spans="1:57" ht="30" customHeight="1" x14ac:dyDescent="0.3">
      <c r="A7" s="142"/>
      <c r="B7" s="142"/>
      <c r="C7" s="142"/>
      <c r="D7" s="142"/>
      <c r="E7" s="142"/>
      <c r="F7" s="142"/>
      <c r="G7" s="142"/>
      <c r="H7" s="493"/>
      <c r="I7" s="493"/>
      <c r="J7" s="493"/>
      <c r="K7" s="493"/>
      <c r="L7" s="493"/>
      <c r="M7" s="493"/>
      <c r="N7" s="493"/>
      <c r="O7" s="493"/>
      <c r="P7" s="493"/>
      <c r="Q7" s="493"/>
      <c r="R7" s="493"/>
      <c r="S7" s="493"/>
      <c r="T7" s="493"/>
      <c r="U7" s="493"/>
      <c r="V7" s="493"/>
      <c r="W7" s="493"/>
      <c r="X7" s="493"/>
      <c r="Y7" s="493"/>
      <c r="Z7" s="493"/>
      <c r="AA7" s="493"/>
      <c r="AB7" s="493"/>
      <c r="AC7" s="493"/>
      <c r="AD7" s="493"/>
      <c r="AE7" s="493"/>
      <c r="AF7" s="493"/>
      <c r="AG7" s="493"/>
      <c r="AH7" s="493"/>
      <c r="AI7" s="493"/>
      <c r="AJ7" s="493"/>
      <c r="AK7" s="493"/>
      <c r="AL7" s="493"/>
      <c r="AM7" s="493"/>
      <c r="AN7" s="493"/>
      <c r="AO7" s="493"/>
      <c r="AP7" s="493"/>
      <c r="AQ7" s="493"/>
      <c r="AR7" s="493"/>
      <c r="AS7" s="493"/>
      <c r="AT7" s="142"/>
      <c r="AU7" s="142"/>
      <c r="AV7" s="142"/>
      <c r="AW7" s="142"/>
      <c r="AX7" s="142"/>
      <c r="AY7" s="142"/>
      <c r="AZ7" s="142"/>
      <c r="BA7" s="142"/>
      <c r="BB7" s="142"/>
      <c r="BC7" s="142"/>
      <c r="BD7" s="142"/>
      <c r="BE7" s="142"/>
    </row>
    <row r="8" spans="1:57" ht="30" customHeight="1" x14ac:dyDescent="0.3">
      <c r="A8" s="142"/>
      <c r="B8" s="142"/>
      <c r="C8" s="142"/>
      <c r="D8" s="142"/>
      <c r="E8" s="142"/>
      <c r="F8" s="142"/>
      <c r="G8" s="142"/>
      <c r="H8" s="514" t="s">
        <v>255</v>
      </c>
      <c r="I8" s="515"/>
      <c r="J8" s="515"/>
      <c r="K8" s="515"/>
      <c r="L8" s="515"/>
      <c r="M8" s="515"/>
      <c r="N8" s="515"/>
      <c r="O8" s="515"/>
      <c r="P8" s="515"/>
      <c r="Q8" s="515"/>
      <c r="R8" s="515"/>
      <c r="S8" s="515"/>
      <c r="T8" s="515"/>
      <c r="U8" s="515"/>
      <c r="V8" s="515"/>
      <c r="W8" s="515"/>
      <c r="X8" s="515"/>
      <c r="Y8" s="515"/>
      <c r="Z8" s="515"/>
      <c r="AA8" s="515"/>
      <c r="AB8" s="515"/>
      <c r="AC8" s="515"/>
      <c r="AD8" s="515"/>
      <c r="AE8" s="515"/>
      <c r="AF8" s="515"/>
      <c r="AG8" s="515"/>
      <c r="AH8" s="515"/>
      <c r="AI8" s="515"/>
      <c r="AJ8" s="515"/>
      <c r="AK8" s="515"/>
      <c r="AL8" s="515"/>
      <c r="AM8" s="515"/>
      <c r="AN8" s="515"/>
      <c r="AO8" s="515"/>
      <c r="AP8" s="515"/>
      <c r="AQ8" s="515"/>
      <c r="AR8" s="515"/>
      <c r="AS8" s="515"/>
      <c r="AT8" s="142"/>
      <c r="AU8" s="516" t="s">
        <v>707</v>
      </c>
      <c r="AV8" s="516"/>
      <c r="AW8" s="516"/>
      <c r="AX8" s="516"/>
      <c r="AY8" s="516"/>
      <c r="AZ8" s="516"/>
      <c r="BA8" s="516"/>
      <c r="BB8" s="516"/>
      <c r="BC8" s="516"/>
      <c r="BD8" s="516"/>
      <c r="BE8" s="142"/>
    </row>
    <row r="9" spans="1:57" ht="30" customHeight="1" x14ac:dyDescent="0.3">
      <c r="A9" s="142"/>
      <c r="B9" s="142"/>
      <c r="C9" s="142"/>
      <c r="D9" s="142"/>
      <c r="E9" s="142"/>
      <c r="F9" s="142"/>
      <c r="G9" s="142"/>
      <c r="H9" s="380" t="s">
        <v>814</v>
      </c>
      <c r="I9" s="380"/>
      <c r="J9" s="380"/>
      <c r="K9" s="380"/>
      <c r="L9" s="380"/>
      <c r="M9" s="380"/>
      <c r="N9" s="380"/>
      <c r="O9" s="380"/>
      <c r="P9" s="380"/>
      <c r="Q9" s="380"/>
      <c r="R9" s="380"/>
      <c r="S9" s="380"/>
      <c r="T9" s="380"/>
      <c r="U9" s="380"/>
      <c r="V9" s="380"/>
      <c r="W9" s="380"/>
      <c r="X9" s="380"/>
      <c r="Y9" s="380"/>
      <c r="Z9" s="380"/>
      <c r="AA9" s="380"/>
      <c r="AB9" s="380"/>
      <c r="AC9" s="380"/>
      <c r="AD9" s="380"/>
      <c r="AE9" s="380"/>
      <c r="AF9" s="380"/>
      <c r="AG9" s="380"/>
      <c r="AH9" s="380"/>
      <c r="AI9" s="380"/>
      <c r="AJ9" s="380"/>
      <c r="AK9" s="380"/>
      <c r="AL9" s="380"/>
      <c r="AM9" s="380"/>
      <c r="AN9" s="380"/>
      <c r="AO9" s="380"/>
      <c r="AP9" s="380"/>
      <c r="AQ9" s="380"/>
      <c r="AR9" s="380"/>
      <c r="AS9" s="432"/>
      <c r="AT9" s="142"/>
      <c r="AU9" s="517" t="str" cm="1">
        <f t="array" ref="AU9">"
"&amp;_xlfn.TEXTJOIN(CHAR(10), TRUE, IF(ResearchInput[Type]=$X$1, "▸ "&amp;ResearchInput[Institution Name], ""))</f>
        <v xml:space="preserve">
</v>
      </c>
      <c r="AV9" s="518"/>
      <c r="AW9" s="518"/>
      <c r="AX9" s="518"/>
      <c r="AY9" s="518"/>
      <c r="AZ9" s="518"/>
      <c r="BA9" s="518"/>
      <c r="BB9" s="518"/>
      <c r="BC9" s="518"/>
      <c r="BD9" s="518"/>
      <c r="BE9" s="142"/>
    </row>
    <row r="10" spans="1:57" ht="30" customHeight="1" x14ac:dyDescent="0.3">
      <c r="A10" s="142"/>
      <c r="B10" s="142"/>
      <c r="C10" s="142"/>
      <c r="D10" s="142"/>
      <c r="E10" s="142"/>
      <c r="F10" s="142"/>
      <c r="G10" s="142"/>
      <c r="H10" s="380"/>
      <c r="I10" s="380"/>
      <c r="J10" s="380"/>
      <c r="K10" s="380"/>
      <c r="L10" s="380"/>
      <c r="M10" s="380"/>
      <c r="N10" s="380"/>
      <c r="O10" s="380"/>
      <c r="P10" s="380"/>
      <c r="Q10" s="380"/>
      <c r="R10" s="380"/>
      <c r="S10" s="380"/>
      <c r="T10" s="380"/>
      <c r="U10" s="380"/>
      <c r="V10" s="380"/>
      <c r="W10" s="380"/>
      <c r="X10" s="380"/>
      <c r="Y10" s="380"/>
      <c r="Z10" s="380"/>
      <c r="AA10" s="380"/>
      <c r="AB10" s="380"/>
      <c r="AC10" s="380"/>
      <c r="AD10" s="380"/>
      <c r="AE10" s="380"/>
      <c r="AF10" s="380"/>
      <c r="AG10" s="380"/>
      <c r="AH10" s="380"/>
      <c r="AI10" s="380"/>
      <c r="AJ10" s="380"/>
      <c r="AK10" s="380"/>
      <c r="AL10" s="380"/>
      <c r="AM10" s="380"/>
      <c r="AN10" s="380"/>
      <c r="AO10" s="380"/>
      <c r="AP10" s="380"/>
      <c r="AQ10" s="380"/>
      <c r="AR10" s="380"/>
      <c r="AS10" s="432"/>
      <c r="AT10" s="142"/>
      <c r="AU10" s="518"/>
      <c r="AV10" s="518"/>
      <c r="AW10" s="518"/>
      <c r="AX10" s="518"/>
      <c r="AY10" s="518"/>
      <c r="AZ10" s="518"/>
      <c r="BA10" s="518"/>
      <c r="BB10" s="518"/>
      <c r="BC10" s="518"/>
      <c r="BD10" s="518"/>
      <c r="BE10" s="142"/>
    </row>
    <row r="11" spans="1:57" ht="30" customHeight="1" x14ac:dyDescent="0.3">
      <c r="A11" s="142"/>
      <c r="B11" s="142"/>
      <c r="C11" s="142"/>
      <c r="D11" s="142"/>
      <c r="E11" s="142"/>
      <c r="F11" s="142"/>
      <c r="G11" s="142"/>
      <c r="H11" s="37"/>
      <c r="I11" s="38"/>
      <c r="J11" s="38"/>
      <c r="K11" s="38"/>
      <c r="L11" s="38"/>
      <c r="M11" s="38"/>
      <c r="N11" s="38"/>
      <c r="O11" s="38"/>
      <c r="P11" s="38"/>
      <c r="Q11" s="38"/>
      <c r="R11" s="45"/>
      <c r="S11" s="111"/>
      <c r="T11" s="112"/>
      <c r="U11" s="113"/>
      <c r="V11" s="522" t="s">
        <v>244</v>
      </c>
      <c r="W11" s="523"/>
      <c r="X11" s="523"/>
      <c r="Y11" s="523"/>
      <c r="Z11" s="523"/>
      <c r="AA11" s="523"/>
      <c r="AB11" s="111"/>
      <c r="AC11" s="112"/>
      <c r="AD11" s="113"/>
      <c r="AE11" s="111"/>
      <c r="AF11" s="112"/>
      <c r="AG11" s="113"/>
      <c r="AH11" s="522" t="s">
        <v>246</v>
      </c>
      <c r="AI11" s="523"/>
      <c r="AJ11" s="523"/>
      <c r="AK11" s="523"/>
      <c r="AL11" s="523"/>
      <c r="AM11" s="523"/>
      <c r="AN11" s="523"/>
      <c r="AO11" s="523"/>
      <c r="AP11" s="524"/>
      <c r="AQ11" s="111"/>
      <c r="AR11" s="112"/>
      <c r="AS11" s="114"/>
      <c r="AT11" s="142"/>
      <c r="AU11" s="518"/>
      <c r="AV11" s="518"/>
      <c r="AW11" s="518"/>
      <c r="AX11" s="518"/>
      <c r="AY11" s="518"/>
      <c r="AZ11" s="518"/>
      <c r="BA11" s="518"/>
      <c r="BB11" s="518"/>
      <c r="BC11" s="518"/>
      <c r="BD11" s="518"/>
      <c r="BE11" s="142"/>
    </row>
    <row r="12" spans="1:57" ht="30" customHeight="1" x14ac:dyDescent="0.3">
      <c r="A12" s="142"/>
      <c r="B12" s="142"/>
      <c r="C12" s="142"/>
      <c r="D12" s="142"/>
      <c r="E12" s="142"/>
      <c r="F12" s="142"/>
      <c r="G12" s="142"/>
      <c r="H12" s="499"/>
      <c r="I12" s="500"/>
      <c r="J12" s="500"/>
      <c r="K12" s="500"/>
      <c r="L12" s="500"/>
      <c r="M12" s="500"/>
      <c r="N12" s="500"/>
      <c r="O12" s="500"/>
      <c r="P12" s="500"/>
      <c r="Q12" s="500"/>
      <c r="R12" s="501"/>
      <c r="S12" s="386" t="s">
        <v>243</v>
      </c>
      <c r="T12" s="387"/>
      <c r="U12" s="388"/>
      <c r="V12" s="384" t="s">
        <v>804</v>
      </c>
      <c r="W12" s="385"/>
      <c r="X12" s="385"/>
      <c r="Y12" s="385" t="s">
        <v>805</v>
      </c>
      <c r="Z12" s="385"/>
      <c r="AA12" s="385"/>
      <c r="AB12" s="386" t="s">
        <v>806</v>
      </c>
      <c r="AC12" s="387"/>
      <c r="AD12" s="388"/>
      <c r="AE12" s="386" t="s">
        <v>253</v>
      </c>
      <c r="AF12" s="387"/>
      <c r="AG12" s="388"/>
      <c r="AH12" s="384" t="s">
        <v>248</v>
      </c>
      <c r="AI12" s="385"/>
      <c r="AJ12" s="385"/>
      <c r="AK12" s="385" t="s">
        <v>249</v>
      </c>
      <c r="AL12" s="385"/>
      <c r="AM12" s="385"/>
      <c r="AN12" s="385" t="s">
        <v>250</v>
      </c>
      <c r="AO12" s="385"/>
      <c r="AP12" s="391"/>
      <c r="AQ12" s="386" t="s">
        <v>247</v>
      </c>
      <c r="AR12" s="387"/>
      <c r="AS12" s="392"/>
      <c r="AT12" s="142"/>
      <c r="AU12" s="518"/>
      <c r="AV12" s="518"/>
      <c r="AW12" s="518"/>
      <c r="AX12" s="518"/>
      <c r="AY12" s="518"/>
      <c r="AZ12" s="518"/>
      <c r="BA12" s="518"/>
      <c r="BB12" s="518"/>
      <c r="BC12" s="518"/>
      <c r="BD12" s="518"/>
      <c r="BE12" s="142"/>
    </row>
    <row r="13" spans="1:57" ht="30" customHeight="1" x14ac:dyDescent="0.3">
      <c r="A13" s="142"/>
      <c r="B13" s="142"/>
      <c r="C13" s="142"/>
      <c r="D13" s="142"/>
      <c r="E13" s="142"/>
      <c r="F13" s="142"/>
      <c r="G13" s="142"/>
      <c r="H13" s="352" t="s">
        <v>257</v>
      </c>
      <c r="I13" s="353"/>
      <c r="J13" s="353"/>
      <c r="K13" s="353"/>
      <c r="L13" s="353"/>
      <c r="M13" s="353"/>
      <c r="N13" s="353"/>
      <c r="O13" s="353"/>
      <c r="P13" s="353"/>
      <c r="Q13" s="353"/>
      <c r="R13" s="146"/>
      <c r="S13" s="494">
        <f>SUMIF(ResearchInput[Type],X1,ResearchInput[Fed.Comp])</f>
        <v>0</v>
      </c>
      <c r="T13" s="495"/>
      <c r="U13" s="496"/>
      <c r="V13" s="494">
        <f>SUMIF(ResearchInput[Type],X1,ResearchInput[St.Comp])</f>
        <v>0</v>
      </c>
      <c r="W13" s="495"/>
      <c r="X13" s="495"/>
      <c r="Y13" s="495">
        <f>SUMIF(ResearchInput[Type],X1,ResearchInput[St.C&amp;G.Comp])</f>
        <v>0</v>
      </c>
      <c r="Z13" s="495"/>
      <c r="AA13" s="495"/>
      <c r="AB13" s="495">
        <f>SUMIF(ResearchInput[Type],X1,ResearchInput[St.All.Comp])</f>
        <v>0</v>
      </c>
      <c r="AC13" s="495"/>
      <c r="AD13" s="496"/>
      <c r="AE13" s="494">
        <f>SUMIF(ResearchInput[Type],X1,ResearchInput[Inst.Comp])</f>
        <v>0</v>
      </c>
      <c r="AF13" s="495"/>
      <c r="AG13" s="496"/>
      <c r="AH13" s="494">
        <f>SUMIF(ResearchInput[Type],X1,ResearchInput[P4P.Comp])</f>
        <v>0</v>
      </c>
      <c r="AI13" s="495"/>
      <c r="AJ13" s="495"/>
      <c r="AK13" s="495">
        <f>SUMIF(ResearchInput[Type],X1,ResearchInput[PNP.Comp])</f>
        <v>0</v>
      </c>
      <c r="AL13" s="495"/>
      <c r="AM13" s="495"/>
      <c r="AN13" s="495">
        <f>SUMIF(ResearchInput[Type],X1,ResearchInput[P.All.Comp])</f>
        <v>0</v>
      </c>
      <c r="AO13" s="495"/>
      <c r="AP13" s="496"/>
      <c r="AQ13" s="497">
        <f>SUM(S13:AP13)</f>
        <v>0</v>
      </c>
      <c r="AR13" s="497"/>
      <c r="AS13" s="498"/>
      <c r="AT13" s="142"/>
      <c r="AU13" s="518"/>
      <c r="AV13" s="518"/>
      <c r="AW13" s="518"/>
      <c r="AX13" s="518"/>
      <c r="AY13" s="518"/>
      <c r="AZ13" s="518"/>
      <c r="BA13" s="518"/>
      <c r="BB13" s="518"/>
      <c r="BC13" s="518"/>
      <c r="BD13" s="518"/>
      <c r="BE13" s="142"/>
    </row>
    <row r="14" spans="1:57" ht="30" customHeight="1" x14ac:dyDescent="0.3">
      <c r="A14" s="142"/>
      <c r="B14" s="142"/>
      <c r="C14" s="142"/>
      <c r="D14" s="142"/>
      <c r="E14" s="142"/>
      <c r="F14" s="142"/>
      <c r="G14" s="142"/>
      <c r="H14" s="352" t="s">
        <v>258</v>
      </c>
      <c r="I14" s="353"/>
      <c r="J14" s="353"/>
      <c r="K14" s="353"/>
      <c r="L14" s="353"/>
      <c r="M14" s="353"/>
      <c r="N14" s="353"/>
      <c r="O14" s="353"/>
      <c r="P14" s="353"/>
      <c r="Q14" s="353"/>
      <c r="R14" s="147"/>
      <c r="S14" s="489">
        <f>SUMIF(ResearchInput[Type],X1,ResearchInput[Fed.Eng])</f>
        <v>0</v>
      </c>
      <c r="T14" s="484"/>
      <c r="U14" s="485"/>
      <c r="V14" s="489">
        <f>SUMIF(ResearchInput[Type],X1,ResearchInput[St.Eng])</f>
        <v>0</v>
      </c>
      <c r="W14" s="484"/>
      <c r="X14" s="484"/>
      <c r="Y14" s="484">
        <f>SUMIF(ResearchInput[Type],X1,ResearchInput[St.C&amp;G.Eng])</f>
        <v>0</v>
      </c>
      <c r="Z14" s="484"/>
      <c r="AA14" s="484"/>
      <c r="AB14" s="484">
        <f>SUMIF(ResearchInput[Type],X1,ResearchInput[St.All.Eng])</f>
        <v>0</v>
      </c>
      <c r="AC14" s="484"/>
      <c r="AD14" s="485"/>
      <c r="AE14" s="489">
        <f>SUMIF(ResearchInput[Type],X1,ResearchInput[Inst.Eng])</f>
        <v>0</v>
      </c>
      <c r="AF14" s="484"/>
      <c r="AG14" s="485"/>
      <c r="AH14" s="489">
        <f>SUMIF(ResearchInput[Type],X1,ResearchInput[P4P.Eng])</f>
        <v>0</v>
      </c>
      <c r="AI14" s="484"/>
      <c r="AJ14" s="484"/>
      <c r="AK14" s="484">
        <f>SUMIF(ResearchInput[Type],X1,ResearchInput[PNP.Eng])</f>
        <v>0</v>
      </c>
      <c r="AL14" s="484"/>
      <c r="AM14" s="484"/>
      <c r="AN14" s="484">
        <f>SUMIF(ResearchInput[Type],X1,ResearchInput[P.All.Eng])</f>
        <v>0</v>
      </c>
      <c r="AO14" s="484"/>
      <c r="AP14" s="485"/>
      <c r="AQ14" s="486">
        <f t="shared" ref="AQ14:AQ22" si="0">SUM(S14:AP14)</f>
        <v>0</v>
      </c>
      <c r="AR14" s="486"/>
      <c r="AS14" s="487"/>
      <c r="AT14" s="142"/>
      <c r="AU14" s="518"/>
      <c r="AV14" s="518"/>
      <c r="AW14" s="518"/>
      <c r="AX14" s="518"/>
      <c r="AY14" s="518"/>
      <c r="AZ14" s="518"/>
      <c r="BA14" s="518"/>
      <c r="BB14" s="518"/>
      <c r="BC14" s="518"/>
      <c r="BD14" s="518"/>
      <c r="BE14" s="142"/>
    </row>
    <row r="15" spans="1:57" ht="30" customHeight="1" x14ac:dyDescent="0.3">
      <c r="A15" s="142"/>
      <c r="B15" s="142"/>
      <c r="C15" s="142"/>
      <c r="D15" s="142"/>
      <c r="E15" s="142"/>
      <c r="F15" s="142"/>
      <c r="G15" s="142"/>
      <c r="H15" s="352" t="s">
        <v>259</v>
      </c>
      <c r="I15" s="353"/>
      <c r="J15" s="353"/>
      <c r="K15" s="353"/>
      <c r="L15" s="353"/>
      <c r="M15" s="353"/>
      <c r="N15" s="353"/>
      <c r="O15" s="353"/>
      <c r="P15" s="353"/>
      <c r="Q15" s="353"/>
      <c r="R15" s="147"/>
      <c r="S15" s="489">
        <f>SUMIF(ResearchInput[Type],X1,ResearchInput[Fed.Geo])</f>
        <v>0</v>
      </c>
      <c r="T15" s="484"/>
      <c r="U15" s="485"/>
      <c r="V15" s="489">
        <f>SUMIF(ResearchInput[Type],X1,ResearchInput[St.Geo])</f>
        <v>0</v>
      </c>
      <c r="W15" s="484"/>
      <c r="X15" s="484"/>
      <c r="Y15" s="484">
        <f>SUMIF(ResearchInput[Type],X1,ResearchInput[St.C&amp;G.Geo])</f>
        <v>0</v>
      </c>
      <c r="Z15" s="484"/>
      <c r="AA15" s="484"/>
      <c r="AB15" s="484">
        <f>SUMIF(ResearchInput[Type],X1,ResearchInput[St.All.Geo])</f>
        <v>0</v>
      </c>
      <c r="AC15" s="484"/>
      <c r="AD15" s="485"/>
      <c r="AE15" s="489">
        <f>SUMIF(ResearchInput[Type],X1,ResearchInput[Inst.Geo])</f>
        <v>0</v>
      </c>
      <c r="AF15" s="484"/>
      <c r="AG15" s="485"/>
      <c r="AH15" s="489">
        <f>SUMIF(ResearchInput[Type],X1,ResearchInput[P4P.Geo])</f>
        <v>0</v>
      </c>
      <c r="AI15" s="484"/>
      <c r="AJ15" s="484"/>
      <c r="AK15" s="484">
        <f>SUMIF(ResearchInput[Type],X1,ResearchInput[PNP.Geo])</f>
        <v>0</v>
      </c>
      <c r="AL15" s="484"/>
      <c r="AM15" s="484"/>
      <c r="AN15" s="484">
        <f>SUMIF(ResearchInput[Type],X1,ResearchInput[P.All.Geo])</f>
        <v>0</v>
      </c>
      <c r="AO15" s="484"/>
      <c r="AP15" s="485"/>
      <c r="AQ15" s="486">
        <f t="shared" si="0"/>
        <v>0</v>
      </c>
      <c r="AR15" s="486"/>
      <c r="AS15" s="487"/>
      <c r="AT15" s="142"/>
      <c r="AU15" s="518"/>
      <c r="AV15" s="518"/>
      <c r="AW15" s="518"/>
      <c r="AX15" s="518"/>
      <c r="AY15" s="518"/>
      <c r="AZ15" s="518"/>
      <c r="BA15" s="518"/>
      <c r="BB15" s="518"/>
      <c r="BC15" s="518"/>
      <c r="BD15" s="518"/>
      <c r="BE15" s="142"/>
    </row>
    <row r="16" spans="1:57" ht="30" customHeight="1" x14ac:dyDescent="0.3">
      <c r="A16" s="142"/>
      <c r="B16" s="142"/>
      <c r="C16" s="142"/>
      <c r="D16" s="142"/>
      <c r="E16" s="142"/>
      <c r="F16" s="142"/>
      <c r="G16" s="142"/>
      <c r="H16" s="352" t="s">
        <v>260</v>
      </c>
      <c r="I16" s="353"/>
      <c r="J16" s="353"/>
      <c r="K16" s="353"/>
      <c r="L16" s="353"/>
      <c r="M16" s="353"/>
      <c r="N16" s="353"/>
      <c r="O16" s="353"/>
      <c r="P16" s="353"/>
      <c r="Q16" s="353"/>
      <c r="R16" s="147"/>
      <c r="S16" s="489">
        <f>SUMIF(ResearchInput[Type],X1,ResearchInput[Fed.Life])</f>
        <v>0</v>
      </c>
      <c r="T16" s="484"/>
      <c r="U16" s="485"/>
      <c r="V16" s="489">
        <f>SUMIF(ResearchInput[Type],X1,ResearchInput[St.Life])</f>
        <v>0</v>
      </c>
      <c r="W16" s="484"/>
      <c r="X16" s="484"/>
      <c r="Y16" s="484">
        <f>SUMIF(ResearchInput[Type],X1,ResearchInput[St.C&amp;G.Life])</f>
        <v>0</v>
      </c>
      <c r="Z16" s="484"/>
      <c r="AA16" s="484"/>
      <c r="AB16" s="484">
        <f>SUMIF(ResearchInput[Type],X1,ResearchInput[St.All.Life])</f>
        <v>0</v>
      </c>
      <c r="AC16" s="484"/>
      <c r="AD16" s="485"/>
      <c r="AE16" s="489">
        <f>SUMIF(ResearchInput[Type],X1,ResearchInput[Inst.Life])</f>
        <v>0</v>
      </c>
      <c r="AF16" s="484"/>
      <c r="AG16" s="485"/>
      <c r="AH16" s="489">
        <f>SUMIF(ResearchInput[Type],X1,ResearchInput[P4P.Life])</f>
        <v>0</v>
      </c>
      <c r="AI16" s="484"/>
      <c r="AJ16" s="484"/>
      <c r="AK16" s="484">
        <f>SUMIF(ResearchInput[Type],X1,ResearchInput[PNP.Life])</f>
        <v>0</v>
      </c>
      <c r="AL16" s="484"/>
      <c r="AM16" s="484"/>
      <c r="AN16" s="484">
        <f>SUMIF(ResearchInput[Type],X1,ResearchInput[P.All.Life])</f>
        <v>0</v>
      </c>
      <c r="AO16" s="484"/>
      <c r="AP16" s="485"/>
      <c r="AQ16" s="486">
        <f t="shared" si="0"/>
        <v>0</v>
      </c>
      <c r="AR16" s="486"/>
      <c r="AS16" s="487"/>
      <c r="AT16" s="142"/>
      <c r="AU16" s="518"/>
      <c r="AV16" s="518"/>
      <c r="AW16" s="518"/>
      <c r="AX16" s="518"/>
      <c r="AY16" s="518"/>
      <c r="AZ16" s="518"/>
      <c r="BA16" s="518"/>
      <c r="BB16" s="518"/>
      <c r="BC16" s="518"/>
      <c r="BD16" s="518"/>
      <c r="BE16" s="142"/>
    </row>
    <row r="17" spans="1:57" ht="30" customHeight="1" x14ac:dyDescent="0.3">
      <c r="A17" s="142"/>
      <c r="B17" s="142"/>
      <c r="C17" s="142"/>
      <c r="D17" s="142"/>
      <c r="E17" s="142"/>
      <c r="F17" s="142"/>
      <c r="G17" s="142"/>
      <c r="H17" s="352" t="s">
        <v>261</v>
      </c>
      <c r="I17" s="353"/>
      <c r="J17" s="353"/>
      <c r="K17" s="353"/>
      <c r="L17" s="353"/>
      <c r="M17" s="353"/>
      <c r="N17" s="353"/>
      <c r="O17" s="353"/>
      <c r="P17" s="353"/>
      <c r="Q17" s="353"/>
      <c r="R17" s="147"/>
      <c r="S17" s="489">
        <f>SUMIF(ResearchInput[Type],X1,ResearchInput[Fed.Math])</f>
        <v>0</v>
      </c>
      <c r="T17" s="484"/>
      <c r="U17" s="485"/>
      <c r="V17" s="489">
        <f>SUMIF(ResearchInput[Type],X1,ResearchInput[St.Math])</f>
        <v>0</v>
      </c>
      <c r="W17" s="484"/>
      <c r="X17" s="484"/>
      <c r="Y17" s="484">
        <f>SUMIF(ResearchInput[Type],X1,ResearchInput[St.C&amp;G.Math])</f>
        <v>0</v>
      </c>
      <c r="Z17" s="484"/>
      <c r="AA17" s="484"/>
      <c r="AB17" s="484">
        <f>SUMIF(ResearchInput[Type],X1,ResearchInput[St.All.Math])</f>
        <v>0</v>
      </c>
      <c r="AC17" s="484"/>
      <c r="AD17" s="485"/>
      <c r="AE17" s="489">
        <f>SUMIF(ResearchInput[Type],X1,ResearchInput[Inst.Math])</f>
        <v>0</v>
      </c>
      <c r="AF17" s="484"/>
      <c r="AG17" s="485"/>
      <c r="AH17" s="489">
        <f>SUMIF(ResearchInput[Type],X1,ResearchInput[P4P.Math])</f>
        <v>0</v>
      </c>
      <c r="AI17" s="484"/>
      <c r="AJ17" s="484"/>
      <c r="AK17" s="484">
        <f>SUMIF(ResearchInput[Type],X1,ResearchInput[PNP.Math])</f>
        <v>0</v>
      </c>
      <c r="AL17" s="484"/>
      <c r="AM17" s="484"/>
      <c r="AN17" s="484">
        <f>SUMIF(ResearchInput[Type],X1,ResearchInput[P.All.Math])</f>
        <v>0</v>
      </c>
      <c r="AO17" s="484"/>
      <c r="AP17" s="485"/>
      <c r="AQ17" s="486">
        <f t="shared" si="0"/>
        <v>0</v>
      </c>
      <c r="AR17" s="486"/>
      <c r="AS17" s="487"/>
      <c r="AT17" s="142"/>
      <c r="AU17" s="518"/>
      <c r="AV17" s="518"/>
      <c r="AW17" s="518"/>
      <c r="AX17" s="518"/>
      <c r="AY17" s="518"/>
      <c r="AZ17" s="518"/>
      <c r="BA17" s="518"/>
      <c r="BB17" s="518"/>
      <c r="BC17" s="518"/>
      <c r="BD17" s="518"/>
      <c r="BE17" s="142"/>
    </row>
    <row r="18" spans="1:57" ht="30" customHeight="1" x14ac:dyDescent="0.3">
      <c r="A18" s="142"/>
      <c r="B18" s="142"/>
      <c r="C18" s="142"/>
      <c r="D18" s="142"/>
      <c r="E18" s="142"/>
      <c r="F18" s="142"/>
      <c r="G18" s="142"/>
      <c r="H18" s="352" t="s">
        <v>262</v>
      </c>
      <c r="I18" s="353"/>
      <c r="J18" s="353"/>
      <c r="K18" s="353"/>
      <c r="L18" s="353"/>
      <c r="M18" s="353"/>
      <c r="N18" s="353"/>
      <c r="O18" s="353"/>
      <c r="P18" s="353"/>
      <c r="Q18" s="353"/>
      <c r="R18" s="147"/>
      <c r="S18" s="489">
        <f>SUMIF(ResearchInput[Type],X1,ResearchInput[Fed.Phys])</f>
        <v>0</v>
      </c>
      <c r="T18" s="484"/>
      <c r="U18" s="485"/>
      <c r="V18" s="489">
        <f>SUMIF(ResearchInput[Type],X1,ResearchInput[St.Phys])</f>
        <v>0</v>
      </c>
      <c r="W18" s="484"/>
      <c r="X18" s="484"/>
      <c r="Y18" s="484">
        <f>SUMIF(ResearchInput[Type],X1,ResearchInput[St.C&amp;G.Phys])</f>
        <v>0</v>
      </c>
      <c r="Z18" s="484"/>
      <c r="AA18" s="484"/>
      <c r="AB18" s="484">
        <f>SUMIF(ResearchInput[Type],X1,ResearchInput[St.All.Phys])</f>
        <v>0</v>
      </c>
      <c r="AC18" s="484"/>
      <c r="AD18" s="485"/>
      <c r="AE18" s="489">
        <f>SUMIF(ResearchInput[Type],X1,ResearchInput[Inst.Phys])</f>
        <v>0</v>
      </c>
      <c r="AF18" s="484"/>
      <c r="AG18" s="485"/>
      <c r="AH18" s="489">
        <f>SUMIF(ResearchInput[Type],X1,ResearchInput[P4P.Phys])</f>
        <v>0</v>
      </c>
      <c r="AI18" s="484"/>
      <c r="AJ18" s="484"/>
      <c r="AK18" s="484">
        <f>SUMIF(ResearchInput[Type],X1,ResearchInput[PNP.Phys])</f>
        <v>0</v>
      </c>
      <c r="AL18" s="484"/>
      <c r="AM18" s="484"/>
      <c r="AN18" s="484">
        <f>SUMIF(ResearchInput[Type],X1,ResearchInput[P.All.Phys])</f>
        <v>0</v>
      </c>
      <c r="AO18" s="484"/>
      <c r="AP18" s="485"/>
      <c r="AQ18" s="486">
        <f t="shared" si="0"/>
        <v>0</v>
      </c>
      <c r="AR18" s="486"/>
      <c r="AS18" s="487"/>
      <c r="AT18" s="142"/>
      <c r="AU18" s="518"/>
      <c r="AV18" s="518"/>
      <c r="AW18" s="518"/>
      <c r="AX18" s="518"/>
      <c r="AY18" s="518"/>
      <c r="AZ18" s="518"/>
      <c r="BA18" s="518"/>
      <c r="BB18" s="518"/>
      <c r="BC18" s="518"/>
      <c r="BD18" s="518"/>
      <c r="BE18" s="142"/>
    </row>
    <row r="19" spans="1:57" ht="30" customHeight="1" x14ac:dyDescent="0.3">
      <c r="A19" s="142"/>
      <c r="B19" s="142"/>
      <c r="C19" s="142"/>
      <c r="D19" s="142"/>
      <c r="E19" s="142"/>
      <c r="F19" s="142"/>
      <c r="G19" s="142"/>
      <c r="H19" s="352" t="s">
        <v>263</v>
      </c>
      <c r="I19" s="353"/>
      <c r="J19" s="353"/>
      <c r="K19" s="353"/>
      <c r="L19" s="353"/>
      <c r="M19" s="353"/>
      <c r="N19" s="353"/>
      <c r="O19" s="353"/>
      <c r="P19" s="353"/>
      <c r="Q19" s="353"/>
      <c r="R19" s="147"/>
      <c r="S19" s="489">
        <f>SUMIF(ResearchInput[Type],X1,ResearchInput[Fed.Psyc])</f>
        <v>0</v>
      </c>
      <c r="T19" s="484"/>
      <c r="U19" s="485"/>
      <c r="V19" s="489">
        <f>SUMIF(ResearchInput[Type],X1,ResearchInput[St.Psyc])</f>
        <v>0</v>
      </c>
      <c r="W19" s="484"/>
      <c r="X19" s="484"/>
      <c r="Y19" s="484">
        <f>SUMIF(ResearchInput[Type],X1,ResearchInput[St.C&amp;G.Psyc])</f>
        <v>0</v>
      </c>
      <c r="Z19" s="484"/>
      <c r="AA19" s="484"/>
      <c r="AB19" s="484">
        <f>SUMIF(ResearchInput[Type],X1,ResearchInput[St.All.Psyc])</f>
        <v>0</v>
      </c>
      <c r="AC19" s="484"/>
      <c r="AD19" s="485"/>
      <c r="AE19" s="489">
        <f>SUMIF(ResearchInput[Type],X1,ResearchInput[Inst.Psyc])</f>
        <v>0</v>
      </c>
      <c r="AF19" s="484"/>
      <c r="AG19" s="485"/>
      <c r="AH19" s="489">
        <f>SUMIF(ResearchInput[Type],X1,ResearchInput[P4P.Psyc])</f>
        <v>0</v>
      </c>
      <c r="AI19" s="484"/>
      <c r="AJ19" s="484"/>
      <c r="AK19" s="484">
        <f>SUMIF(ResearchInput[Type],X1,ResearchInput[PNP.Psyc])</f>
        <v>0</v>
      </c>
      <c r="AL19" s="484"/>
      <c r="AM19" s="484"/>
      <c r="AN19" s="484">
        <f>SUMIF(ResearchInput[Type],X1,ResearchInput[P.All.Psyc])</f>
        <v>0</v>
      </c>
      <c r="AO19" s="484"/>
      <c r="AP19" s="485"/>
      <c r="AQ19" s="486">
        <f t="shared" si="0"/>
        <v>0</v>
      </c>
      <c r="AR19" s="486"/>
      <c r="AS19" s="487"/>
      <c r="AT19" s="142"/>
      <c r="AU19" s="518"/>
      <c r="AV19" s="518"/>
      <c r="AW19" s="518"/>
      <c r="AX19" s="518"/>
      <c r="AY19" s="518"/>
      <c r="AZ19" s="518"/>
      <c r="BA19" s="518"/>
      <c r="BB19" s="518"/>
      <c r="BC19" s="518"/>
      <c r="BD19" s="518"/>
      <c r="BE19" s="142"/>
    </row>
    <row r="20" spans="1:57" ht="30" customHeight="1" x14ac:dyDescent="0.3">
      <c r="A20" s="142"/>
      <c r="B20" s="142"/>
      <c r="C20" s="142"/>
      <c r="D20" s="142"/>
      <c r="E20" s="142"/>
      <c r="F20" s="142"/>
      <c r="G20" s="142"/>
      <c r="H20" s="352" t="s">
        <v>264</v>
      </c>
      <c r="I20" s="353"/>
      <c r="J20" s="353"/>
      <c r="K20" s="353"/>
      <c r="L20" s="353"/>
      <c r="M20" s="353"/>
      <c r="N20" s="353"/>
      <c r="O20" s="353"/>
      <c r="P20" s="353"/>
      <c r="Q20" s="353"/>
      <c r="R20" s="147"/>
      <c r="S20" s="489">
        <f>SUMIF(ResearchInput[Type],X1,ResearchInput[Fed.Soc])</f>
        <v>0</v>
      </c>
      <c r="T20" s="484"/>
      <c r="U20" s="485"/>
      <c r="V20" s="489">
        <f>SUMIF(ResearchInput[Type],X1,ResearchInput[St.Soc])</f>
        <v>0</v>
      </c>
      <c r="W20" s="484"/>
      <c r="X20" s="484"/>
      <c r="Y20" s="484">
        <f>SUMIF(ResearchInput[Type],X1,ResearchInput[St.C&amp;G.Soc])</f>
        <v>0</v>
      </c>
      <c r="Z20" s="484"/>
      <c r="AA20" s="484"/>
      <c r="AB20" s="484">
        <f>SUMIF(ResearchInput[Type],X1,ResearchInput[St.All.Soc])</f>
        <v>0</v>
      </c>
      <c r="AC20" s="484"/>
      <c r="AD20" s="485"/>
      <c r="AE20" s="489">
        <f>SUMIF(ResearchInput[Type],X1,ResearchInput[Inst.Soc])</f>
        <v>0</v>
      </c>
      <c r="AF20" s="484"/>
      <c r="AG20" s="485"/>
      <c r="AH20" s="489">
        <f>SUMIF(ResearchInput[Type],X1,ResearchInput[P4P.Soc])</f>
        <v>0</v>
      </c>
      <c r="AI20" s="484"/>
      <c r="AJ20" s="484"/>
      <c r="AK20" s="484">
        <f>SUMIF(ResearchInput[Type],X1,ResearchInput[PNP.Soc])</f>
        <v>0</v>
      </c>
      <c r="AL20" s="484"/>
      <c r="AM20" s="484"/>
      <c r="AN20" s="484">
        <f>SUMIF(ResearchInput[Type],X1,ResearchInput[P.All.Soc])</f>
        <v>0</v>
      </c>
      <c r="AO20" s="484"/>
      <c r="AP20" s="485"/>
      <c r="AQ20" s="486">
        <f t="shared" si="0"/>
        <v>0</v>
      </c>
      <c r="AR20" s="486"/>
      <c r="AS20" s="487"/>
      <c r="AT20" s="142"/>
      <c r="AU20" s="518"/>
      <c r="AV20" s="518"/>
      <c r="AW20" s="518"/>
      <c r="AX20" s="518"/>
      <c r="AY20" s="518"/>
      <c r="AZ20" s="518"/>
      <c r="BA20" s="518"/>
      <c r="BB20" s="518"/>
      <c r="BC20" s="518"/>
      <c r="BD20" s="518"/>
      <c r="BE20" s="142"/>
    </row>
    <row r="21" spans="1:57" ht="30" customHeight="1" x14ac:dyDescent="0.3">
      <c r="A21" s="142"/>
      <c r="B21" s="142"/>
      <c r="C21" s="142"/>
      <c r="D21" s="142"/>
      <c r="E21" s="142"/>
      <c r="F21" s="142"/>
      <c r="G21" s="142"/>
      <c r="H21" s="352" t="s">
        <v>265</v>
      </c>
      <c r="I21" s="353"/>
      <c r="J21" s="353"/>
      <c r="K21" s="353"/>
      <c r="L21" s="353"/>
      <c r="M21" s="353"/>
      <c r="N21" s="353"/>
      <c r="O21" s="353"/>
      <c r="P21" s="353"/>
      <c r="Q21" s="353"/>
      <c r="R21" s="147"/>
      <c r="S21" s="489">
        <f>SUMIF(ResearchInput[Type],X1,ResearchInput[Fed.Othr])</f>
        <v>0</v>
      </c>
      <c r="T21" s="484"/>
      <c r="U21" s="485"/>
      <c r="V21" s="489">
        <f>SUMIF(ResearchInput[Type],X1,ResearchInput[St.Othr])</f>
        <v>0</v>
      </c>
      <c r="W21" s="484"/>
      <c r="X21" s="484"/>
      <c r="Y21" s="484">
        <f>SUMIF(ResearchInput[Type],X1,ResearchInput[St.C&amp;G.Othr])</f>
        <v>0</v>
      </c>
      <c r="Z21" s="484"/>
      <c r="AA21" s="484"/>
      <c r="AB21" s="484">
        <f>SUMIF(ResearchInput[Type],X1,ResearchInput[St.All.Othr])</f>
        <v>0</v>
      </c>
      <c r="AC21" s="484"/>
      <c r="AD21" s="485"/>
      <c r="AE21" s="489">
        <f>SUMIF(ResearchInput[Type],X1,ResearchInput[Inst.Othr])</f>
        <v>0</v>
      </c>
      <c r="AF21" s="484"/>
      <c r="AG21" s="485"/>
      <c r="AH21" s="489">
        <f>SUMIF(ResearchInput[Type],X1,ResearchInput[P4P.Othr])</f>
        <v>0</v>
      </c>
      <c r="AI21" s="484"/>
      <c r="AJ21" s="484"/>
      <c r="AK21" s="484">
        <f>SUMIF(ResearchInput[Type],X1,ResearchInput[PNP.Othr])</f>
        <v>0</v>
      </c>
      <c r="AL21" s="484"/>
      <c r="AM21" s="484"/>
      <c r="AN21" s="484">
        <f>SUMIF(ResearchInput[Type],X1,ResearchInput[P.All.Othr])</f>
        <v>0</v>
      </c>
      <c r="AO21" s="484"/>
      <c r="AP21" s="485"/>
      <c r="AQ21" s="486">
        <f t="shared" si="0"/>
        <v>0</v>
      </c>
      <c r="AR21" s="486"/>
      <c r="AS21" s="487"/>
      <c r="AT21" s="142"/>
      <c r="AU21" s="518"/>
      <c r="AV21" s="518"/>
      <c r="AW21" s="518"/>
      <c r="AX21" s="518"/>
      <c r="AY21" s="518"/>
      <c r="AZ21" s="518"/>
      <c r="BA21" s="518"/>
      <c r="BB21" s="518"/>
      <c r="BC21" s="518"/>
      <c r="BD21" s="518"/>
      <c r="BE21" s="142"/>
    </row>
    <row r="22" spans="1:57" ht="30" customHeight="1" thickBot="1" x14ac:dyDescent="0.35">
      <c r="A22" s="142"/>
      <c r="B22" s="142"/>
      <c r="C22" s="142"/>
      <c r="D22" s="142"/>
      <c r="E22" s="142"/>
      <c r="F22" s="142"/>
      <c r="G22" s="142"/>
      <c r="H22" s="358" t="s">
        <v>266</v>
      </c>
      <c r="I22" s="359"/>
      <c r="J22" s="359"/>
      <c r="K22" s="359"/>
      <c r="L22" s="359"/>
      <c r="M22" s="359"/>
      <c r="N22" s="359"/>
      <c r="O22" s="359"/>
      <c r="P22" s="359"/>
      <c r="Q22" s="359"/>
      <c r="R22" s="148"/>
      <c r="S22" s="488">
        <f>SUMIF(ResearchInput[Type],X1,ResearchInput[Fed.Non])</f>
        <v>0</v>
      </c>
      <c r="T22" s="473"/>
      <c r="U22" s="474"/>
      <c r="V22" s="488">
        <f>SUMIF(ResearchInput[Type],X1,ResearchInput[St.Non])</f>
        <v>0</v>
      </c>
      <c r="W22" s="473"/>
      <c r="X22" s="473"/>
      <c r="Y22" s="473">
        <f>SUMIF(ResearchInput[Type],X1,ResearchInput[St.C&amp;G.Non])</f>
        <v>0</v>
      </c>
      <c r="Z22" s="473"/>
      <c r="AA22" s="473"/>
      <c r="AB22" s="473">
        <f>SUMIF(ResearchInput[Type],X1,ResearchInput[St.All.Non])</f>
        <v>0</v>
      </c>
      <c r="AC22" s="473"/>
      <c r="AD22" s="474"/>
      <c r="AE22" s="488">
        <f>SUMIF(ResearchInput[Type],X1,ResearchInput[Inst.Non])</f>
        <v>0</v>
      </c>
      <c r="AF22" s="473"/>
      <c r="AG22" s="474"/>
      <c r="AH22" s="488">
        <f>SUMIF(ResearchInput[Type],X1,ResearchInput[P4P.Non])</f>
        <v>0</v>
      </c>
      <c r="AI22" s="473"/>
      <c r="AJ22" s="473"/>
      <c r="AK22" s="473">
        <f>SUMIF(ResearchInput[Type],X1,ResearchInput[PNP.Non])</f>
        <v>0</v>
      </c>
      <c r="AL22" s="473"/>
      <c r="AM22" s="473"/>
      <c r="AN22" s="473">
        <f>SUMIF(ResearchInput[Type],X1,ResearchInput[P.All.Non])</f>
        <v>0</v>
      </c>
      <c r="AO22" s="473"/>
      <c r="AP22" s="474"/>
      <c r="AQ22" s="475">
        <f t="shared" si="0"/>
        <v>0</v>
      </c>
      <c r="AR22" s="475"/>
      <c r="AS22" s="476"/>
      <c r="AT22" s="142"/>
      <c r="AU22" s="518"/>
      <c r="AV22" s="518"/>
      <c r="AW22" s="518"/>
      <c r="AX22" s="518"/>
      <c r="AY22" s="518"/>
      <c r="AZ22" s="518"/>
      <c r="BA22" s="518"/>
      <c r="BB22" s="518"/>
      <c r="BC22" s="518"/>
      <c r="BD22" s="518"/>
      <c r="BE22" s="142"/>
    </row>
    <row r="23" spans="1:57" ht="30" customHeight="1" thickTop="1" x14ac:dyDescent="0.3">
      <c r="A23" s="142"/>
      <c r="B23" s="142"/>
      <c r="C23" s="142"/>
      <c r="D23" s="142"/>
      <c r="E23" s="142"/>
      <c r="F23" s="142"/>
      <c r="G23" s="142"/>
      <c r="H23" s="415"/>
      <c r="I23" s="416"/>
      <c r="J23" s="416"/>
      <c r="K23" s="416"/>
      <c r="L23" s="416"/>
      <c r="M23" s="416"/>
      <c r="N23" s="416"/>
      <c r="O23" s="416"/>
      <c r="P23" s="416"/>
      <c r="Q23" s="416"/>
      <c r="R23" s="416"/>
      <c r="S23" s="477">
        <f>SUM(S13:U22)</f>
        <v>0</v>
      </c>
      <c r="T23" s="469"/>
      <c r="U23" s="470"/>
      <c r="V23" s="477">
        <f t="shared" ref="V23" si="1">SUM(V13:X22)</f>
        <v>0</v>
      </c>
      <c r="W23" s="469"/>
      <c r="X23" s="469"/>
      <c r="Y23" s="469">
        <f t="shared" ref="Y23" si="2">SUM(Y13:AA22)</f>
        <v>0</v>
      </c>
      <c r="Z23" s="469"/>
      <c r="AA23" s="469"/>
      <c r="AB23" s="469">
        <f t="shared" ref="AB23" si="3">SUM(AB13:AD22)</f>
        <v>0</v>
      </c>
      <c r="AC23" s="469"/>
      <c r="AD23" s="470"/>
      <c r="AE23" s="477">
        <f t="shared" ref="AE23" si="4">SUM(AE13:AG22)</f>
        <v>0</v>
      </c>
      <c r="AF23" s="469"/>
      <c r="AG23" s="470"/>
      <c r="AH23" s="477">
        <f t="shared" ref="AH23" si="5">SUM(AH13:AJ22)</f>
        <v>0</v>
      </c>
      <c r="AI23" s="469"/>
      <c r="AJ23" s="469"/>
      <c r="AK23" s="469">
        <f t="shared" ref="AK23" si="6">SUM(AK13:AM22)</f>
        <v>0</v>
      </c>
      <c r="AL23" s="469"/>
      <c r="AM23" s="469"/>
      <c r="AN23" s="469">
        <f t="shared" ref="AN23" si="7">SUM(AN13:AP22)</f>
        <v>0</v>
      </c>
      <c r="AO23" s="469"/>
      <c r="AP23" s="470"/>
      <c r="AQ23" s="471">
        <f t="shared" ref="AQ23" si="8">SUM(AQ13:AS22)</f>
        <v>0</v>
      </c>
      <c r="AR23" s="471"/>
      <c r="AS23" s="472"/>
      <c r="AT23" s="142"/>
      <c r="AU23" s="518"/>
      <c r="AV23" s="518"/>
      <c r="AW23" s="518"/>
      <c r="AX23" s="518"/>
      <c r="AY23" s="518"/>
      <c r="AZ23" s="518"/>
      <c r="BA23" s="518"/>
      <c r="BB23" s="518"/>
      <c r="BC23" s="518"/>
      <c r="BD23" s="518"/>
      <c r="BE23" s="142"/>
    </row>
    <row r="24" spans="1:57" ht="30" customHeight="1" x14ac:dyDescent="0.3">
      <c r="A24" s="142"/>
      <c r="B24" s="142"/>
      <c r="C24" s="142"/>
      <c r="D24" s="142"/>
      <c r="E24" s="142"/>
      <c r="F24" s="142"/>
      <c r="G24" s="142"/>
      <c r="H24" s="142"/>
      <c r="I24" s="142"/>
      <c r="J24" s="142"/>
      <c r="K24" s="142"/>
      <c r="L24" s="142"/>
      <c r="M24" s="142"/>
      <c r="N24" s="142"/>
      <c r="O24" s="142"/>
      <c r="P24" s="142"/>
      <c r="Q24" s="142"/>
      <c r="R24" s="142"/>
      <c r="S24" s="142"/>
      <c r="T24" s="142"/>
      <c r="U24" s="142"/>
      <c r="V24" s="142"/>
      <c r="W24" s="142"/>
      <c r="X24" s="142"/>
      <c r="Y24" s="142"/>
      <c r="Z24" s="142"/>
      <c r="AA24" s="142"/>
      <c r="AB24" s="142"/>
      <c r="AC24" s="142"/>
      <c r="AD24" s="142"/>
      <c r="AE24" s="142"/>
      <c r="AF24" s="142"/>
      <c r="AG24" s="142"/>
      <c r="AH24" s="142"/>
      <c r="AI24" s="142"/>
      <c r="AJ24" s="142"/>
      <c r="AK24" s="142"/>
      <c r="AL24" s="142"/>
      <c r="AM24" s="142"/>
      <c r="AN24" s="142"/>
      <c r="AO24" s="142"/>
      <c r="AP24" s="142"/>
      <c r="AQ24" s="142"/>
      <c r="AR24" s="142"/>
      <c r="AS24" s="142"/>
      <c r="AT24" s="142"/>
      <c r="AU24" s="518"/>
      <c r="AV24" s="518"/>
      <c r="AW24" s="518"/>
      <c r="AX24" s="518"/>
      <c r="AY24" s="518"/>
      <c r="AZ24" s="518"/>
      <c r="BA24" s="518"/>
      <c r="BB24" s="518"/>
      <c r="BC24" s="518"/>
      <c r="BD24" s="518"/>
      <c r="BE24" s="142"/>
    </row>
    <row r="25" spans="1:57" ht="30" customHeight="1" x14ac:dyDescent="0.3">
      <c r="A25" s="142"/>
      <c r="B25" s="142"/>
      <c r="C25" s="142"/>
      <c r="D25" s="142"/>
      <c r="E25" s="142"/>
      <c r="F25" s="142"/>
      <c r="G25" s="142"/>
      <c r="H25" s="343" t="s">
        <v>702</v>
      </c>
      <c r="I25" s="344"/>
      <c r="J25" s="344"/>
      <c r="K25" s="344"/>
      <c r="L25" s="344"/>
      <c r="M25" s="344"/>
      <c r="N25" s="345"/>
      <c r="O25" s="142"/>
      <c r="P25" s="142"/>
      <c r="Q25" s="142"/>
      <c r="R25" s="142"/>
      <c r="S25" s="343" t="s">
        <v>705</v>
      </c>
      <c r="T25" s="344"/>
      <c r="U25" s="344"/>
      <c r="V25" s="344"/>
      <c r="W25" s="344"/>
      <c r="X25" s="344"/>
      <c r="Y25" s="344"/>
      <c r="Z25" s="344"/>
      <c r="AA25" s="344"/>
      <c r="AB25" s="344"/>
      <c r="AC25" s="344"/>
      <c r="AD25" s="344"/>
      <c r="AE25" s="344"/>
      <c r="AF25" s="345"/>
      <c r="AG25" s="142"/>
      <c r="AH25" s="142"/>
      <c r="AI25" s="142"/>
      <c r="AJ25" s="142"/>
      <c r="AK25" s="142"/>
      <c r="AL25" s="142"/>
      <c r="AM25" s="142"/>
      <c r="AN25" s="142"/>
      <c r="AO25" s="142"/>
      <c r="AP25" s="142"/>
      <c r="AQ25" s="142"/>
      <c r="AR25" s="142"/>
      <c r="AS25" s="142"/>
      <c r="AT25" s="142"/>
      <c r="AU25" s="518"/>
      <c r="AV25" s="518"/>
      <c r="AW25" s="518"/>
      <c r="AX25" s="518"/>
      <c r="AY25" s="518"/>
      <c r="AZ25" s="518"/>
      <c r="BA25" s="518"/>
      <c r="BB25" s="518"/>
      <c r="BC25" s="518"/>
      <c r="BD25" s="518"/>
      <c r="BE25" s="142"/>
    </row>
    <row r="26" spans="1:57" ht="30" customHeight="1" x14ac:dyDescent="0.3">
      <c r="A26" s="142"/>
      <c r="B26" s="142"/>
      <c r="C26" s="142"/>
      <c r="D26" s="142"/>
      <c r="E26" s="142"/>
      <c r="F26" s="142"/>
      <c r="G26" s="142"/>
      <c r="H26" s="346" t="s">
        <v>243</v>
      </c>
      <c r="I26" s="347"/>
      <c r="J26" s="347"/>
      <c r="K26" s="348"/>
      <c r="L26" s="349">
        <f>SUM(S23)</f>
        <v>0</v>
      </c>
      <c r="M26" s="350"/>
      <c r="N26" s="351"/>
      <c r="O26" s="142"/>
      <c r="P26" s="142"/>
      <c r="Q26" s="142"/>
      <c r="R26" s="142"/>
      <c r="S26" s="149" t="str" cm="1">
        <f t="array" ref="S26">_xlfn.XLOOKUP(IFERROR(LARGE(_xlfn._xlws.FILTER(AQ$13:AQ$22, AQ$13:AQ$22&gt;0), 1), ""),$AQ$13:$AQ$22,$H$13:$H$22,"",0,-1)</f>
        <v/>
      </c>
      <c r="T26" s="150"/>
      <c r="U26" s="150"/>
      <c r="V26" s="150"/>
      <c r="W26" s="150"/>
      <c r="X26" s="150"/>
      <c r="Y26" s="150"/>
      <c r="Z26" s="150"/>
      <c r="AA26" s="150"/>
      <c r="AB26" s="150"/>
      <c r="AC26" s="150"/>
      <c r="AD26" s="519">
        <f>_xlfn.XLOOKUP(S26,$H$13:$H$22,$AQ$13:$AQ$22,0,0,1)</f>
        <v>0</v>
      </c>
      <c r="AE26" s="520"/>
      <c r="AF26" s="521"/>
      <c r="AG26" s="142"/>
      <c r="AH26" s="142"/>
      <c r="AI26" s="142"/>
      <c r="AJ26" s="142"/>
      <c r="AK26" s="142"/>
      <c r="AL26" s="142"/>
      <c r="AM26" s="142"/>
      <c r="AN26" s="142"/>
      <c r="AO26" s="142"/>
      <c r="AP26" s="142"/>
      <c r="AQ26" s="142"/>
      <c r="AR26" s="142"/>
      <c r="AS26" s="142"/>
      <c r="AT26" s="142"/>
      <c r="AU26" s="518"/>
      <c r="AV26" s="518"/>
      <c r="AW26" s="518"/>
      <c r="AX26" s="518"/>
      <c r="AY26" s="518"/>
      <c r="AZ26" s="518"/>
      <c r="BA26" s="518"/>
      <c r="BB26" s="518"/>
      <c r="BC26" s="518"/>
      <c r="BD26" s="518"/>
      <c r="BE26" s="142"/>
    </row>
    <row r="27" spans="1:57" ht="30" customHeight="1" x14ac:dyDescent="0.3">
      <c r="A27" s="142"/>
      <c r="B27" s="142"/>
      <c r="C27" s="142"/>
      <c r="D27" s="142"/>
      <c r="E27" s="142"/>
      <c r="F27" s="142"/>
      <c r="G27" s="142"/>
      <c r="H27" s="352" t="s">
        <v>703</v>
      </c>
      <c r="I27" s="353"/>
      <c r="J27" s="353"/>
      <c r="K27" s="354"/>
      <c r="L27" s="355">
        <f>SUM(V23:AD23)</f>
        <v>0</v>
      </c>
      <c r="M27" s="356"/>
      <c r="N27" s="357"/>
      <c r="O27" s="142"/>
      <c r="P27" s="142"/>
      <c r="Q27" s="142"/>
      <c r="R27" s="142"/>
      <c r="S27" s="151" t="str" cm="1">
        <f t="array" ref="S27">_xlfn.XLOOKUP(IFERROR(LARGE(_xlfn._xlws.FILTER(AQ$13:AQ$22, AQ$13:AQ$22&gt;0), 2), ""),$AQ$13:$AQ$22,$H$13:$H$22,"",0,-1)</f>
        <v/>
      </c>
      <c r="T27" s="152"/>
      <c r="U27" s="152"/>
      <c r="V27" s="152"/>
      <c r="W27" s="152"/>
      <c r="X27" s="152"/>
      <c r="Y27" s="152"/>
      <c r="Z27" s="152"/>
      <c r="AA27" s="152"/>
      <c r="AB27" s="152"/>
      <c r="AC27" s="152"/>
      <c r="AD27" s="478">
        <f>_xlfn.XLOOKUP(S27,$H$13:$H$22,$AQ$13:$AQ$22,0,0,1)</f>
        <v>0</v>
      </c>
      <c r="AE27" s="479"/>
      <c r="AF27" s="480"/>
      <c r="AG27" s="142"/>
      <c r="AH27" s="142"/>
      <c r="AI27" s="142"/>
      <c r="AJ27" s="142"/>
      <c r="AK27" s="142"/>
      <c r="AL27" s="142"/>
      <c r="AM27" s="142"/>
      <c r="AN27" s="142"/>
      <c r="AO27" s="142"/>
      <c r="AP27" s="142"/>
      <c r="AQ27" s="142"/>
      <c r="AR27" s="142"/>
      <c r="AS27" s="142"/>
      <c r="AT27" s="142"/>
      <c r="AU27" s="518"/>
      <c r="AV27" s="518"/>
      <c r="AW27" s="518"/>
      <c r="AX27" s="518"/>
      <c r="AY27" s="518"/>
      <c r="AZ27" s="518"/>
      <c r="BA27" s="518"/>
      <c r="BB27" s="518"/>
      <c r="BC27" s="518"/>
      <c r="BD27" s="518"/>
      <c r="BE27" s="142"/>
    </row>
    <row r="28" spans="1:57" ht="30" customHeight="1" x14ac:dyDescent="0.3">
      <c r="A28" s="142"/>
      <c r="B28" s="142"/>
      <c r="C28" s="142"/>
      <c r="D28" s="142"/>
      <c r="E28" s="142"/>
      <c r="F28" s="142"/>
      <c r="G28" s="142"/>
      <c r="H28" s="352" t="s">
        <v>245</v>
      </c>
      <c r="I28" s="353"/>
      <c r="J28" s="353"/>
      <c r="K28" s="354"/>
      <c r="L28" s="355">
        <f>SUM(AE23)</f>
        <v>0</v>
      </c>
      <c r="M28" s="356"/>
      <c r="N28" s="357"/>
      <c r="O28" s="142"/>
      <c r="P28" s="142"/>
      <c r="Q28" s="142"/>
      <c r="R28" s="142"/>
      <c r="S28" s="151" t="str" cm="1">
        <f t="array" ref="S28">_xlfn.XLOOKUP(IFERROR(LARGE(_xlfn._xlws.FILTER(AQ$13:AQ$22, AQ$13:AQ$22&gt;0), 3), ""),$AQ$13:$AQ$22,$H$13:$H$22,"",0,-1)</f>
        <v/>
      </c>
      <c r="T28" s="152"/>
      <c r="U28" s="152"/>
      <c r="V28" s="152"/>
      <c r="W28" s="152"/>
      <c r="X28" s="152"/>
      <c r="Y28" s="152"/>
      <c r="Z28" s="152"/>
      <c r="AA28" s="152"/>
      <c r="AB28" s="152"/>
      <c r="AC28" s="152"/>
      <c r="AD28" s="478">
        <f>_xlfn.XLOOKUP(S28,$H$13:$H$22,$AQ$13:$AQ$22,0,0,1)</f>
        <v>0</v>
      </c>
      <c r="AE28" s="479"/>
      <c r="AF28" s="480"/>
      <c r="AG28" s="142"/>
      <c r="AH28" s="142"/>
      <c r="AI28" s="142"/>
      <c r="AJ28" s="142"/>
      <c r="AK28" s="142"/>
      <c r="AL28" s="142"/>
      <c r="AM28" s="142"/>
      <c r="AN28" s="142"/>
      <c r="AO28" s="142"/>
      <c r="AP28" s="142"/>
      <c r="AQ28" s="142"/>
      <c r="AR28" s="142"/>
      <c r="AS28" s="142"/>
      <c r="AT28" s="142"/>
      <c r="AU28" s="518"/>
      <c r="AV28" s="518"/>
      <c r="AW28" s="518"/>
      <c r="AX28" s="518"/>
      <c r="AY28" s="518"/>
      <c r="AZ28" s="518"/>
      <c r="BA28" s="518"/>
      <c r="BB28" s="518"/>
      <c r="BC28" s="518"/>
      <c r="BD28" s="518"/>
      <c r="BE28" s="142"/>
    </row>
    <row r="29" spans="1:57" ht="30" customHeight="1" thickBot="1" x14ac:dyDescent="0.35">
      <c r="A29" s="142"/>
      <c r="B29" s="142"/>
      <c r="C29" s="142"/>
      <c r="D29" s="142"/>
      <c r="E29" s="142"/>
      <c r="F29" s="142"/>
      <c r="G29" s="142"/>
      <c r="H29" s="358" t="s">
        <v>246</v>
      </c>
      <c r="I29" s="359"/>
      <c r="J29" s="359"/>
      <c r="K29" s="360"/>
      <c r="L29" s="361">
        <f>SUM(AH23:AP23)</f>
        <v>0</v>
      </c>
      <c r="M29" s="362"/>
      <c r="N29" s="363"/>
      <c r="O29" s="142"/>
      <c r="P29" s="142"/>
      <c r="Q29" s="142"/>
      <c r="R29" s="142"/>
      <c r="S29" s="153" t="str" cm="1">
        <f t="array" ref="S29">_xlfn.XLOOKUP(IFERROR(LARGE(_xlfn._xlws.FILTER(AQ$13:AQ$22, AQ$13:AQ$22&gt;0), 4), ""),$AQ$13:$AQ$22,$H$13:$H$22,"",0,-1)</f>
        <v/>
      </c>
      <c r="T29" s="154"/>
      <c r="U29" s="154"/>
      <c r="V29" s="154"/>
      <c r="W29" s="154"/>
      <c r="X29" s="154"/>
      <c r="Y29" s="154"/>
      <c r="Z29" s="154"/>
      <c r="AA29" s="154"/>
      <c r="AB29" s="154"/>
      <c r="AC29" s="154"/>
      <c r="AD29" s="481">
        <f>_xlfn.XLOOKUP(S29,$H$13:$H$22,$AQ$13:$AQ$22,0,0,1)</f>
        <v>0</v>
      </c>
      <c r="AE29" s="482"/>
      <c r="AF29" s="483"/>
      <c r="AG29" s="142"/>
      <c r="AH29" s="142"/>
      <c r="AI29" s="142"/>
      <c r="AJ29" s="142"/>
      <c r="AK29" s="142"/>
      <c r="AL29" s="142"/>
      <c r="AM29" s="142"/>
      <c r="AN29" s="142"/>
      <c r="AO29" s="142"/>
      <c r="AP29" s="142"/>
      <c r="AQ29" s="142"/>
      <c r="AR29" s="142"/>
      <c r="AS29" s="142"/>
      <c r="AT29" s="142"/>
      <c r="AU29" s="518"/>
      <c r="AV29" s="518"/>
      <c r="AW29" s="518"/>
      <c r="AX29" s="518"/>
      <c r="AY29" s="518"/>
      <c r="AZ29" s="518"/>
      <c r="BA29" s="518"/>
      <c r="BB29" s="518"/>
      <c r="BC29" s="518"/>
      <c r="BD29" s="518"/>
      <c r="BE29" s="142"/>
    </row>
    <row r="30" spans="1:57" ht="30" customHeight="1" thickTop="1" x14ac:dyDescent="0.3">
      <c r="A30" s="142"/>
      <c r="B30" s="142"/>
      <c r="C30" s="142"/>
      <c r="D30" s="142"/>
      <c r="E30" s="142"/>
      <c r="F30" s="142"/>
      <c r="G30" s="142"/>
      <c r="H30" s="337" t="s">
        <v>704</v>
      </c>
      <c r="I30" s="338"/>
      <c r="J30" s="338"/>
      <c r="K30" s="339"/>
      <c r="L30" s="340">
        <f>SUM(L26,L29)</f>
        <v>0</v>
      </c>
      <c r="M30" s="341"/>
      <c r="N30" s="342"/>
      <c r="O30" s="142"/>
      <c r="Q30" s="142"/>
      <c r="R30" s="142"/>
      <c r="S30" s="142"/>
      <c r="T30" s="142"/>
      <c r="U30" s="142"/>
      <c r="V30" s="142"/>
      <c r="W30" s="142"/>
      <c r="X30" s="142"/>
      <c r="Y30" s="142"/>
      <c r="Z30" s="142"/>
      <c r="AA30" s="142"/>
      <c r="AB30" s="142"/>
      <c r="AC30" s="142"/>
      <c r="AD30" s="142"/>
      <c r="AE30" s="142"/>
      <c r="AF30" s="142"/>
      <c r="AG30" s="142"/>
      <c r="AH30" s="142"/>
      <c r="AI30" s="142"/>
      <c r="AJ30" s="142"/>
      <c r="AK30" s="142"/>
      <c r="AL30" s="142"/>
      <c r="AM30" s="142"/>
      <c r="AN30" s="142"/>
      <c r="AO30" s="142"/>
      <c r="AP30" s="142"/>
      <c r="AQ30" s="142"/>
      <c r="AR30" s="142"/>
      <c r="AS30" s="142"/>
      <c r="AT30" s="142"/>
      <c r="AU30" s="518"/>
      <c r="AV30" s="518"/>
      <c r="AW30" s="518"/>
      <c r="AX30" s="518"/>
      <c r="AY30" s="518"/>
      <c r="AZ30" s="518"/>
      <c r="BA30" s="518"/>
      <c r="BB30" s="518"/>
      <c r="BC30" s="518"/>
      <c r="BD30" s="518"/>
      <c r="BE30" s="142"/>
    </row>
    <row r="31" spans="1:57" ht="30" customHeight="1" x14ac:dyDescent="0.3">
      <c r="A31" s="142"/>
      <c r="B31" s="142"/>
      <c r="C31" s="142"/>
      <c r="D31" s="142"/>
      <c r="E31" s="142"/>
      <c r="F31" s="142"/>
      <c r="G31" s="142"/>
      <c r="H31" s="142"/>
      <c r="I31" s="142"/>
      <c r="J31" s="142"/>
      <c r="K31" s="142"/>
      <c r="L31" s="142"/>
      <c r="M31" s="142"/>
      <c r="N31" s="142"/>
      <c r="O31" s="142"/>
      <c r="P31" s="142"/>
      <c r="Q31" s="142"/>
      <c r="R31" s="142"/>
      <c r="S31" s="142"/>
      <c r="T31" s="142"/>
      <c r="U31" s="142"/>
      <c r="V31" s="142"/>
      <c r="W31" s="142"/>
      <c r="X31" s="142"/>
      <c r="Y31" s="142"/>
      <c r="Z31" s="142"/>
      <c r="AA31" s="142"/>
      <c r="AB31" s="142"/>
      <c r="AC31" s="142"/>
      <c r="AD31" s="142"/>
      <c r="AE31" s="142"/>
      <c r="AF31" s="142"/>
      <c r="AG31" s="142"/>
      <c r="AH31" s="142"/>
      <c r="AI31" s="142"/>
      <c r="AJ31" s="142"/>
      <c r="AK31" s="142"/>
      <c r="AL31" s="142"/>
      <c r="AM31" s="142"/>
      <c r="AN31" s="142"/>
      <c r="AO31" s="142"/>
      <c r="AP31" s="142"/>
      <c r="AQ31" s="142"/>
      <c r="AR31" s="142"/>
      <c r="AS31" s="142"/>
      <c r="AT31" s="142"/>
      <c r="AU31" s="142"/>
      <c r="AV31" s="142"/>
      <c r="AW31" s="142"/>
      <c r="AX31" s="142"/>
      <c r="AY31" s="142"/>
      <c r="AZ31" s="142"/>
      <c r="BA31" s="142"/>
      <c r="BB31" s="142"/>
      <c r="BC31" s="142"/>
      <c r="BD31" s="142"/>
      <c r="BE31" s="142"/>
    </row>
    <row r="32" spans="1:57" ht="30" customHeight="1" x14ac:dyDescent="0.3">
      <c r="A32" s="142"/>
      <c r="B32" s="142"/>
      <c r="C32" s="142"/>
      <c r="D32" s="142"/>
      <c r="E32" s="142"/>
      <c r="F32" s="142"/>
      <c r="G32" s="142"/>
      <c r="H32" s="142"/>
      <c r="I32" s="142"/>
      <c r="J32" s="142"/>
      <c r="K32" s="142"/>
      <c r="L32" s="142"/>
      <c r="M32" s="142"/>
      <c r="N32" s="142"/>
      <c r="P32" s="142"/>
      <c r="Q32" s="142"/>
      <c r="R32" s="142"/>
      <c r="S32" s="142"/>
      <c r="T32" s="142"/>
      <c r="U32" s="142"/>
      <c r="V32" s="142"/>
      <c r="W32" s="142"/>
      <c r="X32" s="142"/>
      <c r="Y32" s="142"/>
      <c r="Z32" s="142"/>
      <c r="AA32" s="142"/>
      <c r="AB32" s="142"/>
      <c r="AC32" s="142"/>
      <c r="AD32" s="142"/>
      <c r="AE32" s="142"/>
      <c r="AF32" s="142"/>
      <c r="AG32" s="142"/>
      <c r="AH32" s="142"/>
      <c r="AI32" s="142"/>
      <c r="AJ32" s="142"/>
      <c r="AK32" s="142"/>
      <c r="AL32" s="142"/>
      <c r="AM32" s="142"/>
      <c r="AN32" s="142"/>
      <c r="AO32" s="142"/>
      <c r="AP32" s="142"/>
      <c r="AQ32" s="142"/>
      <c r="AR32" s="142"/>
      <c r="AS32" s="142"/>
      <c r="AT32" s="142"/>
      <c r="AU32" s="142"/>
      <c r="AV32" s="142"/>
      <c r="AW32" s="142"/>
      <c r="AX32" s="142"/>
      <c r="AY32" s="142"/>
      <c r="AZ32" s="142"/>
      <c r="BA32" s="142"/>
      <c r="BB32" s="142"/>
      <c r="BC32" s="142"/>
      <c r="BD32" s="142"/>
      <c r="BE32" s="142"/>
    </row>
    <row r="33" ht="30" customHeight="1" x14ac:dyDescent="0.3"/>
    <row r="34" ht="27" customHeight="1" x14ac:dyDescent="0.3"/>
  </sheetData>
  <sheetProtection algorithmName="SHA-512" hashValue="zUnSG3D/9UKFy4Aj98le+oJ+WLBx/YXPOBnNdho2cD+BWA85eM5ngu4NjHy05zGmDNc0Ycqpp7ZmIgsPxpKH5Q==" saltValue="meAKfshvYDcNk/KFvdXP/g==" spinCount="100000" sheet="1" objects="1" scenarios="1" formatCells="0" formatColumns="0" formatRows="0"/>
  <mergeCells count="150">
    <mergeCell ref="H29:K29"/>
    <mergeCell ref="L29:N29"/>
    <mergeCell ref="AD29:AF29"/>
    <mergeCell ref="H30:K30"/>
    <mergeCell ref="L30:N30"/>
    <mergeCell ref="H27:K27"/>
    <mergeCell ref="L27:N27"/>
    <mergeCell ref="AD27:AF27"/>
    <mergeCell ref="H28:K28"/>
    <mergeCell ref="L28:N28"/>
    <mergeCell ref="AD28:AF28"/>
    <mergeCell ref="AQ23:AS23"/>
    <mergeCell ref="H25:N25"/>
    <mergeCell ref="S25:AF25"/>
    <mergeCell ref="H26:K26"/>
    <mergeCell ref="L26:N26"/>
    <mergeCell ref="AD26:AF26"/>
    <mergeCell ref="AQ22:AS22"/>
    <mergeCell ref="H23:R23"/>
    <mergeCell ref="S23:U23"/>
    <mergeCell ref="V23:X23"/>
    <mergeCell ref="Y23:AA23"/>
    <mergeCell ref="AB23:AD23"/>
    <mergeCell ref="AE23:AG23"/>
    <mergeCell ref="AH23:AJ23"/>
    <mergeCell ref="AK23:AM23"/>
    <mergeCell ref="AN23:AP23"/>
    <mergeCell ref="AQ21:AS21"/>
    <mergeCell ref="H22:Q22"/>
    <mergeCell ref="S22:U22"/>
    <mergeCell ref="V22:X22"/>
    <mergeCell ref="Y22:AA22"/>
    <mergeCell ref="AB22:AD22"/>
    <mergeCell ref="AE22:AG22"/>
    <mergeCell ref="AH22:AJ22"/>
    <mergeCell ref="AK22:AM22"/>
    <mergeCell ref="AN22:AP22"/>
    <mergeCell ref="H21:Q21"/>
    <mergeCell ref="S21:U21"/>
    <mergeCell ref="V21:X21"/>
    <mergeCell ref="Y21:AA21"/>
    <mergeCell ref="AB21:AD21"/>
    <mergeCell ref="AE21:AG21"/>
    <mergeCell ref="AH21:AJ21"/>
    <mergeCell ref="AK21:AM21"/>
    <mergeCell ref="AN21:AP21"/>
    <mergeCell ref="AQ19:AS19"/>
    <mergeCell ref="H20:Q20"/>
    <mergeCell ref="S20:U20"/>
    <mergeCell ref="V20:X20"/>
    <mergeCell ref="Y20:AA20"/>
    <mergeCell ref="AB20:AD20"/>
    <mergeCell ref="AE20:AG20"/>
    <mergeCell ref="AH20:AJ20"/>
    <mergeCell ref="AK20:AM20"/>
    <mergeCell ref="AN20:AP20"/>
    <mergeCell ref="AQ20:AS20"/>
    <mergeCell ref="H19:Q19"/>
    <mergeCell ref="S19:U19"/>
    <mergeCell ref="V19:X19"/>
    <mergeCell ref="Y19:AA19"/>
    <mergeCell ref="AB19:AD19"/>
    <mergeCell ref="AE19:AG19"/>
    <mergeCell ref="AH19:AJ19"/>
    <mergeCell ref="AK19:AM19"/>
    <mergeCell ref="AN19:AP19"/>
    <mergeCell ref="AQ17:AS17"/>
    <mergeCell ref="H18:Q18"/>
    <mergeCell ref="S18:U18"/>
    <mergeCell ref="V18:X18"/>
    <mergeCell ref="Y18:AA18"/>
    <mergeCell ref="AB18:AD18"/>
    <mergeCell ref="AE18:AG18"/>
    <mergeCell ref="AH18:AJ18"/>
    <mergeCell ref="AK18:AM18"/>
    <mergeCell ref="AN18:AP18"/>
    <mergeCell ref="AQ18:AS18"/>
    <mergeCell ref="H17:Q17"/>
    <mergeCell ref="S17:U17"/>
    <mergeCell ref="V17:X17"/>
    <mergeCell ref="Y17:AA17"/>
    <mergeCell ref="AB17:AD17"/>
    <mergeCell ref="AE17:AG17"/>
    <mergeCell ref="AH17:AJ17"/>
    <mergeCell ref="AK17:AM17"/>
    <mergeCell ref="AN17:AP17"/>
    <mergeCell ref="AQ15:AS15"/>
    <mergeCell ref="H16:Q16"/>
    <mergeCell ref="S16:U16"/>
    <mergeCell ref="V16:X16"/>
    <mergeCell ref="Y16:AA16"/>
    <mergeCell ref="AB16:AD16"/>
    <mergeCell ref="AE16:AG16"/>
    <mergeCell ref="AH16:AJ16"/>
    <mergeCell ref="AK16:AM16"/>
    <mergeCell ref="AN16:AP16"/>
    <mergeCell ref="AQ16:AS16"/>
    <mergeCell ref="H15:Q15"/>
    <mergeCell ref="S15:U15"/>
    <mergeCell ref="V15:X15"/>
    <mergeCell ref="Y15:AA15"/>
    <mergeCell ref="AB15:AD15"/>
    <mergeCell ref="AE15:AG15"/>
    <mergeCell ref="AH15:AJ15"/>
    <mergeCell ref="AK15:AM15"/>
    <mergeCell ref="AN15:AP15"/>
    <mergeCell ref="AQ13:AS13"/>
    <mergeCell ref="H14:Q14"/>
    <mergeCell ref="S14:U14"/>
    <mergeCell ref="V14:X14"/>
    <mergeCell ref="Y14:AA14"/>
    <mergeCell ref="AB14:AD14"/>
    <mergeCell ref="AE14:AG14"/>
    <mergeCell ref="AH14:AJ14"/>
    <mergeCell ref="AK14:AM14"/>
    <mergeCell ref="AN14:AP14"/>
    <mergeCell ref="AQ14:AS14"/>
    <mergeCell ref="H9:AR10"/>
    <mergeCell ref="AS9:AS10"/>
    <mergeCell ref="AU9:BD30"/>
    <mergeCell ref="V11:AA11"/>
    <mergeCell ref="AH11:AP11"/>
    <mergeCell ref="H12:R12"/>
    <mergeCell ref="S12:U12"/>
    <mergeCell ref="V12:X12"/>
    <mergeCell ref="AQ12:AS12"/>
    <mergeCell ref="H13:Q13"/>
    <mergeCell ref="S13:U13"/>
    <mergeCell ref="V13:X13"/>
    <mergeCell ref="Y13:AA13"/>
    <mergeCell ref="AB13:AD13"/>
    <mergeCell ref="AE13:AG13"/>
    <mergeCell ref="AH13:AJ13"/>
    <mergeCell ref="AK13:AM13"/>
    <mergeCell ref="AN13:AP13"/>
    <mergeCell ref="Y12:AA12"/>
    <mergeCell ref="AB12:AD12"/>
    <mergeCell ref="AE12:AG12"/>
    <mergeCell ref="AH12:AJ12"/>
    <mergeCell ref="AK12:AM12"/>
    <mergeCell ref="AN12:AP12"/>
    <mergeCell ref="H1:T1"/>
    <mergeCell ref="X1:Z1"/>
    <mergeCell ref="H2:T2"/>
    <mergeCell ref="AU2:BD2"/>
    <mergeCell ref="H3:T3"/>
    <mergeCell ref="AU3:BC6"/>
    <mergeCell ref="H4:AS7"/>
    <mergeCell ref="H8:AS8"/>
    <mergeCell ref="AU8:BD8"/>
  </mergeCells>
  <conditionalFormatting sqref="H2:T2">
    <cfRule type="containsText" dxfId="0" priority="1" operator="containsText" text="Select">
      <formula>NOT(ISERROR(SEARCH("Select",H2)))</formula>
    </cfRule>
  </conditionalFormatting>
  <pageMargins left="0.7" right="0.7" top="0.75" bottom="0.75" header="0.3" footer="0.3"/>
  <drawing r:id="rId1"/>
  <extLst>
    <ext xmlns:x14="http://schemas.microsoft.com/office/spreadsheetml/2009/9/main" uri="{CCE6A557-97BC-4b89-ADB6-D9C93CAAB3DF}">
      <x14:dataValidations xmlns:xm="http://schemas.microsoft.com/office/excel/2006/main" count="1">
        <x14:dataValidation type="list" allowBlank="1" showInputMessage="1" showErrorMessage="1" xr:uid="{C0BCE6DD-4512-4D88-99D1-3E80292E9D9B}">
          <x14:formula1>
            <xm:f>Hidden!$H$14:$H$20</xm:f>
          </x14:formula1>
          <xm:sqref>H1:T1</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190B31-98BA-4089-B491-65DEC448323E}">
  <sheetPr codeName="Sheet3">
    <tabColor theme="5"/>
    <pageSetUpPr fitToPage="1"/>
  </sheetPr>
  <dimension ref="A1:X51"/>
  <sheetViews>
    <sheetView zoomScale="80" zoomScaleNormal="80" workbookViewId="0"/>
  </sheetViews>
  <sheetFormatPr defaultColWidth="8.90625" defaultRowHeight="13.8" x14ac:dyDescent="0.25"/>
  <cols>
    <col min="1" max="25" width="6.6328125" style="1" customWidth="1"/>
    <col min="26" max="16384" width="8.90625" style="1"/>
  </cols>
  <sheetData>
    <row r="1" spans="1:24" ht="30" customHeight="1" x14ac:dyDescent="0.25">
      <c r="A1" s="3"/>
      <c r="B1" s="3"/>
      <c r="C1" s="3"/>
      <c r="D1" s="3"/>
      <c r="E1" s="3"/>
      <c r="F1" s="3"/>
      <c r="G1" s="3"/>
      <c r="H1" s="541" t="s">
        <v>708</v>
      </c>
      <c r="I1" s="541"/>
      <c r="J1" s="541"/>
      <c r="K1" s="541"/>
      <c r="L1" s="541"/>
      <c r="M1" s="541"/>
      <c r="N1" s="541"/>
      <c r="O1" s="541"/>
      <c r="P1" s="541"/>
      <c r="Q1" s="541"/>
      <c r="R1" s="541"/>
      <c r="S1" s="541"/>
      <c r="T1" s="541"/>
      <c r="U1" s="541"/>
      <c r="V1" s="541"/>
      <c r="W1" s="541"/>
      <c r="X1" s="3"/>
    </row>
    <row r="2" spans="1:24" ht="30" customHeight="1" x14ac:dyDescent="0.25">
      <c r="A2" s="3"/>
      <c r="B2" s="3"/>
      <c r="C2" s="3"/>
      <c r="D2" s="3"/>
      <c r="E2" s="3"/>
      <c r="F2" s="3"/>
      <c r="G2" s="3"/>
      <c r="H2" s="541"/>
      <c r="I2" s="541"/>
      <c r="J2" s="541"/>
      <c r="K2" s="541"/>
      <c r="L2" s="541"/>
      <c r="M2" s="541"/>
      <c r="N2" s="541"/>
      <c r="O2" s="541"/>
      <c r="P2" s="541"/>
      <c r="Q2" s="541"/>
      <c r="R2" s="541"/>
      <c r="S2" s="541"/>
      <c r="T2" s="541"/>
      <c r="U2" s="541"/>
      <c r="V2" s="541"/>
      <c r="W2" s="541"/>
      <c r="X2" s="3"/>
    </row>
    <row r="3" spans="1:24" ht="30" customHeight="1" x14ac:dyDescent="0.25">
      <c r="A3" s="3"/>
      <c r="B3" s="3"/>
      <c r="C3" s="3"/>
      <c r="D3" s="3"/>
      <c r="E3" s="3"/>
      <c r="F3" s="3"/>
      <c r="G3" s="3"/>
      <c r="H3" s="554" t="s">
        <v>933</v>
      </c>
      <c r="I3" s="554"/>
      <c r="J3" s="554"/>
      <c r="K3" s="554"/>
      <c r="L3" s="554"/>
      <c r="M3" s="554"/>
      <c r="N3" s="554"/>
      <c r="O3" s="554"/>
      <c r="P3" s="554"/>
      <c r="Q3" s="554"/>
      <c r="R3" s="554"/>
      <c r="S3" s="554"/>
      <c r="T3" s="554"/>
      <c r="U3" s="554"/>
      <c r="V3" s="554"/>
      <c r="W3" s="554"/>
      <c r="X3" s="3"/>
    </row>
    <row r="4" spans="1:24" ht="30" customHeight="1" x14ac:dyDescent="0.25">
      <c r="A4" s="3"/>
      <c r="B4" s="3"/>
      <c r="C4" s="3"/>
      <c r="D4" s="3"/>
      <c r="E4" s="3"/>
      <c r="F4" s="3"/>
      <c r="G4" s="3"/>
      <c r="H4" s="554"/>
      <c r="I4" s="554"/>
      <c r="J4" s="554"/>
      <c r="K4" s="554"/>
      <c r="L4" s="554"/>
      <c r="M4" s="554"/>
      <c r="N4" s="554"/>
      <c r="O4" s="554"/>
      <c r="P4" s="554"/>
      <c r="Q4" s="554"/>
      <c r="R4" s="554"/>
      <c r="S4" s="554"/>
      <c r="T4" s="554"/>
      <c r="U4" s="554"/>
      <c r="V4" s="554"/>
      <c r="W4" s="554"/>
      <c r="X4" s="3"/>
    </row>
    <row r="5" spans="1:24" ht="30" customHeight="1" x14ac:dyDescent="0.25">
      <c r="A5" s="3"/>
      <c r="B5" s="3"/>
      <c r="C5" s="3"/>
      <c r="D5" s="3"/>
      <c r="E5" s="3"/>
      <c r="F5" s="3"/>
      <c r="G5" s="3"/>
      <c r="H5" s="554"/>
      <c r="I5" s="554"/>
      <c r="J5" s="554"/>
      <c r="K5" s="554"/>
      <c r="L5" s="554"/>
      <c r="M5" s="554"/>
      <c r="N5" s="554"/>
      <c r="O5" s="554"/>
      <c r="P5" s="554"/>
      <c r="Q5" s="554"/>
      <c r="R5" s="554"/>
      <c r="S5" s="554"/>
      <c r="T5" s="554"/>
      <c r="U5" s="554"/>
      <c r="V5" s="554"/>
      <c r="W5" s="554"/>
      <c r="X5" s="3"/>
    </row>
    <row r="6" spans="1:24" ht="30" customHeight="1" x14ac:dyDescent="0.25">
      <c r="A6" s="3"/>
      <c r="B6" s="3"/>
      <c r="C6" s="3"/>
      <c r="D6" s="3"/>
      <c r="E6" s="3"/>
      <c r="F6" s="3"/>
      <c r="G6" s="3"/>
      <c r="H6" s="554"/>
      <c r="I6" s="554"/>
      <c r="J6" s="554"/>
      <c r="K6" s="554"/>
      <c r="L6" s="554"/>
      <c r="M6" s="554"/>
      <c r="N6" s="554"/>
      <c r="O6" s="554"/>
      <c r="P6" s="554"/>
      <c r="Q6" s="554"/>
      <c r="R6" s="554"/>
      <c r="S6" s="554"/>
      <c r="T6" s="554"/>
      <c r="U6" s="554"/>
      <c r="V6" s="554"/>
      <c r="W6" s="554"/>
      <c r="X6" s="3"/>
    </row>
    <row r="7" spans="1:24" ht="30" customHeight="1" x14ac:dyDescent="0.25">
      <c r="A7" s="3"/>
      <c r="B7" s="3"/>
      <c r="C7" s="3"/>
      <c r="D7" s="3"/>
      <c r="E7" s="3"/>
      <c r="F7" s="3"/>
      <c r="G7" s="3"/>
      <c r="H7" s="554"/>
      <c r="I7" s="554"/>
      <c r="J7" s="554"/>
      <c r="K7" s="554"/>
      <c r="L7" s="554"/>
      <c r="M7" s="554"/>
      <c r="N7" s="554"/>
      <c r="O7" s="554"/>
      <c r="P7" s="554"/>
      <c r="Q7" s="554"/>
      <c r="R7" s="554"/>
      <c r="S7" s="554"/>
      <c r="T7" s="554"/>
      <c r="U7" s="554"/>
      <c r="V7" s="554"/>
      <c r="W7" s="554"/>
      <c r="X7" s="3"/>
    </row>
    <row r="8" spans="1:24" ht="30" customHeight="1" x14ac:dyDescent="0.25">
      <c r="A8" s="3"/>
      <c r="B8" s="3"/>
      <c r="C8" s="3"/>
      <c r="D8" s="3"/>
      <c r="E8" s="3"/>
      <c r="F8" s="3"/>
      <c r="G8" s="3"/>
      <c r="H8" s="548" t="s">
        <v>710</v>
      </c>
      <c r="I8" s="548"/>
      <c r="J8" s="548"/>
      <c r="K8" s="548"/>
      <c r="L8" s="549" t="s">
        <v>709</v>
      </c>
      <c r="M8" s="549"/>
      <c r="N8" s="549"/>
      <c r="O8" s="550"/>
      <c r="P8" s="550"/>
      <c r="Q8" s="550"/>
      <c r="R8" s="550"/>
      <c r="S8" s="550"/>
      <c r="T8" s="550"/>
      <c r="U8" s="550"/>
      <c r="V8" s="550"/>
      <c r="W8" s="550"/>
      <c r="X8" s="3"/>
    </row>
    <row r="9" spans="1:24" ht="30" customHeight="1" x14ac:dyDescent="0.25">
      <c r="A9" s="3"/>
      <c r="B9" s="3"/>
      <c r="C9" s="3"/>
      <c r="D9" s="3"/>
      <c r="E9" s="3"/>
      <c r="F9" s="3"/>
      <c r="G9" s="3"/>
      <c r="H9" s="7"/>
      <c r="I9" s="7"/>
      <c r="J9" s="7"/>
      <c r="K9" s="7"/>
      <c r="L9" s="7"/>
      <c r="M9" s="7"/>
      <c r="N9" s="7"/>
      <c r="O9" s="7"/>
      <c r="P9" s="7"/>
      <c r="Q9" s="7"/>
      <c r="R9" s="7"/>
      <c r="S9" s="7"/>
      <c r="T9" s="7"/>
      <c r="U9" s="7"/>
      <c r="V9" s="7"/>
      <c r="W9" s="7"/>
      <c r="X9" s="3"/>
    </row>
    <row r="10" spans="1:24" ht="30" customHeight="1" x14ac:dyDescent="0.25">
      <c r="A10" s="3"/>
      <c r="B10" s="3"/>
      <c r="C10" s="3"/>
      <c r="D10" s="3"/>
      <c r="E10" s="3"/>
      <c r="F10" s="3"/>
      <c r="G10" s="3"/>
      <c r="H10" s="551" t="s">
        <v>671</v>
      </c>
      <c r="I10" s="552"/>
      <c r="J10" s="552"/>
      <c r="K10" s="552"/>
      <c r="L10" s="552"/>
      <c r="M10" s="552"/>
      <c r="N10" s="552"/>
      <c r="O10" s="552"/>
      <c r="P10" s="552"/>
      <c r="Q10" s="552"/>
      <c r="R10" s="552"/>
      <c r="S10" s="552"/>
      <c r="T10" s="552"/>
      <c r="U10" s="552"/>
      <c r="V10" s="552"/>
      <c r="W10" s="553"/>
      <c r="X10" s="3"/>
    </row>
    <row r="11" spans="1:24" ht="30" customHeight="1" x14ac:dyDescent="0.25">
      <c r="A11" s="3"/>
      <c r="B11" s="3"/>
      <c r="C11" s="3"/>
      <c r="D11" s="3"/>
      <c r="E11" s="3"/>
      <c r="F11" s="3"/>
      <c r="G11" s="3"/>
      <c r="H11" s="542" t="s">
        <v>786</v>
      </c>
      <c r="I11" s="543"/>
      <c r="J11" s="543"/>
      <c r="K11" s="543"/>
      <c r="L11" s="543"/>
      <c r="M11" s="543"/>
      <c r="N11" s="543"/>
      <c r="O11" s="543"/>
      <c r="P11" s="545" t="s">
        <v>785</v>
      </c>
      <c r="Q11" s="546"/>
      <c r="R11" s="545" t="s">
        <v>787</v>
      </c>
      <c r="S11" s="545"/>
      <c r="T11" s="545"/>
      <c r="U11" s="545" t="s">
        <v>788</v>
      </c>
      <c r="V11" s="545"/>
      <c r="W11" s="547"/>
      <c r="X11" s="3"/>
    </row>
    <row r="12" spans="1:24" ht="30" customHeight="1" x14ac:dyDescent="0.25">
      <c r="A12" s="3"/>
      <c r="B12" s="3"/>
      <c r="C12" s="3"/>
      <c r="D12" s="3"/>
      <c r="E12" s="3"/>
      <c r="F12" s="3"/>
      <c r="G12" s="3"/>
      <c r="H12" s="544"/>
      <c r="I12" s="543"/>
      <c r="J12" s="543"/>
      <c r="K12" s="543"/>
      <c r="L12" s="543"/>
      <c r="M12" s="543"/>
      <c r="N12" s="543"/>
      <c r="O12" s="543"/>
      <c r="P12" s="546"/>
      <c r="Q12" s="546"/>
      <c r="R12" s="545"/>
      <c r="S12" s="545"/>
      <c r="T12" s="545"/>
      <c r="U12" s="545"/>
      <c r="V12" s="545"/>
      <c r="W12" s="547"/>
      <c r="X12" s="3"/>
    </row>
    <row r="13" spans="1:24" s="2" customFormat="1" ht="30" customHeight="1" x14ac:dyDescent="0.25">
      <c r="A13" s="4"/>
      <c r="B13" s="4"/>
      <c r="C13" s="4"/>
      <c r="D13" s="4"/>
      <c r="E13" s="4"/>
      <c r="F13" s="4"/>
      <c r="G13" s="4"/>
      <c r="H13" s="529" t="s">
        <v>197</v>
      </c>
      <c r="I13" s="530"/>
      <c r="J13" s="530"/>
      <c r="K13" s="530"/>
      <c r="L13" s="530"/>
      <c r="M13" s="530"/>
      <c r="N13" s="530"/>
      <c r="O13" s="530"/>
      <c r="P13" s="531">
        <v>3656</v>
      </c>
      <c r="Q13" s="531"/>
      <c r="R13" s="532">
        <f>SUMIF(ResearchInput[Institution Name],H13,ResearchInput[SRECNP.RES])</f>
        <v>152568274</v>
      </c>
      <c r="S13" s="532"/>
      <c r="T13" s="532"/>
      <c r="U13" s="532">
        <f>ROUND(SUM(R13)/SUMIFS(ResearchInput[FTFE],ResearchInput[FICE],P13),0)</f>
        <v>443512</v>
      </c>
      <c r="V13" s="532"/>
      <c r="W13" s="533"/>
      <c r="X13" s="3"/>
    </row>
    <row r="14" spans="1:24" s="2" customFormat="1" ht="30" customHeight="1" x14ac:dyDescent="0.25">
      <c r="A14" s="4"/>
      <c r="B14" s="4"/>
      <c r="C14" s="4"/>
      <c r="D14" s="4"/>
      <c r="E14" s="4"/>
      <c r="F14" s="4"/>
      <c r="G14" s="4"/>
      <c r="H14" s="534" t="s">
        <v>208</v>
      </c>
      <c r="I14" s="535"/>
      <c r="J14" s="535"/>
      <c r="K14" s="535"/>
      <c r="L14" s="535"/>
      <c r="M14" s="535"/>
      <c r="N14" s="535"/>
      <c r="O14" s="535"/>
      <c r="P14" s="536">
        <v>3658</v>
      </c>
      <c r="Q14" s="536"/>
      <c r="R14" s="537">
        <f>SUMIF(ResearchInput[Institution Name],H14,ResearchInput[SRECNP.RES])</f>
        <v>873981602</v>
      </c>
      <c r="S14" s="537"/>
      <c r="T14" s="537"/>
      <c r="U14" s="537">
        <f>ROUND(SUM(R14)/SUMIFS(ResearchInput[FTFE],ResearchInput[FICE],P14),0)</f>
        <v>538830</v>
      </c>
      <c r="V14" s="537"/>
      <c r="W14" s="540"/>
      <c r="X14" s="4"/>
    </row>
    <row r="15" spans="1:24" s="2" customFormat="1" ht="30" customHeight="1" x14ac:dyDescent="0.25">
      <c r="A15" s="4"/>
      <c r="B15" s="4"/>
      <c r="C15" s="4"/>
      <c r="D15" s="4"/>
      <c r="E15" s="4"/>
      <c r="F15" s="4"/>
      <c r="G15" s="4"/>
      <c r="H15" s="529" t="s">
        <v>220</v>
      </c>
      <c r="I15" s="530"/>
      <c r="J15" s="530"/>
      <c r="K15" s="530"/>
      <c r="L15" s="530"/>
      <c r="M15" s="530"/>
      <c r="N15" s="530"/>
      <c r="O15" s="530"/>
      <c r="P15" s="531">
        <v>9741</v>
      </c>
      <c r="Q15" s="531"/>
      <c r="R15" s="532">
        <f>SUMIF(ResearchInput[Institution Name],H15,ResearchInput[SRECNP.RES])</f>
        <v>151475683</v>
      </c>
      <c r="S15" s="532"/>
      <c r="T15" s="532"/>
      <c r="U15" s="532">
        <f>ROUND(SUM(R15)/SUMIFS(ResearchInput[FTFE],ResearchInput[FICE],P15),0)</f>
        <v>271949</v>
      </c>
      <c r="V15" s="532"/>
      <c r="W15" s="533"/>
      <c r="X15" s="4"/>
    </row>
    <row r="16" spans="1:24" s="2" customFormat="1" ht="30" customHeight="1" x14ac:dyDescent="0.25">
      <c r="A16" s="4"/>
      <c r="B16" s="4"/>
      <c r="C16" s="4"/>
      <c r="D16" s="4"/>
      <c r="E16" s="4"/>
      <c r="F16" s="4"/>
      <c r="G16" s="4"/>
      <c r="H16" s="534" t="s">
        <v>223</v>
      </c>
      <c r="I16" s="535"/>
      <c r="J16" s="535"/>
      <c r="K16" s="535"/>
      <c r="L16" s="535"/>
      <c r="M16" s="535"/>
      <c r="N16" s="535"/>
      <c r="O16" s="535"/>
      <c r="P16" s="536">
        <v>3661</v>
      </c>
      <c r="Q16" s="536"/>
      <c r="R16" s="537">
        <f>SUMIF(ResearchInput[Institution Name],H16,ResearchInput[SRECNP.RES])</f>
        <v>129466577</v>
      </c>
      <c r="S16" s="537"/>
      <c r="T16" s="537"/>
      <c r="U16" s="537">
        <f>ROUND(SUM(R16)/SUMIFS(ResearchInput[FTFE],ResearchInput[FICE],P16),0)</f>
        <v>413631</v>
      </c>
      <c r="V16" s="537"/>
      <c r="W16" s="540"/>
      <c r="X16" s="4"/>
    </row>
    <row r="17" spans="1:24" s="2" customFormat="1" ht="30" customHeight="1" x14ac:dyDescent="0.25">
      <c r="A17" s="4"/>
      <c r="B17" s="4"/>
      <c r="C17" s="4"/>
      <c r="D17" s="4"/>
      <c r="E17" s="4"/>
      <c r="F17" s="4"/>
      <c r="G17" s="4"/>
      <c r="H17" s="529" t="s">
        <v>761</v>
      </c>
      <c r="I17" s="530"/>
      <c r="J17" s="530"/>
      <c r="K17" s="530"/>
      <c r="L17" s="530"/>
      <c r="M17" s="530"/>
      <c r="N17" s="530"/>
      <c r="O17" s="530"/>
      <c r="P17" s="531">
        <v>3599</v>
      </c>
      <c r="Q17" s="531"/>
      <c r="R17" s="532">
        <f>SUMIF(ResearchInput[Institution Name],H17,ResearchInput[SRECNP.RES])</f>
        <v>64073221</v>
      </c>
      <c r="S17" s="532"/>
      <c r="T17" s="532"/>
      <c r="U17" s="532">
        <f>ROUND(SUM(R17)/SUMIFS(ResearchInput[FTFE],ResearchInput[FICE],P17),0)</f>
        <v>190694</v>
      </c>
      <c r="V17" s="532"/>
      <c r="W17" s="533"/>
      <c r="X17" s="4"/>
    </row>
    <row r="18" spans="1:24" s="2" customFormat="1" ht="30" customHeight="1" x14ac:dyDescent="0.25">
      <c r="A18" s="4"/>
      <c r="B18" s="4"/>
      <c r="C18" s="4"/>
      <c r="D18" s="4"/>
      <c r="E18" s="4"/>
      <c r="F18" s="4"/>
      <c r="G18" s="4"/>
      <c r="H18" s="534" t="s">
        <v>169</v>
      </c>
      <c r="I18" s="535"/>
      <c r="J18" s="535"/>
      <c r="K18" s="535"/>
      <c r="L18" s="535"/>
      <c r="M18" s="535"/>
      <c r="N18" s="535"/>
      <c r="O18" s="535"/>
      <c r="P18" s="536">
        <v>9930</v>
      </c>
      <c r="Q18" s="536"/>
      <c r="R18" s="537">
        <f>SUMIF(ResearchInput[Institution Name],H18,ResearchInput[SRECNP.RES])</f>
        <v>2896756</v>
      </c>
      <c r="S18" s="537"/>
      <c r="T18" s="537"/>
      <c r="U18" s="537">
        <f>ROUND(SUM(R18)/SUMIFS(ResearchInput[FTFE],ResearchInput[FICE],P18),0)</f>
        <v>28968</v>
      </c>
      <c r="V18" s="537"/>
      <c r="W18" s="540"/>
      <c r="X18" s="4"/>
    </row>
    <row r="19" spans="1:24" s="2" customFormat="1" ht="30" customHeight="1" x14ac:dyDescent="0.25">
      <c r="A19" s="4"/>
      <c r="B19" s="4"/>
      <c r="C19" s="4"/>
      <c r="D19" s="4"/>
      <c r="E19" s="4"/>
      <c r="F19" s="4"/>
      <c r="G19" s="4"/>
      <c r="H19" s="529" t="s">
        <v>170</v>
      </c>
      <c r="I19" s="530"/>
      <c r="J19" s="530"/>
      <c r="K19" s="530"/>
      <c r="L19" s="530"/>
      <c r="M19" s="530"/>
      <c r="N19" s="530"/>
      <c r="O19" s="530"/>
      <c r="P19" s="531">
        <v>10115</v>
      </c>
      <c r="Q19" s="531"/>
      <c r="R19" s="532">
        <f>SUMIF(ResearchInput[Institution Name],H19,ResearchInput[SRECNP.RES])</f>
        <v>155653122</v>
      </c>
      <c r="S19" s="532"/>
      <c r="T19" s="532"/>
      <c r="U19" s="532">
        <f>ROUND(SUM(R19)/SUMIFS(ResearchInput[FTFE],ResearchInput[FICE],P19),0)</f>
        <v>257278</v>
      </c>
      <c r="V19" s="532"/>
      <c r="W19" s="533"/>
      <c r="X19" s="4"/>
    </row>
    <row r="20" spans="1:24" s="2" customFormat="1" ht="30" customHeight="1" x14ac:dyDescent="0.25">
      <c r="A20" s="4"/>
      <c r="B20" s="4"/>
      <c r="C20" s="4"/>
      <c r="D20" s="4"/>
      <c r="E20" s="4"/>
      <c r="F20" s="4"/>
      <c r="G20" s="4"/>
      <c r="H20" s="534" t="s">
        <v>171</v>
      </c>
      <c r="I20" s="535"/>
      <c r="J20" s="535"/>
      <c r="K20" s="535"/>
      <c r="L20" s="535"/>
      <c r="M20" s="535"/>
      <c r="N20" s="535"/>
      <c r="O20" s="535"/>
      <c r="P20" s="536">
        <v>11163</v>
      </c>
      <c r="Q20" s="536"/>
      <c r="R20" s="537">
        <f>SUMIF(ResearchInput[Institution Name],H20,ResearchInput[SRECNP.RES])</f>
        <v>4612386</v>
      </c>
      <c r="S20" s="537"/>
      <c r="T20" s="537"/>
      <c r="U20" s="537">
        <f>ROUND(SUM(R20)/SUMIFS(ResearchInput[FTFE],ResearchInput[FICE],P20),0)</f>
        <v>30749</v>
      </c>
      <c r="V20" s="537"/>
      <c r="W20" s="540"/>
      <c r="X20" s="4"/>
    </row>
    <row r="21" spans="1:24" s="2" customFormat="1" ht="30" customHeight="1" x14ac:dyDescent="0.25">
      <c r="A21" s="4"/>
      <c r="B21" s="4"/>
      <c r="C21" s="4"/>
      <c r="D21" s="4"/>
      <c r="E21" s="4"/>
      <c r="F21" s="4"/>
      <c r="G21" s="4"/>
      <c r="H21" s="529" t="s">
        <v>195</v>
      </c>
      <c r="I21" s="530"/>
      <c r="J21" s="530"/>
      <c r="K21" s="530"/>
      <c r="L21" s="530"/>
      <c r="M21" s="530"/>
      <c r="N21" s="530"/>
      <c r="O21" s="530"/>
      <c r="P21" s="531">
        <v>3624</v>
      </c>
      <c r="Q21" s="531"/>
      <c r="R21" s="532">
        <f>SUMIF(ResearchInput[Institution Name],H21,ResearchInput[SRECNP.RES])</f>
        <v>5227787</v>
      </c>
      <c r="S21" s="532"/>
      <c r="T21" s="532"/>
      <c r="U21" s="532">
        <f>ROUND(SUM(R21)/SUMIFS(ResearchInput[FTFE],ResearchInput[FICE],P21),0)</f>
        <v>14810</v>
      </c>
      <c r="V21" s="532"/>
      <c r="W21" s="533"/>
      <c r="X21" s="4"/>
    </row>
    <row r="22" spans="1:24" s="2" customFormat="1" ht="30" customHeight="1" x14ac:dyDescent="0.25">
      <c r="A22" s="4"/>
      <c r="B22" s="4"/>
      <c r="C22" s="4"/>
      <c r="D22" s="4"/>
      <c r="E22" s="4"/>
      <c r="F22" s="4"/>
      <c r="G22" s="4"/>
      <c r="H22" s="534" t="s">
        <v>172</v>
      </c>
      <c r="I22" s="535"/>
      <c r="J22" s="535"/>
      <c r="K22" s="535"/>
      <c r="L22" s="535"/>
      <c r="M22" s="535"/>
      <c r="N22" s="535"/>
      <c r="O22" s="535"/>
      <c r="P22" s="536">
        <v>3632</v>
      </c>
      <c r="Q22" s="536"/>
      <c r="R22" s="537">
        <f>SUMIF(ResearchInput[Institution Name],H22,ResearchInput[SRECNP.RES])</f>
        <v>315431290</v>
      </c>
      <c r="S22" s="537"/>
      <c r="T22" s="537"/>
      <c r="U22" s="537">
        <f>ROUND(SUM(R22)/SUMIFS(ResearchInput[FTFE],ResearchInput[FICE],P22),0)</f>
        <v>202459</v>
      </c>
      <c r="V22" s="537"/>
      <c r="W22" s="540"/>
      <c r="X22" s="4"/>
    </row>
    <row r="23" spans="1:24" s="2" customFormat="1" ht="30" customHeight="1" x14ac:dyDescent="0.25">
      <c r="A23" s="4"/>
      <c r="B23" s="4"/>
      <c r="C23" s="4"/>
      <c r="D23" s="4"/>
      <c r="E23" s="4"/>
      <c r="F23" s="4"/>
      <c r="G23" s="4"/>
      <c r="H23" s="529" t="s">
        <v>173</v>
      </c>
      <c r="I23" s="530"/>
      <c r="J23" s="530"/>
      <c r="K23" s="530"/>
      <c r="L23" s="530"/>
      <c r="M23" s="530"/>
      <c r="N23" s="530"/>
      <c r="O23" s="530"/>
      <c r="P23" s="531">
        <v>10298</v>
      </c>
      <c r="Q23" s="531"/>
      <c r="R23" s="532">
        <f>SUMIF(ResearchInput[Institution Name],H23,ResearchInput[SRECNP.RES])</f>
        <v>14020819</v>
      </c>
      <c r="S23" s="532"/>
      <c r="T23" s="532"/>
      <c r="U23" s="532">
        <f>ROUND(SUM(R23)/SUMIFS(ResearchInput[FTFE],ResearchInput[FICE],P23),0)</f>
        <v>326066</v>
      </c>
      <c r="V23" s="532"/>
      <c r="W23" s="533"/>
      <c r="X23" s="4"/>
    </row>
    <row r="24" spans="1:24" s="2" customFormat="1" ht="30" customHeight="1" x14ac:dyDescent="0.25">
      <c r="A24" s="4"/>
      <c r="B24" s="4"/>
      <c r="C24" s="4"/>
      <c r="D24" s="4"/>
      <c r="E24" s="4"/>
      <c r="F24" s="4"/>
      <c r="G24" s="4"/>
      <c r="H24" s="534" t="s">
        <v>174</v>
      </c>
      <c r="I24" s="535"/>
      <c r="J24" s="535"/>
      <c r="K24" s="535"/>
      <c r="L24" s="535"/>
      <c r="M24" s="535"/>
      <c r="N24" s="535"/>
      <c r="O24" s="535"/>
      <c r="P24" s="536">
        <v>3630</v>
      </c>
      <c r="Q24" s="536"/>
      <c r="R24" s="537">
        <f>SUMIF(ResearchInput[Institution Name],H24,ResearchInput[SRECNP.RES])</f>
        <v>40166731</v>
      </c>
      <c r="S24" s="537"/>
      <c r="T24" s="537"/>
      <c r="U24" s="537">
        <f>ROUND(SUM(R24)/SUMIFS(ResearchInput[FTFE],ResearchInput[FICE],P24),0)</f>
        <v>180120</v>
      </c>
      <c r="V24" s="537"/>
      <c r="W24" s="540"/>
      <c r="X24" s="4"/>
    </row>
    <row r="25" spans="1:24" s="2" customFormat="1" ht="30" customHeight="1" x14ac:dyDescent="0.25">
      <c r="A25" s="4"/>
      <c r="B25" s="4"/>
      <c r="C25" s="4"/>
      <c r="D25" s="4"/>
      <c r="E25" s="4"/>
      <c r="F25" s="4"/>
      <c r="G25" s="4"/>
      <c r="H25" s="529" t="s">
        <v>175</v>
      </c>
      <c r="I25" s="530"/>
      <c r="J25" s="530"/>
      <c r="K25" s="530"/>
      <c r="L25" s="530"/>
      <c r="M25" s="530"/>
      <c r="N25" s="530"/>
      <c r="O25" s="530"/>
      <c r="P25" s="531">
        <v>3631</v>
      </c>
      <c r="Q25" s="531"/>
      <c r="R25" s="532">
        <f>SUMIF(ResearchInput[Institution Name],H25,ResearchInput[SRECNP.RES])</f>
        <v>23154385</v>
      </c>
      <c r="S25" s="532"/>
      <c r="T25" s="532"/>
      <c r="U25" s="532">
        <f>ROUND(SUM(R25)/SUMIFS(ResearchInput[FTFE],ResearchInput[FICE],P25),0)</f>
        <v>122510</v>
      </c>
      <c r="V25" s="532"/>
      <c r="W25" s="533"/>
      <c r="X25" s="4"/>
    </row>
    <row r="26" spans="1:24" s="2" customFormat="1" ht="30" customHeight="1" x14ac:dyDescent="0.25">
      <c r="A26" s="4"/>
      <c r="B26" s="4"/>
      <c r="C26" s="4"/>
      <c r="D26" s="4"/>
      <c r="E26" s="4"/>
      <c r="F26" s="4"/>
      <c r="G26" s="4"/>
      <c r="H26" s="534" t="s">
        <v>176</v>
      </c>
      <c r="I26" s="535"/>
      <c r="J26" s="535"/>
      <c r="K26" s="535"/>
      <c r="L26" s="535"/>
      <c r="M26" s="535"/>
      <c r="N26" s="535"/>
      <c r="O26" s="535"/>
      <c r="P26" s="536">
        <v>11161</v>
      </c>
      <c r="Q26" s="536"/>
      <c r="R26" s="537">
        <f>SUMIF(ResearchInput[Institution Name],H26,ResearchInput[SRECNP.RES])</f>
        <v>43823665</v>
      </c>
      <c r="S26" s="537"/>
      <c r="T26" s="537"/>
      <c r="U26" s="537">
        <f>ROUND(SUM(R26)/SUMIFS(ResearchInput[FTFE],ResearchInput[FICE],P26),0)</f>
        <v>286429</v>
      </c>
      <c r="V26" s="537"/>
      <c r="W26" s="540"/>
      <c r="X26" s="4"/>
    </row>
    <row r="27" spans="1:24" s="2" customFormat="1" ht="30" customHeight="1" x14ac:dyDescent="0.25">
      <c r="A27" s="4"/>
      <c r="B27" s="4"/>
      <c r="C27" s="4"/>
      <c r="D27" s="4"/>
      <c r="E27" s="4"/>
      <c r="F27" s="4"/>
      <c r="G27" s="4"/>
      <c r="H27" s="529" t="s">
        <v>177</v>
      </c>
      <c r="I27" s="530"/>
      <c r="J27" s="530"/>
      <c r="K27" s="530"/>
      <c r="L27" s="530"/>
      <c r="M27" s="530"/>
      <c r="N27" s="530"/>
      <c r="O27" s="530"/>
      <c r="P27" s="531">
        <v>3639</v>
      </c>
      <c r="Q27" s="531"/>
      <c r="R27" s="532">
        <f>SUMIF(ResearchInput[Institution Name],H27,ResearchInput[SRECNP.RES])</f>
        <v>32457980</v>
      </c>
      <c r="S27" s="532"/>
      <c r="T27" s="532"/>
      <c r="U27" s="532">
        <f>ROUND(SUM(R27)/SUMIFS(ResearchInput[FTFE],ResearchInput[FICE],P27),0)</f>
        <v>160683</v>
      </c>
      <c r="V27" s="532"/>
      <c r="W27" s="533"/>
      <c r="X27" s="4"/>
    </row>
    <row r="28" spans="1:24" s="2" customFormat="1" ht="30" customHeight="1" x14ac:dyDescent="0.25">
      <c r="A28" s="4"/>
      <c r="B28" s="4"/>
      <c r="C28" s="4"/>
      <c r="D28" s="4"/>
      <c r="E28" s="4"/>
      <c r="F28" s="4"/>
      <c r="G28" s="4"/>
      <c r="H28" s="534" t="s">
        <v>178</v>
      </c>
      <c r="I28" s="535"/>
      <c r="J28" s="535"/>
      <c r="K28" s="535"/>
      <c r="L28" s="535"/>
      <c r="M28" s="535"/>
      <c r="N28" s="535"/>
      <c r="O28" s="535"/>
      <c r="P28" s="536">
        <v>9651</v>
      </c>
      <c r="Q28" s="536"/>
      <c r="R28" s="537">
        <f>SUMIF(ResearchInput[Institution Name],H28,ResearchInput[SRECNP.RES])</f>
        <v>8717681</v>
      </c>
      <c r="S28" s="537"/>
      <c r="T28" s="537"/>
      <c r="U28" s="537">
        <f>ROUND(SUM(R28)/SUMIFS(ResearchInput[FTFE],ResearchInput[FICE],P28),0)</f>
        <v>61392</v>
      </c>
      <c r="V28" s="537"/>
      <c r="W28" s="540"/>
      <c r="X28" s="4"/>
    </row>
    <row r="29" spans="1:24" s="2" customFormat="1" ht="30" customHeight="1" x14ac:dyDescent="0.25">
      <c r="A29" s="4"/>
      <c r="B29" s="4"/>
      <c r="C29" s="4"/>
      <c r="D29" s="4"/>
      <c r="E29" s="4"/>
      <c r="F29" s="4"/>
      <c r="G29" s="4"/>
      <c r="H29" s="529" t="s">
        <v>179</v>
      </c>
      <c r="I29" s="530"/>
      <c r="J29" s="530"/>
      <c r="K29" s="530"/>
      <c r="L29" s="530"/>
      <c r="M29" s="530"/>
      <c r="N29" s="530"/>
      <c r="O29" s="530"/>
      <c r="P29" s="531">
        <v>3665</v>
      </c>
      <c r="Q29" s="531"/>
      <c r="R29" s="532">
        <f>SUMIF(ResearchInput[Institution Name],H29,ResearchInput[SRECNP.RES])</f>
        <v>12374745</v>
      </c>
      <c r="S29" s="532"/>
      <c r="T29" s="532"/>
      <c r="U29" s="532">
        <f>ROUND(SUM(R29)/SUMIFS(ResearchInput[FTFE],ResearchInput[FICE],P29),0)</f>
        <v>83052</v>
      </c>
      <c r="V29" s="532"/>
      <c r="W29" s="533"/>
      <c r="X29" s="4"/>
    </row>
    <row r="30" spans="1:24" s="2" customFormat="1" ht="30" customHeight="1" x14ac:dyDescent="0.25">
      <c r="A30" s="4"/>
      <c r="B30" s="4"/>
      <c r="C30" s="4"/>
      <c r="D30" s="4"/>
      <c r="E30" s="4"/>
      <c r="F30" s="4"/>
      <c r="G30" s="4"/>
      <c r="H30" s="534" t="s">
        <v>180</v>
      </c>
      <c r="I30" s="535"/>
      <c r="J30" s="535"/>
      <c r="K30" s="535"/>
      <c r="L30" s="535"/>
      <c r="M30" s="535"/>
      <c r="N30" s="535"/>
      <c r="O30" s="535"/>
      <c r="P30" s="536">
        <v>3565</v>
      </c>
      <c r="Q30" s="536"/>
      <c r="R30" s="537">
        <f>SUMIF(ResearchInput[Institution Name],H30,ResearchInput[SRECNP.RES])</f>
        <v>6529372</v>
      </c>
      <c r="S30" s="537"/>
      <c r="T30" s="537"/>
      <c r="U30" s="537">
        <f>ROUND(SUM(R30)/SUMIFS(ResearchInput[FTFE],ResearchInput[FICE],P30),0)</f>
        <v>35486</v>
      </c>
      <c r="V30" s="537"/>
      <c r="W30" s="540"/>
      <c r="X30" s="4"/>
    </row>
    <row r="31" spans="1:24" s="2" customFormat="1" ht="30" customHeight="1" x14ac:dyDescent="0.25">
      <c r="A31" s="4"/>
      <c r="B31" s="4"/>
      <c r="C31" s="4"/>
      <c r="D31" s="4"/>
      <c r="E31" s="4"/>
      <c r="F31" s="4"/>
      <c r="G31" s="4"/>
      <c r="H31" s="529" t="s">
        <v>181</v>
      </c>
      <c r="I31" s="530"/>
      <c r="J31" s="530"/>
      <c r="K31" s="530"/>
      <c r="L31" s="530"/>
      <c r="M31" s="530"/>
      <c r="N31" s="530"/>
      <c r="O31" s="530"/>
      <c r="P31" s="531">
        <v>29269</v>
      </c>
      <c r="Q31" s="531"/>
      <c r="R31" s="532">
        <f>SUMIF(ResearchInput[Institution Name],H31,ResearchInput[SRECNP.RES])</f>
        <v>42301</v>
      </c>
      <c r="S31" s="532"/>
      <c r="T31" s="532"/>
      <c r="U31" s="532">
        <f>ROUND(SUM(R31)/SUMIFS(ResearchInput[FTFE],ResearchInput[FICE],P31),0)</f>
        <v>622</v>
      </c>
      <c r="V31" s="532"/>
      <c r="W31" s="533"/>
      <c r="X31" s="4"/>
    </row>
    <row r="32" spans="1:24" s="2" customFormat="1" ht="30" customHeight="1" x14ac:dyDescent="0.25">
      <c r="A32" s="4"/>
      <c r="B32" s="4"/>
      <c r="C32" s="4"/>
      <c r="D32" s="4"/>
      <c r="E32" s="4"/>
      <c r="F32" s="4"/>
      <c r="G32" s="4"/>
      <c r="H32" s="534" t="s">
        <v>182</v>
      </c>
      <c r="I32" s="535"/>
      <c r="J32" s="535"/>
      <c r="K32" s="535"/>
      <c r="L32" s="535"/>
      <c r="M32" s="535"/>
      <c r="N32" s="535"/>
      <c r="O32" s="535"/>
      <c r="P32" s="536">
        <v>42295</v>
      </c>
      <c r="Q32" s="536"/>
      <c r="R32" s="537">
        <f>SUMIF(ResearchInput[Institution Name],H32,ResearchInput[SRECNP.RES])</f>
        <v>1881512</v>
      </c>
      <c r="S32" s="537"/>
      <c r="T32" s="537"/>
      <c r="U32" s="537">
        <f>ROUND(SUM(R32)/SUMIFS(ResearchInput[FTFE],ResearchInput[FICE],P32),0)</f>
        <v>29865</v>
      </c>
      <c r="V32" s="537"/>
      <c r="W32" s="540"/>
      <c r="X32" s="4"/>
    </row>
    <row r="33" spans="1:24" s="2" customFormat="1" ht="30" customHeight="1" x14ac:dyDescent="0.25">
      <c r="A33" s="4"/>
      <c r="B33" s="4"/>
      <c r="C33" s="4"/>
      <c r="D33" s="4"/>
      <c r="E33" s="4"/>
      <c r="F33" s="4"/>
      <c r="G33" s="4"/>
      <c r="H33" s="529" t="s">
        <v>183</v>
      </c>
      <c r="I33" s="530"/>
      <c r="J33" s="530"/>
      <c r="K33" s="530"/>
      <c r="L33" s="530"/>
      <c r="M33" s="530"/>
      <c r="N33" s="530"/>
      <c r="O33" s="530"/>
      <c r="P33" s="531">
        <v>42485</v>
      </c>
      <c r="Q33" s="531"/>
      <c r="R33" s="532">
        <f>SUMIF(ResearchInput[Institution Name],H33,ResearchInput[SRECNP.RES])</f>
        <v>4727734</v>
      </c>
      <c r="S33" s="532"/>
      <c r="T33" s="532"/>
      <c r="U33" s="532">
        <f>ROUND(SUM(R33)/SUMIFS(ResearchInput[FTFE],ResearchInput[FICE],P33),0)</f>
        <v>35282</v>
      </c>
      <c r="V33" s="532"/>
      <c r="W33" s="533"/>
      <c r="X33" s="4"/>
    </row>
    <row r="34" spans="1:24" s="2" customFormat="1" ht="30" customHeight="1" x14ac:dyDescent="0.25">
      <c r="A34" s="4"/>
      <c r="B34" s="4"/>
      <c r="C34" s="4"/>
      <c r="D34" s="4"/>
      <c r="E34" s="4"/>
      <c r="F34" s="4"/>
      <c r="G34" s="4"/>
      <c r="H34" s="534" t="s">
        <v>184</v>
      </c>
      <c r="I34" s="535"/>
      <c r="J34" s="535"/>
      <c r="K34" s="535"/>
      <c r="L34" s="535"/>
      <c r="M34" s="535"/>
      <c r="N34" s="535"/>
      <c r="O34" s="535"/>
      <c r="P34" s="536">
        <v>3652</v>
      </c>
      <c r="Q34" s="536"/>
      <c r="R34" s="537">
        <f>SUMIF(ResearchInput[Institution Name],H34,ResearchInput[SRECNP.RES])</f>
        <v>198540451</v>
      </c>
      <c r="S34" s="537"/>
      <c r="T34" s="537"/>
      <c r="U34" s="537">
        <f>ROUND(SUM(R34)/SUMIFS(ResearchInput[FTFE],ResearchInput[FICE],P34),0)</f>
        <v>207678</v>
      </c>
      <c r="V34" s="537"/>
      <c r="W34" s="540"/>
      <c r="X34" s="4"/>
    </row>
    <row r="35" spans="1:24" s="2" customFormat="1" ht="30" customHeight="1" x14ac:dyDescent="0.25">
      <c r="A35" s="4"/>
      <c r="B35" s="4"/>
      <c r="C35" s="4"/>
      <c r="D35" s="4"/>
      <c r="E35" s="4"/>
      <c r="F35" s="4"/>
      <c r="G35" s="4"/>
      <c r="H35" s="529" t="s">
        <v>185</v>
      </c>
      <c r="I35" s="530"/>
      <c r="J35" s="530"/>
      <c r="K35" s="530"/>
      <c r="L35" s="530"/>
      <c r="M35" s="530"/>
      <c r="N35" s="530"/>
      <c r="O35" s="530"/>
      <c r="P35" s="531">
        <v>11711</v>
      </c>
      <c r="Q35" s="531"/>
      <c r="R35" s="532">
        <f>SUMIF(ResearchInput[Institution Name],H35,ResearchInput[SRECNP.RES])</f>
        <v>3871737</v>
      </c>
      <c r="S35" s="532"/>
      <c r="T35" s="532"/>
      <c r="U35" s="532">
        <f>ROUND(SUM(R35)/SUMIFS(ResearchInput[FTFE],ResearchInput[FICE],P35),0)</f>
        <v>17132</v>
      </c>
      <c r="V35" s="532"/>
      <c r="W35" s="533"/>
      <c r="X35" s="4"/>
    </row>
    <row r="36" spans="1:24" s="2" customFormat="1" ht="30" customHeight="1" x14ac:dyDescent="0.25">
      <c r="A36" s="4"/>
      <c r="B36" s="4"/>
      <c r="C36" s="4"/>
      <c r="D36" s="4"/>
      <c r="E36" s="4"/>
      <c r="F36" s="4"/>
      <c r="G36" s="4"/>
      <c r="H36" s="534" t="s">
        <v>186</v>
      </c>
      <c r="I36" s="535"/>
      <c r="J36" s="535"/>
      <c r="K36" s="535"/>
      <c r="L36" s="535"/>
      <c r="M36" s="535"/>
      <c r="N36" s="535"/>
      <c r="O36" s="535"/>
      <c r="P36" s="536">
        <v>12826</v>
      </c>
      <c r="Q36" s="536"/>
      <c r="R36" s="537">
        <f>SUMIF(ResearchInput[Institution Name],H36,ResearchInput[SRECNP.RES])</f>
        <v>3624230</v>
      </c>
      <c r="S36" s="537"/>
      <c r="T36" s="537"/>
      <c r="U36" s="537">
        <f>ROUND(SUM(R36)/SUMIFS(ResearchInput[FTFE],ResearchInput[FICE],P36),0)</f>
        <v>15292</v>
      </c>
      <c r="V36" s="537"/>
      <c r="W36" s="540"/>
      <c r="X36" s="4"/>
    </row>
    <row r="37" spans="1:24" s="2" customFormat="1" ht="30" customHeight="1" x14ac:dyDescent="0.25">
      <c r="A37" s="4"/>
      <c r="B37" s="4"/>
      <c r="C37" s="4"/>
      <c r="D37" s="4"/>
      <c r="E37" s="4"/>
      <c r="F37" s="4"/>
      <c r="G37" s="4"/>
      <c r="H37" s="529" t="s">
        <v>187</v>
      </c>
      <c r="I37" s="530"/>
      <c r="J37" s="530"/>
      <c r="K37" s="530"/>
      <c r="L37" s="530"/>
      <c r="M37" s="530"/>
      <c r="N37" s="530"/>
      <c r="O37" s="530"/>
      <c r="P37" s="531">
        <v>13231</v>
      </c>
      <c r="Q37" s="531"/>
      <c r="R37" s="532">
        <f>SUMIF(ResearchInput[Institution Name],H37,ResearchInput[SRECNP.RES])</f>
        <v>358352</v>
      </c>
      <c r="S37" s="532"/>
      <c r="T37" s="532"/>
      <c r="U37" s="532">
        <f>ROUND(SUM(R37)/SUMIFS(ResearchInput[FTFE],ResearchInput[FICE],P37),0)</f>
        <v>3733</v>
      </c>
      <c r="V37" s="532"/>
      <c r="W37" s="533"/>
      <c r="X37" s="4"/>
    </row>
    <row r="38" spans="1:24" s="2" customFormat="1" ht="30" customHeight="1" x14ac:dyDescent="0.25">
      <c r="A38" s="4"/>
      <c r="B38" s="4"/>
      <c r="C38" s="4"/>
      <c r="D38" s="4"/>
      <c r="E38" s="4"/>
      <c r="F38" s="4"/>
      <c r="G38" s="4"/>
      <c r="H38" s="534" t="s">
        <v>188</v>
      </c>
      <c r="I38" s="535"/>
      <c r="J38" s="535"/>
      <c r="K38" s="535"/>
      <c r="L38" s="535"/>
      <c r="M38" s="535"/>
      <c r="N38" s="535"/>
      <c r="O38" s="535"/>
      <c r="P38" s="536">
        <v>3581</v>
      </c>
      <c r="Q38" s="536"/>
      <c r="R38" s="537">
        <f>SUMIF(ResearchInput[Institution Name],H38,ResearchInput[SRECNP.RES])</f>
        <v>9690863</v>
      </c>
      <c r="S38" s="537"/>
      <c r="T38" s="537"/>
      <c r="U38" s="537">
        <f>ROUND(SUM(R38)/SUMIFS(ResearchInput[FTFE],ResearchInput[FICE],P38),0)</f>
        <v>36026</v>
      </c>
      <c r="V38" s="537"/>
      <c r="W38" s="540"/>
      <c r="X38" s="4"/>
    </row>
    <row r="39" spans="1:24" s="2" customFormat="1" ht="30" customHeight="1" x14ac:dyDescent="0.25">
      <c r="A39" s="4"/>
      <c r="B39" s="4"/>
      <c r="C39" s="4"/>
      <c r="D39" s="4"/>
      <c r="E39" s="4"/>
      <c r="F39" s="4"/>
      <c r="G39" s="4"/>
      <c r="H39" s="529" t="s">
        <v>189</v>
      </c>
      <c r="I39" s="530"/>
      <c r="J39" s="530"/>
      <c r="K39" s="530"/>
      <c r="L39" s="530"/>
      <c r="M39" s="530"/>
      <c r="N39" s="530"/>
      <c r="O39" s="530"/>
      <c r="P39" s="531">
        <v>3606</v>
      </c>
      <c r="Q39" s="531"/>
      <c r="R39" s="532">
        <f>SUMIF(ResearchInput[Institution Name],H39,ResearchInput[SRECNP.RES])</f>
        <v>27382930</v>
      </c>
      <c r="S39" s="532"/>
      <c r="T39" s="532"/>
      <c r="U39" s="532">
        <f>ROUND(SUM(R39)/SUMIFS(ResearchInput[FTFE],ResearchInput[FICE],P39),0)</f>
        <v>68975</v>
      </c>
      <c r="V39" s="532"/>
      <c r="W39" s="533"/>
      <c r="X39" s="4"/>
    </row>
    <row r="40" spans="1:24" s="2" customFormat="1" ht="30" customHeight="1" x14ac:dyDescent="0.25">
      <c r="A40" s="4"/>
      <c r="B40" s="4"/>
      <c r="C40" s="4"/>
      <c r="D40" s="4"/>
      <c r="E40" s="4"/>
      <c r="F40" s="4"/>
      <c r="G40" s="4"/>
      <c r="H40" s="534" t="s">
        <v>235</v>
      </c>
      <c r="I40" s="535"/>
      <c r="J40" s="535"/>
      <c r="K40" s="535"/>
      <c r="L40" s="535"/>
      <c r="M40" s="535"/>
      <c r="N40" s="535"/>
      <c r="O40" s="535"/>
      <c r="P40" s="536">
        <v>3615</v>
      </c>
      <c r="Q40" s="536"/>
      <c r="R40" s="537">
        <f>SUMIF(ResearchInput[Institution Name],H40,ResearchInput[SRECNP.RES])</f>
        <v>166591153</v>
      </c>
      <c r="S40" s="537"/>
      <c r="T40" s="537"/>
      <c r="U40" s="537">
        <f>ROUND(SUM(R40)/SUMIFS(ResearchInput[FTFE],ResearchInput[FICE],P40),0)</f>
        <v>337913</v>
      </c>
      <c r="V40" s="537"/>
      <c r="W40" s="540"/>
      <c r="X40" s="4"/>
    </row>
    <row r="41" spans="1:24" s="2" customFormat="1" ht="30" customHeight="1" x14ac:dyDescent="0.25">
      <c r="A41" s="4"/>
      <c r="B41" s="4"/>
      <c r="C41" s="4"/>
      <c r="D41" s="4"/>
      <c r="E41" s="4"/>
      <c r="F41" s="4"/>
      <c r="G41" s="4"/>
      <c r="H41" s="529" t="s">
        <v>190</v>
      </c>
      <c r="I41" s="530"/>
      <c r="J41" s="530"/>
      <c r="K41" s="530"/>
      <c r="L41" s="530"/>
      <c r="M41" s="530"/>
      <c r="N41" s="530"/>
      <c r="O41" s="530"/>
      <c r="P41" s="531">
        <v>3625</v>
      </c>
      <c r="Q41" s="531"/>
      <c r="R41" s="532">
        <f>SUMIF(ResearchInput[Institution Name],H41,ResearchInput[SRECNP.RES])</f>
        <v>7159920</v>
      </c>
      <c r="S41" s="532"/>
      <c r="T41" s="532"/>
      <c r="U41" s="532">
        <f>ROUND(SUM(R41)/SUMIFS(ResearchInput[FTFE],ResearchInput[FICE],P41),0)</f>
        <v>96756</v>
      </c>
      <c r="V41" s="532"/>
      <c r="W41" s="533"/>
      <c r="X41" s="4"/>
    </row>
    <row r="42" spans="1:24" s="2" customFormat="1" ht="30" customHeight="1" x14ac:dyDescent="0.25">
      <c r="A42" s="4"/>
      <c r="B42" s="4"/>
      <c r="C42" s="4"/>
      <c r="D42" s="4"/>
      <c r="E42" s="4"/>
      <c r="F42" s="4"/>
      <c r="G42" s="4"/>
      <c r="H42" s="534" t="s">
        <v>191</v>
      </c>
      <c r="I42" s="535"/>
      <c r="J42" s="535"/>
      <c r="K42" s="535"/>
      <c r="L42" s="535"/>
      <c r="M42" s="535"/>
      <c r="N42" s="535"/>
      <c r="O42" s="535"/>
      <c r="P42" s="536">
        <v>3644</v>
      </c>
      <c r="Q42" s="536"/>
      <c r="R42" s="537">
        <f>SUMIF(ResearchInput[Institution Name],H42,ResearchInput[SRECNP.RES])</f>
        <v>232732401</v>
      </c>
      <c r="S42" s="537"/>
      <c r="T42" s="537"/>
      <c r="U42" s="537">
        <f>ROUND(SUM(R42)/SUMIFS(ResearchInput[FTFE],ResearchInput[FICE],P42),0)</f>
        <v>225954</v>
      </c>
      <c r="V42" s="537"/>
      <c r="W42" s="540"/>
      <c r="X42" s="4"/>
    </row>
    <row r="43" spans="1:24" s="2" customFormat="1" ht="30" customHeight="1" x14ac:dyDescent="0.25">
      <c r="A43" s="4"/>
      <c r="B43" s="4"/>
      <c r="C43" s="4"/>
      <c r="D43" s="4"/>
      <c r="E43" s="4"/>
      <c r="F43" s="4"/>
      <c r="G43" s="4"/>
      <c r="H43" s="529" t="s">
        <v>192</v>
      </c>
      <c r="I43" s="530"/>
      <c r="J43" s="530"/>
      <c r="K43" s="530"/>
      <c r="L43" s="530"/>
      <c r="M43" s="530"/>
      <c r="N43" s="530"/>
      <c r="O43" s="530"/>
      <c r="P43" s="531">
        <v>3541</v>
      </c>
      <c r="Q43" s="531"/>
      <c r="R43" s="532">
        <f>SUMIF(ResearchInput[Institution Name],H43,ResearchInput[SRECNP.RES])</f>
        <v>1182671</v>
      </c>
      <c r="S43" s="532"/>
      <c r="T43" s="532"/>
      <c r="U43" s="532">
        <f>ROUND(SUM(R43)/SUMIFS(ResearchInput[FTFE],ResearchInput[FICE],P43),0)</f>
        <v>6957</v>
      </c>
      <c r="V43" s="532"/>
      <c r="W43" s="533"/>
      <c r="X43" s="4"/>
    </row>
    <row r="44" spans="1:24" s="2" customFormat="1" ht="30" customHeight="1" x14ac:dyDescent="0.25">
      <c r="A44" s="4"/>
      <c r="B44" s="4"/>
      <c r="C44" s="4"/>
      <c r="D44" s="4"/>
      <c r="E44" s="4"/>
      <c r="F44" s="4"/>
      <c r="G44" s="4"/>
      <c r="H44" s="534" t="s">
        <v>236</v>
      </c>
      <c r="I44" s="535"/>
      <c r="J44" s="535"/>
      <c r="K44" s="535"/>
      <c r="L44" s="535"/>
      <c r="M44" s="535"/>
      <c r="N44" s="535"/>
      <c r="O44" s="535"/>
      <c r="P44" s="536">
        <v>3594</v>
      </c>
      <c r="Q44" s="536"/>
      <c r="R44" s="537">
        <f>SUMIF(ResearchInput[Institution Name],H44,ResearchInput[SRECNP.RES])</f>
        <v>106812591</v>
      </c>
      <c r="S44" s="537"/>
      <c r="T44" s="537"/>
      <c r="U44" s="537">
        <f>ROUND(SUM(R44)/SUMIFS(ResearchInput[FTFE],ResearchInput[FICE],P44),0)</f>
        <v>178318</v>
      </c>
      <c r="V44" s="537"/>
      <c r="W44" s="540"/>
      <c r="X44" s="4"/>
    </row>
    <row r="45" spans="1:24" s="2" customFormat="1" ht="30" customHeight="1" x14ac:dyDescent="0.25">
      <c r="A45" s="4"/>
      <c r="B45" s="4"/>
      <c r="C45" s="4"/>
      <c r="D45" s="4"/>
      <c r="E45" s="4"/>
      <c r="F45" s="4"/>
      <c r="G45" s="4"/>
      <c r="H45" s="529" t="s">
        <v>193</v>
      </c>
      <c r="I45" s="530"/>
      <c r="J45" s="530"/>
      <c r="K45" s="530"/>
      <c r="L45" s="530"/>
      <c r="M45" s="530"/>
      <c r="N45" s="530"/>
      <c r="O45" s="530"/>
      <c r="P45" s="531">
        <v>42421</v>
      </c>
      <c r="Q45" s="531"/>
      <c r="R45" s="532">
        <f>SUMIF(ResearchInput[Institution Name],H45,ResearchInput[SRECNP.RES])</f>
        <v>585620</v>
      </c>
      <c r="S45" s="532"/>
      <c r="T45" s="532"/>
      <c r="U45" s="532">
        <f>ROUND(SUM(R45)/SUMIFS(ResearchInput[FTFE],ResearchInput[FICE],P45),0)</f>
        <v>10845</v>
      </c>
      <c r="V45" s="532"/>
      <c r="W45" s="533"/>
      <c r="X45" s="4"/>
    </row>
    <row r="46" spans="1:24" s="2" customFormat="1" ht="30" customHeight="1" x14ac:dyDescent="0.25">
      <c r="A46" s="4"/>
      <c r="B46" s="4"/>
      <c r="C46" s="4"/>
      <c r="D46" s="4"/>
      <c r="E46" s="4"/>
      <c r="F46" s="4"/>
      <c r="G46" s="4"/>
      <c r="H46" s="534" t="s">
        <v>194</v>
      </c>
      <c r="I46" s="535"/>
      <c r="J46" s="535"/>
      <c r="K46" s="535"/>
      <c r="L46" s="535"/>
      <c r="M46" s="535"/>
      <c r="N46" s="535"/>
      <c r="O46" s="535"/>
      <c r="P46" s="536">
        <v>3592</v>
      </c>
      <c r="Q46" s="536"/>
      <c r="R46" s="537">
        <f>SUMIF(ResearchInput[Institution Name],H46,ResearchInput[SRECNP.RES])</f>
        <v>1050592</v>
      </c>
      <c r="S46" s="537"/>
      <c r="T46" s="537"/>
      <c r="U46" s="537">
        <f>ROUND(SUM(R46)/SUMIFS(ResearchInput[FTFE],ResearchInput[FICE],P46),0)</f>
        <v>6406</v>
      </c>
      <c r="V46" s="537"/>
      <c r="W46" s="540"/>
      <c r="X46" s="4"/>
    </row>
    <row r="47" spans="1:24" s="2" customFormat="1" ht="30" customHeight="1" x14ac:dyDescent="0.25">
      <c r="A47" s="4"/>
      <c r="B47" s="4"/>
      <c r="C47" s="4"/>
      <c r="D47" s="4"/>
      <c r="E47" s="4"/>
      <c r="F47" s="4"/>
      <c r="G47" s="4"/>
      <c r="H47" s="529" t="s">
        <v>237</v>
      </c>
      <c r="I47" s="530"/>
      <c r="J47" s="530"/>
      <c r="K47" s="530"/>
      <c r="L47" s="530"/>
      <c r="M47" s="530"/>
      <c r="N47" s="530"/>
      <c r="O47" s="530"/>
      <c r="P47" s="531">
        <v>3642</v>
      </c>
      <c r="Q47" s="531"/>
      <c r="R47" s="532">
        <f>SUMIF(ResearchInput[Institution Name],H47,ResearchInput[SRECNP.RES])</f>
        <v>6504394</v>
      </c>
      <c r="S47" s="532"/>
      <c r="T47" s="532"/>
      <c r="U47" s="532">
        <f>ROUND(SUM(R47)/SUMIFS(ResearchInput[FTFE],ResearchInput[FICE],P47),0)</f>
        <v>27561</v>
      </c>
      <c r="V47" s="532"/>
      <c r="W47" s="533"/>
      <c r="X47" s="4"/>
    </row>
    <row r="48" spans="1:24" s="2" customFormat="1" ht="30" customHeight="1" thickBot="1" x14ac:dyDescent="0.3">
      <c r="A48" s="4"/>
      <c r="B48" s="4"/>
      <c r="C48" s="4"/>
      <c r="D48" s="4"/>
      <c r="E48" s="4"/>
      <c r="F48" s="4"/>
      <c r="G48" s="4"/>
      <c r="H48" s="534" t="s">
        <v>238</v>
      </c>
      <c r="I48" s="535"/>
      <c r="J48" s="535"/>
      <c r="K48" s="535"/>
      <c r="L48" s="535"/>
      <c r="M48" s="535"/>
      <c r="N48" s="535"/>
      <c r="O48" s="535"/>
      <c r="P48" s="536">
        <v>3646</v>
      </c>
      <c r="Q48" s="536"/>
      <c r="R48" s="537">
        <f>SUMIF(ResearchInput[Institution Name],H48,ResearchInput[SRECNP.RES])</f>
        <v>7031287</v>
      </c>
      <c r="S48" s="537"/>
      <c r="T48" s="537"/>
      <c r="U48" s="538">
        <f>ROUND(SUM(R48)/SUMIFS(ResearchInput[FTFE],ResearchInput[FICE],P48),0)</f>
        <v>24499</v>
      </c>
      <c r="V48" s="538"/>
      <c r="W48" s="539"/>
      <c r="X48" s="4"/>
    </row>
    <row r="49" spans="1:24" ht="30" customHeight="1" thickTop="1" x14ac:dyDescent="0.25">
      <c r="A49" s="3"/>
      <c r="B49" s="3"/>
      <c r="C49" s="3"/>
      <c r="D49" s="3"/>
      <c r="E49" s="3"/>
      <c r="F49" s="3"/>
      <c r="G49" s="3"/>
      <c r="H49" s="525"/>
      <c r="I49" s="526"/>
      <c r="J49" s="526"/>
      <c r="K49" s="526"/>
      <c r="L49" s="526"/>
      <c r="M49" s="526"/>
      <c r="N49" s="526"/>
      <c r="O49" s="526"/>
      <c r="P49" s="526">
        <f>COUNTA(P13:Q48)</f>
        <v>36</v>
      </c>
      <c r="Q49" s="526"/>
      <c r="R49" s="527">
        <f>SUM(R13:T48)</f>
        <v>2816402815</v>
      </c>
      <c r="S49" s="527"/>
      <c r="T49" s="527"/>
      <c r="U49" s="527">
        <f>SUM(U13:W48)</f>
        <v>4978432</v>
      </c>
      <c r="V49" s="527"/>
      <c r="W49" s="528"/>
      <c r="X49" s="4"/>
    </row>
    <row r="50" spans="1:24" ht="30" customHeight="1" x14ac:dyDescent="0.25">
      <c r="A50" s="3"/>
      <c r="B50" s="3"/>
      <c r="C50" s="3"/>
      <c r="D50" s="3"/>
      <c r="E50" s="3"/>
      <c r="F50" s="3"/>
      <c r="G50" s="3"/>
      <c r="H50" s="3"/>
      <c r="I50" s="3"/>
      <c r="J50" s="3"/>
      <c r="K50" s="3"/>
      <c r="L50" s="3"/>
      <c r="M50" s="3"/>
      <c r="N50" s="3"/>
      <c r="O50" s="3"/>
      <c r="P50" s="3"/>
      <c r="Q50" s="3"/>
      <c r="R50" s="3"/>
      <c r="S50" s="3"/>
      <c r="T50" s="3"/>
      <c r="U50" s="3"/>
      <c r="V50" s="3"/>
      <c r="W50" s="3"/>
      <c r="X50" s="3"/>
    </row>
    <row r="51" spans="1:24" ht="30" customHeight="1" x14ac:dyDescent="0.25">
      <c r="A51" s="3"/>
      <c r="B51" s="3"/>
      <c r="C51" s="3"/>
      <c r="D51" s="3"/>
      <c r="E51" s="3"/>
      <c r="F51" s="3"/>
      <c r="G51" s="3"/>
      <c r="H51" s="3"/>
      <c r="I51" s="3"/>
      <c r="J51" s="3"/>
      <c r="K51" s="3"/>
      <c r="L51" s="3"/>
      <c r="M51" s="3"/>
      <c r="N51" s="3"/>
      <c r="O51" s="3"/>
      <c r="P51" s="3"/>
      <c r="Q51" s="3"/>
      <c r="R51" s="3"/>
      <c r="S51" s="3"/>
      <c r="T51" s="3"/>
      <c r="U51" s="3"/>
      <c r="V51" s="3"/>
      <c r="W51" s="3"/>
      <c r="X51" s="3"/>
    </row>
  </sheetData>
  <sheetProtection algorithmName="SHA-512" hashValue="eSbQ9NSsRupdeJ4d40R0ynRVS/xHZpNXm8p88cj67KpAf43BlEFyHfeeC8iCamhjnA/9v8aUz0p4sgtMqmb1zQ==" saltValue="yhnVAjuyexMnAqIRGGyzSQ==" spinCount="100000" sheet="1" objects="1" scenarios="1" formatCells="0" formatColumns="0" formatRows="0"/>
  <mergeCells count="157">
    <mergeCell ref="H13:O13"/>
    <mergeCell ref="P13:Q13"/>
    <mergeCell ref="R13:T13"/>
    <mergeCell ref="U13:W13"/>
    <mergeCell ref="H14:O14"/>
    <mergeCell ref="P14:Q14"/>
    <mergeCell ref="R14:T14"/>
    <mergeCell ref="U14:W14"/>
    <mergeCell ref="H1:W2"/>
    <mergeCell ref="H11:O12"/>
    <mergeCell ref="P11:Q12"/>
    <mergeCell ref="R11:T12"/>
    <mergeCell ref="U11:W12"/>
    <mergeCell ref="H8:K8"/>
    <mergeCell ref="L8:W8"/>
    <mergeCell ref="H10:W10"/>
    <mergeCell ref="H3:W7"/>
    <mergeCell ref="H17:O17"/>
    <mergeCell ref="P17:Q17"/>
    <mergeCell ref="R17:T17"/>
    <mergeCell ref="U17:W17"/>
    <mergeCell ref="H18:O18"/>
    <mergeCell ref="P18:Q18"/>
    <mergeCell ref="R18:T18"/>
    <mergeCell ref="U18:W18"/>
    <mergeCell ref="H15:O15"/>
    <mergeCell ref="P15:Q15"/>
    <mergeCell ref="R15:T15"/>
    <mergeCell ref="U15:W15"/>
    <mergeCell ref="H16:O16"/>
    <mergeCell ref="P16:Q16"/>
    <mergeCell ref="R16:T16"/>
    <mergeCell ref="U16:W16"/>
    <mergeCell ref="H21:O21"/>
    <mergeCell ref="P21:Q21"/>
    <mergeCell ref="R21:T21"/>
    <mergeCell ref="U21:W21"/>
    <mergeCell ref="H22:O22"/>
    <mergeCell ref="P22:Q22"/>
    <mergeCell ref="R22:T22"/>
    <mergeCell ref="U22:W22"/>
    <mergeCell ref="H19:O19"/>
    <mergeCell ref="P19:Q19"/>
    <mergeCell ref="R19:T19"/>
    <mergeCell ref="U19:W19"/>
    <mergeCell ref="H20:O20"/>
    <mergeCell ref="P20:Q20"/>
    <mergeCell ref="R20:T20"/>
    <mergeCell ref="U20:W20"/>
    <mergeCell ref="H25:O25"/>
    <mergeCell ref="P25:Q25"/>
    <mergeCell ref="R25:T25"/>
    <mergeCell ref="U25:W25"/>
    <mergeCell ref="H26:O26"/>
    <mergeCell ref="P26:Q26"/>
    <mergeCell ref="R26:T26"/>
    <mergeCell ref="U26:W26"/>
    <mergeCell ref="H23:O23"/>
    <mergeCell ref="P23:Q23"/>
    <mergeCell ref="R23:T23"/>
    <mergeCell ref="U23:W23"/>
    <mergeCell ref="H24:O24"/>
    <mergeCell ref="P24:Q24"/>
    <mergeCell ref="R24:T24"/>
    <mergeCell ref="U24:W24"/>
    <mergeCell ref="H29:O29"/>
    <mergeCell ref="P29:Q29"/>
    <mergeCell ref="R29:T29"/>
    <mergeCell ref="U29:W29"/>
    <mergeCell ref="H30:O30"/>
    <mergeCell ref="P30:Q30"/>
    <mergeCell ref="R30:T30"/>
    <mergeCell ref="U30:W30"/>
    <mergeCell ref="H27:O27"/>
    <mergeCell ref="P27:Q27"/>
    <mergeCell ref="R27:T27"/>
    <mergeCell ref="U27:W27"/>
    <mergeCell ref="H28:O28"/>
    <mergeCell ref="P28:Q28"/>
    <mergeCell ref="R28:T28"/>
    <mergeCell ref="U28:W28"/>
    <mergeCell ref="H33:O33"/>
    <mergeCell ref="P33:Q33"/>
    <mergeCell ref="R33:T33"/>
    <mergeCell ref="U33:W33"/>
    <mergeCell ref="H34:O34"/>
    <mergeCell ref="P34:Q34"/>
    <mergeCell ref="R34:T34"/>
    <mergeCell ref="U34:W34"/>
    <mergeCell ref="H31:O31"/>
    <mergeCell ref="P31:Q31"/>
    <mergeCell ref="R31:T31"/>
    <mergeCell ref="U31:W31"/>
    <mergeCell ref="H32:O32"/>
    <mergeCell ref="P32:Q32"/>
    <mergeCell ref="R32:T32"/>
    <mergeCell ref="U32:W32"/>
    <mergeCell ref="H37:O37"/>
    <mergeCell ref="P37:Q37"/>
    <mergeCell ref="R37:T37"/>
    <mergeCell ref="U37:W37"/>
    <mergeCell ref="H38:O38"/>
    <mergeCell ref="P38:Q38"/>
    <mergeCell ref="R38:T38"/>
    <mergeCell ref="U38:W38"/>
    <mergeCell ref="H35:O35"/>
    <mergeCell ref="P35:Q35"/>
    <mergeCell ref="R35:T35"/>
    <mergeCell ref="U35:W35"/>
    <mergeCell ref="H36:O36"/>
    <mergeCell ref="P36:Q36"/>
    <mergeCell ref="R36:T36"/>
    <mergeCell ref="U36:W36"/>
    <mergeCell ref="H41:O41"/>
    <mergeCell ref="P41:Q41"/>
    <mergeCell ref="R41:T41"/>
    <mergeCell ref="U41:W41"/>
    <mergeCell ref="H42:O42"/>
    <mergeCell ref="P42:Q42"/>
    <mergeCell ref="R42:T42"/>
    <mergeCell ref="U42:W42"/>
    <mergeCell ref="H39:O39"/>
    <mergeCell ref="P39:Q39"/>
    <mergeCell ref="R39:T39"/>
    <mergeCell ref="U39:W39"/>
    <mergeCell ref="H40:O40"/>
    <mergeCell ref="P40:Q40"/>
    <mergeCell ref="R40:T40"/>
    <mergeCell ref="U40:W40"/>
    <mergeCell ref="R46:T46"/>
    <mergeCell ref="U46:W46"/>
    <mergeCell ref="H43:O43"/>
    <mergeCell ref="P43:Q43"/>
    <mergeCell ref="R43:T43"/>
    <mergeCell ref="U43:W43"/>
    <mergeCell ref="H44:O44"/>
    <mergeCell ref="P44:Q44"/>
    <mergeCell ref="R44:T44"/>
    <mergeCell ref="U44:W44"/>
    <mergeCell ref="H45:O45"/>
    <mergeCell ref="P45:Q45"/>
    <mergeCell ref="R45:T45"/>
    <mergeCell ref="U45:W45"/>
    <mergeCell ref="H46:O46"/>
    <mergeCell ref="P46:Q46"/>
    <mergeCell ref="H49:O49"/>
    <mergeCell ref="P49:Q49"/>
    <mergeCell ref="R49:T49"/>
    <mergeCell ref="U49:W49"/>
    <mergeCell ref="H47:O47"/>
    <mergeCell ref="P47:Q47"/>
    <mergeCell ref="R47:T47"/>
    <mergeCell ref="U47:W47"/>
    <mergeCell ref="H48:O48"/>
    <mergeCell ref="P48:Q48"/>
    <mergeCell ref="R48:T48"/>
    <mergeCell ref="U48:W48"/>
  </mergeCells>
  <hyperlinks>
    <hyperlink ref="L8" r:id="rId1" xr:uid="{F390C4CE-47C1-4C85-A5CB-2A5E3293B515}"/>
  </hyperlinks>
  <printOptions horizontalCentered="1"/>
  <pageMargins left="0.5" right="0.5" top="0.75" bottom="0.5" header="0.3" footer="0.3"/>
  <pageSetup scale="59" fitToHeight="0" orientation="portrait" r:id="rId2"/>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F5BB3D-2444-4CFF-8501-C5375C87A354}">
  <sheetPr codeName="Sheet9">
    <tabColor theme="5"/>
  </sheetPr>
  <dimension ref="A1:AU93"/>
  <sheetViews>
    <sheetView zoomScale="80" zoomScaleNormal="80" workbookViewId="0"/>
  </sheetViews>
  <sheetFormatPr defaultColWidth="8.90625" defaultRowHeight="13.8" x14ac:dyDescent="0.25"/>
  <cols>
    <col min="1" max="47" width="6.6328125" style="156" customWidth="1"/>
    <col min="48" max="16384" width="8.90625" style="156"/>
  </cols>
  <sheetData>
    <row r="1" spans="1:47" ht="30" customHeight="1" x14ac:dyDescent="0.3">
      <c r="A1" s="155"/>
      <c r="B1" s="155"/>
      <c r="C1" s="155"/>
      <c r="D1" s="155"/>
      <c r="E1" s="155"/>
      <c r="F1" s="155"/>
      <c r="G1" s="155"/>
      <c r="H1" s="599" t="s">
        <v>968</v>
      </c>
      <c r="I1" s="600"/>
      <c r="J1" s="600"/>
      <c r="K1" s="600"/>
      <c r="L1" s="600"/>
      <c r="M1" s="600"/>
      <c r="N1" s="600"/>
      <c r="O1" s="600"/>
      <c r="P1" s="600"/>
      <c r="Q1" s="600"/>
      <c r="R1" s="600"/>
      <c r="S1" s="600"/>
      <c r="T1" s="600"/>
      <c r="U1" s="600"/>
      <c r="V1" s="600"/>
      <c r="W1" s="600"/>
      <c r="X1" s="600"/>
      <c r="Y1" s="600"/>
      <c r="Z1" s="600"/>
      <c r="AA1" s="600"/>
      <c r="AB1" s="600"/>
      <c r="AC1" s="600"/>
      <c r="AD1" s="600"/>
      <c r="AE1" s="600"/>
      <c r="AF1" s="600"/>
      <c r="AG1" s="600"/>
      <c r="AH1" s="600"/>
      <c r="AI1" s="600"/>
      <c r="AJ1" s="600"/>
      <c r="AK1" s="600"/>
      <c r="AL1" s="600"/>
      <c r="AM1" s="600"/>
      <c r="AN1" s="600"/>
      <c r="AO1" s="600"/>
      <c r="AP1" s="600"/>
      <c r="AQ1" s="600"/>
      <c r="AR1" s="600"/>
      <c r="AS1" s="600"/>
      <c r="AT1" s="142"/>
      <c r="AU1" s="155"/>
    </row>
    <row r="2" spans="1:47" ht="30" customHeight="1" x14ac:dyDescent="0.3">
      <c r="A2" s="155"/>
      <c r="B2" s="155"/>
      <c r="C2" s="155"/>
      <c r="D2" s="155"/>
      <c r="E2" s="155"/>
      <c r="F2" s="155"/>
      <c r="G2" s="155"/>
      <c r="H2" s="600"/>
      <c r="I2" s="600"/>
      <c r="J2" s="600"/>
      <c r="K2" s="600"/>
      <c r="L2" s="600"/>
      <c r="M2" s="600"/>
      <c r="N2" s="600"/>
      <c r="O2" s="600"/>
      <c r="P2" s="600"/>
      <c r="Q2" s="600"/>
      <c r="R2" s="600"/>
      <c r="S2" s="600"/>
      <c r="T2" s="600"/>
      <c r="U2" s="600"/>
      <c r="V2" s="600"/>
      <c r="W2" s="600"/>
      <c r="X2" s="600"/>
      <c r="Y2" s="600"/>
      <c r="Z2" s="600"/>
      <c r="AA2" s="600"/>
      <c r="AB2" s="600"/>
      <c r="AC2" s="600"/>
      <c r="AD2" s="600"/>
      <c r="AE2" s="600"/>
      <c r="AF2" s="600"/>
      <c r="AG2" s="600"/>
      <c r="AH2" s="600"/>
      <c r="AI2" s="600"/>
      <c r="AJ2" s="600"/>
      <c r="AK2" s="600"/>
      <c r="AL2" s="600"/>
      <c r="AM2" s="600"/>
      <c r="AN2" s="600"/>
      <c r="AO2" s="600"/>
      <c r="AP2" s="600"/>
      <c r="AQ2" s="600"/>
      <c r="AR2" s="600"/>
      <c r="AS2" s="600"/>
      <c r="AT2" s="142"/>
      <c r="AU2" s="155"/>
    </row>
    <row r="3" spans="1:47" ht="30" customHeight="1" x14ac:dyDescent="0.3">
      <c r="A3" s="155"/>
      <c r="B3" s="155"/>
      <c r="C3" s="155"/>
      <c r="D3" s="155"/>
      <c r="E3" s="155"/>
      <c r="F3" s="155"/>
      <c r="G3" s="155"/>
      <c r="H3" s="600"/>
      <c r="I3" s="600"/>
      <c r="J3" s="600"/>
      <c r="K3" s="600"/>
      <c r="L3" s="600"/>
      <c r="M3" s="600"/>
      <c r="N3" s="600"/>
      <c r="O3" s="600"/>
      <c r="P3" s="600"/>
      <c r="Q3" s="600"/>
      <c r="R3" s="600"/>
      <c r="S3" s="600"/>
      <c r="T3" s="600"/>
      <c r="U3" s="600"/>
      <c r="V3" s="600"/>
      <c r="W3" s="600"/>
      <c r="X3" s="600"/>
      <c r="Y3" s="600"/>
      <c r="Z3" s="600"/>
      <c r="AA3" s="600"/>
      <c r="AB3" s="600"/>
      <c r="AC3" s="600"/>
      <c r="AD3" s="600"/>
      <c r="AE3" s="600"/>
      <c r="AF3" s="600"/>
      <c r="AG3" s="600"/>
      <c r="AH3" s="600"/>
      <c r="AI3" s="600"/>
      <c r="AJ3" s="600"/>
      <c r="AK3" s="600"/>
      <c r="AL3" s="600"/>
      <c r="AM3" s="600"/>
      <c r="AN3" s="600"/>
      <c r="AO3" s="600"/>
      <c r="AP3" s="600"/>
      <c r="AQ3" s="600"/>
      <c r="AR3" s="600"/>
      <c r="AS3" s="600"/>
      <c r="AT3" s="142"/>
      <c r="AU3" s="155"/>
    </row>
    <row r="4" spans="1:47" s="163" customFormat="1" ht="30" customHeight="1" x14ac:dyDescent="0.25">
      <c r="A4" s="162"/>
      <c r="B4" s="162"/>
      <c r="C4" s="162"/>
      <c r="D4" s="162"/>
      <c r="E4" s="162"/>
      <c r="F4" s="162"/>
      <c r="G4" s="162"/>
      <c r="H4" s="555" t="s">
        <v>233</v>
      </c>
      <c r="I4" s="555"/>
      <c r="J4" s="555"/>
      <c r="K4" s="555"/>
      <c r="L4" s="555"/>
      <c r="M4" s="555"/>
      <c r="N4" s="555"/>
      <c r="O4" s="555"/>
      <c r="P4" s="555"/>
      <c r="Q4" s="555"/>
      <c r="R4" s="555"/>
      <c r="S4" s="555"/>
      <c r="T4" s="555"/>
      <c r="U4" s="555"/>
      <c r="V4" s="555"/>
      <c r="W4" s="555"/>
      <c r="X4" s="555"/>
      <c r="Y4" s="555"/>
      <c r="Z4" s="555"/>
      <c r="AA4" s="555"/>
      <c r="AB4" s="555"/>
      <c r="AC4" s="555"/>
      <c r="AD4" s="555"/>
      <c r="AE4" s="555"/>
      <c r="AF4" s="555"/>
      <c r="AG4" s="555"/>
      <c r="AH4" s="555"/>
      <c r="AI4" s="555"/>
      <c r="AJ4" s="555"/>
      <c r="AK4" s="555"/>
      <c r="AL4" s="555"/>
      <c r="AM4" s="555"/>
      <c r="AN4" s="555"/>
      <c r="AO4" s="555"/>
      <c r="AP4" s="555"/>
      <c r="AQ4" s="555"/>
      <c r="AR4" s="555"/>
      <c r="AS4" s="555"/>
      <c r="AT4" s="161"/>
      <c r="AU4" s="162"/>
    </row>
    <row r="5" spans="1:47" ht="30" customHeight="1" x14ac:dyDescent="0.4">
      <c r="A5" s="155"/>
      <c r="B5" s="155"/>
      <c r="C5" s="155"/>
      <c r="D5" s="155"/>
      <c r="E5" s="155"/>
      <c r="F5" s="155"/>
      <c r="G5" s="155"/>
      <c r="H5" s="164"/>
      <c r="I5" s="164"/>
      <c r="J5" s="164"/>
      <c r="K5" s="164"/>
      <c r="L5" s="164"/>
      <c r="M5" s="164"/>
      <c r="N5" s="164"/>
      <c r="O5" s="164"/>
      <c r="P5" s="164"/>
      <c r="Q5" s="164"/>
      <c r="R5" s="164"/>
      <c r="S5" s="164"/>
      <c r="T5" s="164"/>
      <c r="U5" s="164"/>
      <c r="V5" s="164"/>
      <c r="W5" s="164"/>
      <c r="X5" s="164"/>
      <c r="Y5" s="164"/>
      <c r="Z5" s="164"/>
      <c r="AA5" s="164"/>
      <c r="AB5" s="164"/>
      <c r="AC5" s="164"/>
      <c r="AD5" s="164"/>
      <c r="AE5" s="164"/>
      <c r="AF5" s="164"/>
      <c r="AG5" s="164"/>
      <c r="AH5" s="164"/>
      <c r="AI5" s="164"/>
      <c r="AJ5" s="164"/>
      <c r="AK5" s="164"/>
      <c r="AL5" s="164"/>
      <c r="AM5" s="164"/>
      <c r="AN5" s="164"/>
      <c r="AO5" s="164"/>
      <c r="AP5" s="164"/>
      <c r="AQ5" s="164"/>
      <c r="AR5" s="164"/>
      <c r="AS5" s="164"/>
      <c r="AT5" s="142"/>
      <c r="AU5" s="155"/>
    </row>
    <row r="6" spans="1:47" ht="30" customHeight="1" x14ac:dyDescent="0.3">
      <c r="A6" s="155"/>
      <c r="B6" s="155"/>
      <c r="C6" s="155"/>
      <c r="D6" s="155"/>
      <c r="E6" s="155"/>
      <c r="F6" s="155"/>
      <c r="G6" s="155"/>
      <c r="H6" s="556" t="s">
        <v>680</v>
      </c>
      <c r="I6" s="556"/>
      <c r="J6" s="556"/>
      <c r="K6" s="556"/>
      <c r="L6" s="556"/>
      <c r="M6" s="556"/>
      <c r="N6" s="556"/>
      <c r="O6" s="556"/>
      <c r="P6" s="556"/>
      <c r="Q6" s="556"/>
      <c r="R6" s="556"/>
      <c r="S6" s="556"/>
      <c r="T6" s="556"/>
      <c r="U6" s="556"/>
      <c r="V6" s="556"/>
      <c r="W6" s="556"/>
      <c r="X6" s="556"/>
      <c r="Y6" s="556"/>
      <c r="Z6" s="556"/>
      <c r="AA6" s="556"/>
      <c r="AB6" s="556"/>
      <c r="AC6" s="556"/>
      <c r="AD6" s="556"/>
      <c r="AE6" s="556"/>
      <c r="AF6" s="556"/>
      <c r="AG6" s="556"/>
      <c r="AH6" s="556"/>
      <c r="AI6" s="556"/>
      <c r="AJ6" s="556"/>
      <c r="AK6" s="556"/>
      <c r="AL6" s="556"/>
      <c r="AM6" s="556"/>
      <c r="AN6" s="556"/>
      <c r="AO6" s="556"/>
      <c r="AP6" s="556"/>
      <c r="AQ6" s="556"/>
      <c r="AR6" s="556"/>
      <c r="AS6" s="556"/>
      <c r="AT6" s="142"/>
      <c r="AU6" s="155"/>
    </row>
    <row r="7" spans="1:47" s="143" customFormat="1" ht="30" customHeight="1" x14ac:dyDescent="0.3">
      <c r="A7" s="142"/>
      <c r="B7" s="142"/>
      <c r="C7" s="142"/>
      <c r="D7" s="142"/>
      <c r="E7" s="142"/>
      <c r="F7" s="142"/>
      <c r="G7" s="142"/>
      <c r="H7" s="592" t="s">
        <v>771</v>
      </c>
      <c r="I7" s="592"/>
      <c r="J7" s="592"/>
      <c r="K7" s="592"/>
      <c r="L7" s="592"/>
      <c r="M7" s="592"/>
      <c r="N7" s="592"/>
      <c r="O7" s="592"/>
      <c r="P7" s="592"/>
      <c r="Q7" s="592"/>
      <c r="R7" s="592"/>
      <c r="S7" s="592"/>
      <c r="T7" s="592"/>
      <c r="U7" s="592"/>
      <c r="V7" s="592"/>
      <c r="W7" s="592"/>
      <c r="X7" s="592"/>
      <c r="Y7" s="592"/>
      <c r="Z7" s="592"/>
      <c r="AA7" s="592"/>
      <c r="AB7" s="592"/>
      <c r="AC7" s="592"/>
      <c r="AD7" s="592"/>
      <c r="AE7" s="592"/>
      <c r="AF7" s="592"/>
      <c r="AG7" s="592"/>
      <c r="AH7" s="592"/>
      <c r="AI7" s="592"/>
      <c r="AJ7" s="592"/>
      <c r="AK7" s="592"/>
      <c r="AL7" s="592"/>
      <c r="AM7" s="592"/>
      <c r="AN7" s="592"/>
      <c r="AO7" s="592"/>
      <c r="AP7" s="592"/>
      <c r="AQ7" s="592"/>
      <c r="AR7" s="592"/>
      <c r="AS7" s="592"/>
      <c r="AT7" s="142"/>
      <c r="AU7" s="142"/>
    </row>
    <row r="8" spans="1:47" s="143" customFormat="1" ht="30" customHeight="1" x14ac:dyDescent="0.3">
      <c r="A8" s="142"/>
      <c r="B8" s="142"/>
      <c r="C8" s="142"/>
      <c r="D8" s="142"/>
      <c r="E8" s="142"/>
      <c r="F8" s="142"/>
      <c r="G8" s="142"/>
      <c r="H8" s="165"/>
      <c r="I8" s="165"/>
      <c r="J8" s="165"/>
      <c r="K8" s="165"/>
      <c r="L8" s="165"/>
      <c r="M8" s="165"/>
      <c r="N8" s="165"/>
      <c r="O8" s="165"/>
      <c r="P8" s="165"/>
      <c r="Q8" s="165"/>
      <c r="R8" s="165"/>
      <c r="S8" s="165"/>
      <c r="T8" s="165"/>
      <c r="U8" s="165"/>
      <c r="V8" s="572" t="s">
        <v>252</v>
      </c>
      <c r="W8" s="573"/>
      <c r="X8" s="573"/>
      <c r="Y8" s="573"/>
      <c r="Z8" s="573"/>
      <c r="AA8" s="573"/>
      <c r="AB8" s="573"/>
      <c r="AC8" s="573"/>
      <c r="AD8" s="574"/>
      <c r="AE8" s="166"/>
      <c r="AF8" s="166"/>
      <c r="AG8" s="166"/>
      <c r="AH8" s="572" t="s">
        <v>246</v>
      </c>
      <c r="AI8" s="573"/>
      <c r="AJ8" s="573"/>
      <c r="AK8" s="573"/>
      <c r="AL8" s="573"/>
      <c r="AM8" s="573"/>
      <c r="AN8" s="573"/>
      <c r="AO8" s="573"/>
      <c r="AP8" s="574"/>
      <c r="AQ8" s="167"/>
      <c r="AR8" s="167"/>
      <c r="AS8" s="167"/>
      <c r="AT8" s="142"/>
      <c r="AU8" s="142"/>
    </row>
    <row r="9" spans="1:47" s="143" customFormat="1" ht="30" customHeight="1" x14ac:dyDescent="0.3">
      <c r="A9" s="142"/>
      <c r="B9" s="142"/>
      <c r="C9" s="142"/>
      <c r="D9" s="142"/>
      <c r="E9" s="142"/>
      <c r="F9" s="142"/>
      <c r="G9" s="142"/>
      <c r="H9" s="568" t="s">
        <v>232</v>
      </c>
      <c r="I9" s="569"/>
      <c r="J9" s="569"/>
      <c r="K9" s="569"/>
      <c r="L9" s="569"/>
      <c r="M9" s="569"/>
      <c r="N9" s="569"/>
      <c r="O9" s="569"/>
      <c r="P9" s="569"/>
      <c r="Q9" s="564" t="s">
        <v>229</v>
      </c>
      <c r="R9" s="564"/>
      <c r="S9" s="564" t="s">
        <v>243</v>
      </c>
      <c r="T9" s="564"/>
      <c r="U9" s="564"/>
      <c r="V9" s="575" t="s">
        <v>803</v>
      </c>
      <c r="W9" s="575"/>
      <c r="X9" s="575"/>
      <c r="Y9" s="564" t="s">
        <v>256</v>
      </c>
      <c r="Z9" s="564"/>
      <c r="AA9" s="564"/>
      <c r="AB9" s="564" t="s">
        <v>250</v>
      </c>
      <c r="AC9" s="564"/>
      <c r="AD9" s="564"/>
      <c r="AE9" s="564" t="s">
        <v>253</v>
      </c>
      <c r="AF9" s="564"/>
      <c r="AG9" s="564"/>
      <c r="AH9" s="564" t="s">
        <v>248</v>
      </c>
      <c r="AI9" s="564"/>
      <c r="AJ9" s="564"/>
      <c r="AK9" s="564" t="s">
        <v>249</v>
      </c>
      <c r="AL9" s="564"/>
      <c r="AM9" s="564"/>
      <c r="AN9" s="564" t="s">
        <v>250</v>
      </c>
      <c r="AO9" s="564"/>
      <c r="AP9" s="564"/>
      <c r="AQ9" s="564" t="s">
        <v>247</v>
      </c>
      <c r="AR9" s="564"/>
      <c r="AS9" s="566"/>
      <c r="AT9" s="142"/>
      <c r="AU9" s="142"/>
    </row>
    <row r="10" spans="1:47" s="143" customFormat="1" ht="30" customHeight="1" x14ac:dyDescent="0.3">
      <c r="A10" s="142"/>
      <c r="B10" s="142"/>
      <c r="C10" s="142"/>
      <c r="D10" s="142"/>
      <c r="E10" s="142"/>
      <c r="F10" s="142"/>
      <c r="G10" s="142"/>
      <c r="H10" s="570"/>
      <c r="I10" s="571"/>
      <c r="J10" s="571"/>
      <c r="K10" s="571"/>
      <c r="L10" s="571"/>
      <c r="M10" s="571"/>
      <c r="N10" s="571"/>
      <c r="O10" s="571"/>
      <c r="P10" s="571"/>
      <c r="Q10" s="565"/>
      <c r="R10" s="565"/>
      <c r="S10" s="565"/>
      <c r="T10" s="565"/>
      <c r="U10" s="565"/>
      <c r="V10" s="576"/>
      <c r="W10" s="576"/>
      <c r="X10" s="576"/>
      <c r="Y10" s="565"/>
      <c r="Z10" s="565"/>
      <c r="AA10" s="565"/>
      <c r="AB10" s="565"/>
      <c r="AC10" s="565"/>
      <c r="AD10" s="565"/>
      <c r="AE10" s="565"/>
      <c r="AF10" s="565"/>
      <c r="AG10" s="565"/>
      <c r="AH10" s="565"/>
      <c r="AI10" s="565"/>
      <c r="AJ10" s="565"/>
      <c r="AK10" s="565"/>
      <c r="AL10" s="565"/>
      <c r="AM10" s="565"/>
      <c r="AN10" s="565"/>
      <c r="AO10" s="565"/>
      <c r="AP10" s="565"/>
      <c r="AQ10" s="565"/>
      <c r="AR10" s="565"/>
      <c r="AS10" s="567"/>
      <c r="AT10" s="142"/>
      <c r="AU10" s="142"/>
    </row>
    <row r="11" spans="1:47" s="143" customFormat="1" ht="30" customHeight="1" x14ac:dyDescent="0.3">
      <c r="A11" s="142"/>
      <c r="B11" s="142"/>
      <c r="C11" s="142"/>
      <c r="D11" s="142"/>
      <c r="E11" s="142"/>
      <c r="F11" s="142"/>
      <c r="G11" s="142"/>
      <c r="H11" s="557" t="s">
        <v>196</v>
      </c>
      <c r="I11" s="558"/>
      <c r="J11" s="558"/>
      <c r="K11" s="558"/>
      <c r="L11" s="558"/>
      <c r="M11" s="558"/>
      <c r="N11" s="558"/>
      <c r="O11" s="558"/>
      <c r="P11" s="558"/>
      <c r="Q11" s="580">
        <f>VLOOKUP(H11,ResearchInput[],8,FALSE)</f>
        <v>30</v>
      </c>
      <c r="R11" s="580"/>
      <c r="S11" s="561">
        <f>SUMIFS(ResearchInput[T.Fed],ResearchInput[Institution Name],H11)</f>
        <v>376044963</v>
      </c>
      <c r="T11" s="562"/>
      <c r="U11" s="577"/>
      <c r="V11" s="532">
        <f>SUMIFS(ResearchInput[T.St],ResearchInput[Institution Name],H11)</f>
        <v>65955368</v>
      </c>
      <c r="W11" s="532"/>
      <c r="X11" s="532"/>
      <c r="Y11" s="532">
        <f>SUMIFS(ResearchInput[T.St.C&amp;G],ResearchInput[Institution Name],H11)</f>
        <v>43549222</v>
      </c>
      <c r="Z11" s="532"/>
      <c r="AA11" s="532"/>
      <c r="AB11" s="532">
        <f>SUMIFS(ResearchInput[T.St.All],ResearchInput[Institution Name],H11)</f>
        <v>0</v>
      </c>
      <c r="AC11" s="532"/>
      <c r="AD11" s="532"/>
      <c r="AE11" s="561">
        <f>SUMIFS(ResearchInput[T.Inst],ResearchInput[Institution Name],H11)</f>
        <v>96540184</v>
      </c>
      <c r="AF11" s="562"/>
      <c r="AG11" s="577"/>
      <c r="AH11" s="532">
        <f>SUMIFS(ResearchInput[T.P4P],ResearchInput[Institution Name],H11)</f>
        <v>70861509</v>
      </c>
      <c r="AI11" s="532"/>
      <c r="AJ11" s="532"/>
      <c r="AK11" s="532">
        <f>SUMIFS(ResearchInput[T.PNP],ResearchInput[Institution Name],H11)</f>
        <v>159569928</v>
      </c>
      <c r="AL11" s="532"/>
      <c r="AM11" s="532"/>
      <c r="AN11" s="532">
        <f>SUMIFS(ResearchInput[T.P.All],ResearchInput[Institution Name],H11)</f>
        <v>0</v>
      </c>
      <c r="AO11" s="532"/>
      <c r="AP11" s="532"/>
      <c r="AQ11" s="561">
        <f>SUM(S11:AP11)</f>
        <v>812521174</v>
      </c>
      <c r="AR11" s="562"/>
      <c r="AS11" s="563"/>
      <c r="AT11" s="142"/>
      <c r="AU11" s="142"/>
    </row>
    <row r="12" spans="1:47" s="143" customFormat="1" ht="30" customHeight="1" x14ac:dyDescent="0.3">
      <c r="A12" s="142"/>
      <c r="B12" s="142"/>
      <c r="C12" s="142"/>
      <c r="D12" s="142"/>
      <c r="E12" s="142"/>
      <c r="F12" s="142"/>
      <c r="G12" s="142"/>
      <c r="H12" s="559" t="s">
        <v>198</v>
      </c>
      <c r="I12" s="560"/>
      <c r="J12" s="560"/>
      <c r="K12" s="560"/>
      <c r="L12" s="560"/>
      <c r="M12" s="560"/>
      <c r="N12" s="560"/>
      <c r="O12" s="560"/>
      <c r="P12" s="560"/>
      <c r="Q12" s="581">
        <f>VLOOKUP(H12,ResearchInput[],8,FALSE)</f>
        <v>104952</v>
      </c>
      <c r="R12" s="581"/>
      <c r="S12" s="586">
        <f>SUMIFS(ResearchInput[T.Fed],ResearchInput[Institution Name],H12)</f>
        <v>165060048</v>
      </c>
      <c r="T12" s="537"/>
      <c r="U12" s="587"/>
      <c r="V12" s="537">
        <f>SUMIFS(ResearchInput[T.St],ResearchInput[Institution Name],H12)</f>
        <v>968479</v>
      </c>
      <c r="W12" s="537"/>
      <c r="X12" s="537"/>
      <c r="Y12" s="537">
        <f>SUMIFS(ResearchInput[T.St.C&amp;G],ResearchInput[Institution Name],H12)</f>
        <v>7833103</v>
      </c>
      <c r="Z12" s="537"/>
      <c r="AA12" s="537"/>
      <c r="AB12" s="537">
        <f>SUMIFS(ResearchInput[T.St.All],ResearchInput[Institution Name],H12)</f>
        <v>0</v>
      </c>
      <c r="AC12" s="537"/>
      <c r="AD12" s="537"/>
      <c r="AE12" s="586">
        <f>SUMIFS(ResearchInput[T.Inst],ResearchInput[Institution Name],H12)</f>
        <v>24631707</v>
      </c>
      <c r="AF12" s="537"/>
      <c r="AG12" s="587"/>
      <c r="AH12" s="537">
        <f>SUMIFS(ResearchInput[T.P4P],ResearchInput[Institution Name],H12)</f>
        <v>5220185</v>
      </c>
      <c r="AI12" s="537"/>
      <c r="AJ12" s="537"/>
      <c r="AK12" s="537">
        <f>SUMIFS(ResearchInput[T.PNP],ResearchInput[Institution Name],H12)</f>
        <v>16597109</v>
      </c>
      <c r="AL12" s="537"/>
      <c r="AM12" s="537"/>
      <c r="AN12" s="537">
        <f>SUMIFS(ResearchInput[T.P.All],ResearchInput[Institution Name],H12)</f>
        <v>0</v>
      </c>
      <c r="AO12" s="537"/>
      <c r="AP12" s="537"/>
      <c r="AQ12" s="586">
        <f t="shared" ref="AQ12:AQ24" si="0">SUM(S12:AP12)</f>
        <v>220310631</v>
      </c>
      <c r="AR12" s="537"/>
      <c r="AS12" s="540"/>
      <c r="AT12" s="142"/>
      <c r="AU12" s="142"/>
    </row>
    <row r="13" spans="1:47" s="143" customFormat="1" ht="30" customHeight="1" x14ac:dyDescent="0.3">
      <c r="A13" s="142"/>
      <c r="B13" s="142"/>
      <c r="C13" s="142"/>
      <c r="D13" s="142"/>
      <c r="E13" s="142"/>
      <c r="F13" s="142"/>
      <c r="G13" s="142"/>
      <c r="H13" s="557" t="s">
        <v>199</v>
      </c>
      <c r="I13" s="558"/>
      <c r="J13" s="558"/>
      <c r="K13" s="558"/>
      <c r="L13" s="558"/>
      <c r="M13" s="558"/>
      <c r="N13" s="558"/>
      <c r="O13" s="558"/>
      <c r="P13" s="558"/>
      <c r="Q13" s="580">
        <f>VLOOKUP(H13,ResearchInput[],8,FALSE)</f>
        <v>11618</v>
      </c>
      <c r="R13" s="580"/>
      <c r="S13" s="588">
        <f>SUMIFS(ResearchInput[T.Fed],ResearchInput[Institution Name],H13)</f>
        <v>241439339</v>
      </c>
      <c r="T13" s="532"/>
      <c r="U13" s="589"/>
      <c r="V13" s="532">
        <f>SUMIFS(ResearchInput[T.St],ResearchInput[Institution Name],H13)</f>
        <v>29085085</v>
      </c>
      <c r="W13" s="532"/>
      <c r="X13" s="532"/>
      <c r="Y13" s="532">
        <f>SUMIFS(ResearchInput[T.St.C&amp;G],ResearchInput[Institution Name],H13)</f>
        <v>24437411</v>
      </c>
      <c r="Z13" s="532"/>
      <c r="AA13" s="532"/>
      <c r="AB13" s="532">
        <f>SUMIFS(ResearchInput[T.St.All],ResearchInput[Institution Name],H13)</f>
        <v>0</v>
      </c>
      <c r="AC13" s="532"/>
      <c r="AD13" s="532"/>
      <c r="AE13" s="588">
        <f>SUMIFS(ResearchInput[T.Inst],ResearchInput[Institution Name],H13)</f>
        <v>49686035</v>
      </c>
      <c r="AF13" s="532"/>
      <c r="AG13" s="589"/>
      <c r="AH13" s="532">
        <f>SUMIFS(ResearchInput[T.P4P],ResearchInput[Institution Name],H13)</f>
        <v>21147939</v>
      </c>
      <c r="AI13" s="532"/>
      <c r="AJ13" s="532"/>
      <c r="AK13" s="532">
        <f>SUMIFS(ResearchInput[T.PNP],ResearchInput[Institution Name],H13)</f>
        <v>50962072</v>
      </c>
      <c r="AL13" s="532"/>
      <c r="AM13" s="532"/>
      <c r="AN13" s="532">
        <f>SUMIFS(ResearchInput[T.P.All],ResearchInput[Institution Name],H13)</f>
        <v>0</v>
      </c>
      <c r="AO13" s="532"/>
      <c r="AP13" s="532"/>
      <c r="AQ13" s="588">
        <f t="shared" si="0"/>
        <v>416757881</v>
      </c>
      <c r="AR13" s="532"/>
      <c r="AS13" s="533"/>
      <c r="AT13" s="142"/>
      <c r="AU13" s="142"/>
    </row>
    <row r="14" spans="1:47" s="143" customFormat="1" ht="30" customHeight="1" x14ac:dyDescent="0.3">
      <c r="A14" s="142"/>
      <c r="B14" s="142"/>
      <c r="C14" s="142"/>
      <c r="D14" s="142"/>
      <c r="E14" s="142"/>
      <c r="F14" s="142"/>
      <c r="G14" s="142"/>
      <c r="H14" s="559" t="s">
        <v>200</v>
      </c>
      <c r="I14" s="560"/>
      <c r="J14" s="560"/>
      <c r="K14" s="560"/>
      <c r="L14" s="560"/>
      <c r="M14" s="560"/>
      <c r="N14" s="560"/>
      <c r="O14" s="560"/>
      <c r="P14" s="560"/>
      <c r="Q14" s="581">
        <f>VLOOKUP(H14,ResearchInput[],8,FALSE)</f>
        <v>40</v>
      </c>
      <c r="R14" s="581"/>
      <c r="S14" s="586">
        <f>SUMIFS(ResearchInput[T.Fed],ResearchInput[Institution Name],H14)</f>
        <v>180697236</v>
      </c>
      <c r="T14" s="537"/>
      <c r="U14" s="587"/>
      <c r="V14" s="537">
        <f>SUMIFS(ResearchInput[T.St],ResearchInput[Institution Name],H14)</f>
        <v>27611400</v>
      </c>
      <c r="W14" s="537"/>
      <c r="X14" s="537"/>
      <c r="Y14" s="537">
        <f>SUMIFS(ResearchInput[T.St.C&amp;G],ResearchInput[Institution Name],H14)</f>
        <v>14050445</v>
      </c>
      <c r="Z14" s="537"/>
      <c r="AA14" s="537"/>
      <c r="AB14" s="537">
        <f>SUMIFS(ResearchInput[T.St.All],ResearchInput[Institution Name],H14)</f>
        <v>0</v>
      </c>
      <c r="AC14" s="537"/>
      <c r="AD14" s="537"/>
      <c r="AE14" s="586">
        <f>SUMIFS(ResearchInput[T.Inst],ResearchInput[Institution Name],H14)</f>
        <v>47491487</v>
      </c>
      <c r="AF14" s="537"/>
      <c r="AG14" s="587"/>
      <c r="AH14" s="537">
        <f>SUMIFS(ResearchInput[T.P4P],ResearchInput[Institution Name],H14)</f>
        <v>19114114</v>
      </c>
      <c r="AI14" s="537"/>
      <c r="AJ14" s="537"/>
      <c r="AK14" s="537">
        <f>SUMIFS(ResearchInput[T.PNP],ResearchInput[Institution Name],H14)</f>
        <v>26261961</v>
      </c>
      <c r="AL14" s="537"/>
      <c r="AM14" s="537"/>
      <c r="AN14" s="537">
        <f>SUMIFS(ResearchInput[T.P.All],ResearchInput[Institution Name],H14)</f>
        <v>0</v>
      </c>
      <c r="AO14" s="537"/>
      <c r="AP14" s="537"/>
      <c r="AQ14" s="586">
        <f t="shared" si="0"/>
        <v>315226643</v>
      </c>
      <c r="AR14" s="537"/>
      <c r="AS14" s="540"/>
      <c r="AT14" s="142"/>
      <c r="AU14" s="142"/>
    </row>
    <row r="15" spans="1:47" s="143" customFormat="1" ht="30" customHeight="1" x14ac:dyDescent="0.3">
      <c r="A15" s="142"/>
      <c r="B15" s="142"/>
      <c r="C15" s="142"/>
      <c r="D15" s="142"/>
      <c r="E15" s="142"/>
      <c r="F15" s="142"/>
      <c r="G15" s="142"/>
      <c r="H15" s="557" t="s">
        <v>762</v>
      </c>
      <c r="I15" s="558"/>
      <c r="J15" s="558"/>
      <c r="K15" s="558"/>
      <c r="L15" s="558"/>
      <c r="M15" s="558"/>
      <c r="N15" s="558"/>
      <c r="O15" s="558"/>
      <c r="P15" s="558"/>
      <c r="Q15" s="580">
        <f>VLOOKUP(H15,ResearchInput[],8,FALSE)</f>
        <v>203599</v>
      </c>
      <c r="R15" s="580"/>
      <c r="S15" s="588">
        <f>SUMIFS(ResearchInput[T.Fed],ResearchInput[Institution Name],H15)</f>
        <v>14831330</v>
      </c>
      <c r="T15" s="532"/>
      <c r="U15" s="589"/>
      <c r="V15" s="532">
        <f>SUMIFS(ResearchInput[T.St],ResearchInput[Institution Name],H15)</f>
        <v>5233126</v>
      </c>
      <c r="W15" s="532"/>
      <c r="X15" s="532"/>
      <c r="Y15" s="532">
        <f>SUMIFS(ResearchInput[T.St.C&amp;G],ResearchInput[Institution Name],H15)</f>
        <v>1977176</v>
      </c>
      <c r="Z15" s="532"/>
      <c r="AA15" s="532"/>
      <c r="AB15" s="532">
        <f>SUMIFS(ResearchInput[T.St.All],ResearchInput[Institution Name],H15)</f>
        <v>0</v>
      </c>
      <c r="AC15" s="532"/>
      <c r="AD15" s="532"/>
      <c r="AE15" s="588">
        <f>SUMIFS(ResearchInput[T.Inst],ResearchInput[Institution Name],H15)</f>
        <v>3244292</v>
      </c>
      <c r="AF15" s="532"/>
      <c r="AG15" s="589"/>
      <c r="AH15" s="532">
        <f>SUMIFS(ResearchInput[T.P4P],ResearchInput[Institution Name],H15)</f>
        <v>273824</v>
      </c>
      <c r="AI15" s="532"/>
      <c r="AJ15" s="532"/>
      <c r="AK15" s="532">
        <f>SUMIFS(ResearchInput[T.PNP],ResearchInput[Institution Name],H15)</f>
        <v>4156561</v>
      </c>
      <c r="AL15" s="532"/>
      <c r="AM15" s="532"/>
      <c r="AN15" s="532">
        <f>SUMIFS(ResearchInput[T.P.All],ResearchInput[Institution Name],H15)</f>
        <v>116800</v>
      </c>
      <c r="AO15" s="532"/>
      <c r="AP15" s="532"/>
      <c r="AQ15" s="588">
        <f t="shared" si="0"/>
        <v>29833109</v>
      </c>
      <c r="AR15" s="532"/>
      <c r="AS15" s="533"/>
      <c r="AT15" s="142"/>
      <c r="AU15" s="142"/>
    </row>
    <row r="16" spans="1:47" s="143" customFormat="1" ht="30" customHeight="1" x14ac:dyDescent="0.3">
      <c r="A16" s="142"/>
      <c r="B16" s="142"/>
      <c r="C16" s="142"/>
      <c r="D16" s="142"/>
      <c r="E16" s="142"/>
      <c r="F16" s="142"/>
      <c r="G16" s="142"/>
      <c r="H16" s="559" t="s">
        <v>201</v>
      </c>
      <c r="I16" s="560"/>
      <c r="J16" s="560"/>
      <c r="K16" s="560"/>
      <c r="L16" s="560"/>
      <c r="M16" s="560"/>
      <c r="N16" s="560"/>
      <c r="O16" s="560"/>
      <c r="P16" s="560"/>
      <c r="Q16" s="581">
        <f>VLOOKUP(H16,ResearchInput[],8,FALSE)</f>
        <v>25554</v>
      </c>
      <c r="R16" s="581"/>
      <c r="S16" s="586">
        <f>SUMIFS(ResearchInput[T.Fed],ResearchInput[Institution Name],H16)</f>
        <v>274704316</v>
      </c>
      <c r="T16" s="537"/>
      <c r="U16" s="587"/>
      <c r="V16" s="537">
        <f>SUMIFS(ResearchInput[T.St],ResearchInput[Institution Name],H16)</f>
        <v>19450387</v>
      </c>
      <c r="W16" s="537"/>
      <c r="X16" s="537"/>
      <c r="Y16" s="537">
        <f>SUMIFS(ResearchInput[T.St.C&amp;G],ResearchInput[Institution Name],H16)</f>
        <v>43130591</v>
      </c>
      <c r="Z16" s="537"/>
      <c r="AA16" s="537"/>
      <c r="AB16" s="537">
        <f>SUMIFS(ResearchInput[T.St.All],ResearchInput[Institution Name],H16)</f>
        <v>302640538</v>
      </c>
      <c r="AC16" s="537"/>
      <c r="AD16" s="537"/>
      <c r="AE16" s="586">
        <f>SUMIFS(ResearchInput[T.Inst],ResearchInput[Institution Name],H16)</f>
        <v>212739400</v>
      </c>
      <c r="AF16" s="537"/>
      <c r="AG16" s="587"/>
      <c r="AH16" s="537">
        <f>SUMIFS(ResearchInput[T.P4P],ResearchInput[Institution Name],H16)</f>
        <v>270911401</v>
      </c>
      <c r="AI16" s="537"/>
      <c r="AJ16" s="537"/>
      <c r="AK16" s="537">
        <f>SUMIFS(ResearchInput[T.PNP],ResearchInput[Institution Name],H16)</f>
        <v>52530492</v>
      </c>
      <c r="AL16" s="537"/>
      <c r="AM16" s="537"/>
      <c r="AN16" s="537">
        <f>SUMIFS(ResearchInput[T.P.All],ResearchInput[Institution Name],H16)</f>
        <v>149669758</v>
      </c>
      <c r="AO16" s="537"/>
      <c r="AP16" s="537"/>
      <c r="AQ16" s="586">
        <f t="shared" si="0"/>
        <v>1325776883</v>
      </c>
      <c r="AR16" s="537"/>
      <c r="AS16" s="540"/>
      <c r="AT16" s="142"/>
      <c r="AU16" s="142"/>
    </row>
    <row r="17" spans="1:47" s="143" customFormat="1" ht="30" customHeight="1" x14ac:dyDescent="0.3">
      <c r="A17" s="142"/>
      <c r="B17" s="142"/>
      <c r="C17" s="142"/>
      <c r="D17" s="142"/>
      <c r="E17" s="142"/>
      <c r="F17" s="142"/>
      <c r="G17" s="142"/>
      <c r="H17" s="557" t="s">
        <v>202</v>
      </c>
      <c r="I17" s="558"/>
      <c r="J17" s="558"/>
      <c r="K17" s="558"/>
      <c r="L17" s="558"/>
      <c r="M17" s="558"/>
      <c r="N17" s="558"/>
      <c r="O17" s="558"/>
      <c r="P17" s="558"/>
      <c r="Q17" s="580">
        <f>VLOOKUP(H17,ResearchInput[],8,FALSE)</f>
        <v>42439</v>
      </c>
      <c r="R17" s="580"/>
      <c r="S17" s="588">
        <f>SUMIFS(ResearchInput[T.Fed],ResearchInput[Institution Name],H17)</f>
        <v>7540088</v>
      </c>
      <c r="T17" s="532"/>
      <c r="U17" s="589"/>
      <c r="V17" s="532">
        <f>SUMIFS(ResearchInput[T.St],ResearchInput[Institution Name],H17)</f>
        <v>9401184</v>
      </c>
      <c r="W17" s="532"/>
      <c r="X17" s="532"/>
      <c r="Y17" s="532">
        <f>SUMIFS(ResearchInput[T.St.C&amp;G],ResearchInput[Institution Name],H17)</f>
        <v>1092259</v>
      </c>
      <c r="Z17" s="532"/>
      <c r="AA17" s="532"/>
      <c r="AB17" s="532">
        <f>SUMIFS(ResearchInput[T.St.All],ResearchInput[Institution Name],H17)</f>
        <v>0</v>
      </c>
      <c r="AC17" s="532"/>
      <c r="AD17" s="532"/>
      <c r="AE17" s="588">
        <f>SUMIFS(ResearchInput[T.Inst],ResearchInput[Institution Name],H17)</f>
        <v>2302149</v>
      </c>
      <c r="AF17" s="532"/>
      <c r="AG17" s="589"/>
      <c r="AH17" s="532">
        <f>SUMIFS(ResearchInput[T.P4P],ResearchInput[Institution Name],H17)</f>
        <v>0</v>
      </c>
      <c r="AI17" s="532"/>
      <c r="AJ17" s="532"/>
      <c r="AK17" s="532">
        <f>SUMIFS(ResearchInput[T.PNP],ResearchInput[Institution Name],H17)</f>
        <v>1628979</v>
      </c>
      <c r="AL17" s="532"/>
      <c r="AM17" s="532"/>
      <c r="AN17" s="532">
        <f>SUMIFS(ResearchInput[T.P.All],ResearchInput[Institution Name],H17)</f>
        <v>0</v>
      </c>
      <c r="AO17" s="532"/>
      <c r="AP17" s="532"/>
      <c r="AQ17" s="588">
        <f t="shared" si="0"/>
        <v>21964659</v>
      </c>
      <c r="AR17" s="532"/>
      <c r="AS17" s="533"/>
      <c r="AT17" s="142"/>
      <c r="AU17" s="142"/>
    </row>
    <row r="18" spans="1:47" s="143" customFormat="1" ht="30" customHeight="1" x14ac:dyDescent="0.3">
      <c r="A18" s="142"/>
      <c r="B18" s="142"/>
      <c r="C18" s="142"/>
      <c r="D18" s="142"/>
      <c r="E18" s="142"/>
      <c r="F18" s="142"/>
      <c r="G18" s="142"/>
      <c r="H18" s="559" t="s">
        <v>209</v>
      </c>
      <c r="I18" s="560"/>
      <c r="J18" s="560"/>
      <c r="K18" s="560"/>
      <c r="L18" s="560"/>
      <c r="M18" s="560"/>
      <c r="N18" s="560"/>
      <c r="O18" s="560"/>
      <c r="P18" s="560"/>
      <c r="Q18" s="581">
        <f>VLOOKUP(H18,ResearchInput[],8,FALSE)</f>
        <v>203658</v>
      </c>
      <c r="R18" s="581"/>
      <c r="S18" s="586">
        <f>SUMIFS(ResearchInput[T.Fed],ResearchInput[Institution Name],H18)</f>
        <v>24088523</v>
      </c>
      <c r="T18" s="537"/>
      <c r="U18" s="587"/>
      <c r="V18" s="537">
        <f>SUMIFS(ResearchInput[T.St],ResearchInput[Institution Name],H18)</f>
        <v>3516005</v>
      </c>
      <c r="W18" s="537"/>
      <c r="X18" s="537"/>
      <c r="Y18" s="537">
        <f>SUMIFS(ResearchInput[T.St.C&amp;G],ResearchInput[Institution Name],H18)</f>
        <v>2619092</v>
      </c>
      <c r="Z18" s="537"/>
      <c r="AA18" s="537"/>
      <c r="AB18" s="537">
        <f>SUMIFS(ResearchInput[T.St.All],ResearchInput[Institution Name],H18)</f>
        <v>0</v>
      </c>
      <c r="AC18" s="537"/>
      <c r="AD18" s="537"/>
      <c r="AE18" s="586">
        <f>SUMIFS(ResearchInput[T.Inst],ResearchInput[Institution Name],H18)</f>
        <v>13709896</v>
      </c>
      <c r="AF18" s="537"/>
      <c r="AG18" s="587"/>
      <c r="AH18" s="537">
        <f>SUMIFS(ResearchInput[T.P4P],ResearchInput[Institution Name],H18)</f>
        <v>1289594</v>
      </c>
      <c r="AI18" s="537"/>
      <c r="AJ18" s="537"/>
      <c r="AK18" s="537">
        <f>SUMIFS(ResearchInput[T.PNP],ResearchInput[Institution Name],H18)</f>
        <v>6814261</v>
      </c>
      <c r="AL18" s="537"/>
      <c r="AM18" s="537"/>
      <c r="AN18" s="537">
        <f>SUMIFS(ResearchInput[T.P.All],ResearchInput[Institution Name],H18)</f>
        <v>4105496</v>
      </c>
      <c r="AO18" s="537"/>
      <c r="AP18" s="537"/>
      <c r="AQ18" s="586">
        <f t="shared" si="0"/>
        <v>56142867</v>
      </c>
      <c r="AR18" s="537"/>
      <c r="AS18" s="540"/>
      <c r="AT18" s="142"/>
      <c r="AU18" s="142"/>
    </row>
    <row r="19" spans="1:47" s="143" customFormat="1" ht="30" customHeight="1" x14ac:dyDescent="0.3">
      <c r="A19" s="142"/>
      <c r="B19" s="142"/>
      <c r="C19" s="142"/>
      <c r="D19" s="142"/>
      <c r="E19" s="142"/>
      <c r="F19" s="142"/>
      <c r="G19" s="142"/>
      <c r="H19" s="557" t="s">
        <v>234</v>
      </c>
      <c r="I19" s="558"/>
      <c r="J19" s="558"/>
      <c r="K19" s="558"/>
      <c r="L19" s="558"/>
      <c r="M19" s="558"/>
      <c r="N19" s="558"/>
      <c r="O19" s="558"/>
      <c r="P19" s="558"/>
      <c r="Q19" s="580">
        <f>VLOOKUP(H19,ResearchInput[],8,FALSE)</f>
        <v>89</v>
      </c>
      <c r="R19" s="580"/>
      <c r="S19" s="588">
        <f>SUMIFS(ResearchInput[T.Fed],ResearchInput[Institution Name],H19)</f>
        <v>75859785</v>
      </c>
      <c r="T19" s="532"/>
      <c r="U19" s="589"/>
      <c r="V19" s="532">
        <f>SUMIFS(ResearchInput[T.St],ResearchInput[Institution Name],H19)</f>
        <v>31605809</v>
      </c>
      <c r="W19" s="532"/>
      <c r="X19" s="532"/>
      <c r="Y19" s="532">
        <f>SUMIFS(ResearchInput[T.St.C&amp;G],ResearchInput[Institution Name],H19)</f>
        <v>13639909</v>
      </c>
      <c r="Z19" s="532"/>
      <c r="AA19" s="532"/>
      <c r="AB19" s="532">
        <f>SUMIFS(ResearchInput[T.St.All],ResearchInput[Institution Name],H19)</f>
        <v>0</v>
      </c>
      <c r="AC19" s="532"/>
      <c r="AD19" s="532"/>
      <c r="AE19" s="588">
        <f>SUMIFS(ResearchInput[T.Inst],ResearchInput[Institution Name],H19)</f>
        <v>29562230</v>
      </c>
      <c r="AF19" s="532"/>
      <c r="AG19" s="589"/>
      <c r="AH19" s="532">
        <f>SUMIFS(ResearchInput[T.P4P],ResearchInput[Institution Name],H19)</f>
        <v>15260582</v>
      </c>
      <c r="AI19" s="532"/>
      <c r="AJ19" s="532"/>
      <c r="AK19" s="532">
        <f>SUMIFS(ResearchInput[T.PNP],ResearchInput[Institution Name],H19)</f>
        <v>20000018</v>
      </c>
      <c r="AL19" s="532"/>
      <c r="AM19" s="532"/>
      <c r="AN19" s="532">
        <f>SUMIFS(ResearchInput[T.P.All],ResearchInput[Institution Name],H19)</f>
        <v>2036</v>
      </c>
      <c r="AO19" s="532"/>
      <c r="AP19" s="532"/>
      <c r="AQ19" s="588">
        <f t="shared" si="0"/>
        <v>185930369</v>
      </c>
      <c r="AR19" s="532"/>
      <c r="AS19" s="533"/>
      <c r="AT19" s="142"/>
      <c r="AU19" s="142"/>
    </row>
    <row r="20" spans="1:47" s="143" customFormat="1" ht="30" customHeight="1" x14ac:dyDescent="0.3">
      <c r="A20" s="142"/>
      <c r="B20" s="142"/>
      <c r="C20" s="142"/>
      <c r="D20" s="142"/>
      <c r="E20" s="142"/>
      <c r="F20" s="142"/>
      <c r="G20" s="142"/>
      <c r="H20" s="559" t="s">
        <v>203</v>
      </c>
      <c r="I20" s="560"/>
      <c r="J20" s="560"/>
      <c r="K20" s="560"/>
      <c r="L20" s="560"/>
      <c r="M20" s="560"/>
      <c r="N20" s="560"/>
      <c r="O20" s="560"/>
      <c r="P20" s="560"/>
      <c r="Q20" s="581">
        <f>VLOOKUP(H20,ResearchInput[],8,FALSE)</f>
        <v>130</v>
      </c>
      <c r="R20" s="581"/>
      <c r="S20" s="586">
        <f>SUMIFS(ResearchInput[T.Fed],ResearchInput[Institution Name],H20)</f>
        <v>108103391</v>
      </c>
      <c r="T20" s="537"/>
      <c r="U20" s="587"/>
      <c r="V20" s="537">
        <f>SUMIFS(ResearchInput[T.St],ResearchInput[Institution Name],H20)</f>
        <v>2162148</v>
      </c>
      <c r="W20" s="537"/>
      <c r="X20" s="537"/>
      <c r="Y20" s="537">
        <f>SUMIFS(ResearchInput[T.St.C&amp;G],ResearchInput[Institution Name],H20)</f>
        <v>695675</v>
      </c>
      <c r="Z20" s="537"/>
      <c r="AA20" s="537"/>
      <c r="AB20" s="537">
        <f>SUMIFS(ResearchInput[T.St.All],ResearchInput[Institution Name],H20)</f>
        <v>0</v>
      </c>
      <c r="AC20" s="537"/>
      <c r="AD20" s="537"/>
      <c r="AE20" s="586">
        <f>SUMIFS(ResearchInput[T.Inst],ResearchInput[Institution Name],H20)</f>
        <v>3121093</v>
      </c>
      <c r="AF20" s="537"/>
      <c r="AG20" s="587"/>
      <c r="AH20" s="537">
        <f>SUMIFS(ResearchInput[T.P4P],ResearchInput[Institution Name],H20)</f>
        <v>430113</v>
      </c>
      <c r="AI20" s="537"/>
      <c r="AJ20" s="537"/>
      <c r="AK20" s="537">
        <f>SUMIFS(ResearchInput[T.PNP],ResearchInput[Institution Name],H20)</f>
        <v>552048</v>
      </c>
      <c r="AL20" s="537"/>
      <c r="AM20" s="537"/>
      <c r="AN20" s="537">
        <f>SUMIFS(ResearchInput[T.P.All],ResearchInput[Institution Name],H20)</f>
        <v>335031</v>
      </c>
      <c r="AO20" s="537"/>
      <c r="AP20" s="537"/>
      <c r="AQ20" s="586">
        <f t="shared" si="0"/>
        <v>115399499</v>
      </c>
      <c r="AR20" s="537"/>
      <c r="AS20" s="540"/>
      <c r="AT20" s="142"/>
      <c r="AU20" s="142"/>
    </row>
    <row r="21" spans="1:47" s="143" customFormat="1" ht="30" customHeight="1" x14ac:dyDescent="0.3">
      <c r="A21" s="142"/>
      <c r="B21" s="142"/>
      <c r="C21" s="142"/>
      <c r="D21" s="142"/>
      <c r="E21" s="142"/>
      <c r="F21" s="142"/>
      <c r="G21" s="142"/>
      <c r="H21" s="557" t="s">
        <v>204</v>
      </c>
      <c r="I21" s="558"/>
      <c r="J21" s="558"/>
      <c r="K21" s="558"/>
      <c r="L21" s="558"/>
      <c r="M21" s="558"/>
      <c r="N21" s="558"/>
      <c r="O21" s="558"/>
      <c r="P21" s="558"/>
      <c r="Q21" s="580">
        <f>VLOOKUP(H21,ResearchInput[],8,FALSE)</f>
        <v>412</v>
      </c>
      <c r="R21" s="580"/>
      <c r="S21" s="588">
        <f>SUMIFS(ResearchInput[T.Fed],ResearchInput[Institution Name],H21)</f>
        <v>18713821</v>
      </c>
      <c r="T21" s="532"/>
      <c r="U21" s="589"/>
      <c r="V21" s="532">
        <f>SUMIFS(ResearchInput[T.St],ResearchInput[Institution Name],H21)</f>
        <v>12017028</v>
      </c>
      <c r="W21" s="532"/>
      <c r="X21" s="532"/>
      <c r="Y21" s="532">
        <f>SUMIFS(ResearchInput[T.St.C&amp;G],ResearchInput[Institution Name],H21)</f>
        <v>2983767</v>
      </c>
      <c r="Z21" s="532"/>
      <c r="AA21" s="532"/>
      <c r="AB21" s="532">
        <f>SUMIFS(ResearchInput[T.St.All],ResearchInput[Institution Name],H21)</f>
        <v>0</v>
      </c>
      <c r="AC21" s="532"/>
      <c r="AD21" s="532"/>
      <c r="AE21" s="588">
        <f>SUMIFS(ResearchInput[T.Inst],ResearchInput[Institution Name],H21)</f>
        <v>16236514</v>
      </c>
      <c r="AF21" s="532"/>
      <c r="AG21" s="589"/>
      <c r="AH21" s="532">
        <f>SUMIFS(ResearchInput[T.P4P],ResearchInput[Institution Name],H21)</f>
        <v>886467</v>
      </c>
      <c r="AI21" s="532"/>
      <c r="AJ21" s="532"/>
      <c r="AK21" s="532">
        <f>SUMIFS(ResearchInput[T.PNP],ResearchInput[Institution Name],H21)</f>
        <v>6739016</v>
      </c>
      <c r="AL21" s="532"/>
      <c r="AM21" s="532"/>
      <c r="AN21" s="532">
        <f>SUMIFS(ResearchInput[T.P.All],ResearchInput[Institution Name],H21)</f>
        <v>81716</v>
      </c>
      <c r="AO21" s="532"/>
      <c r="AP21" s="532"/>
      <c r="AQ21" s="588">
        <f t="shared" si="0"/>
        <v>57658329</v>
      </c>
      <c r="AR21" s="532"/>
      <c r="AS21" s="533"/>
      <c r="AT21" s="142"/>
      <c r="AU21" s="142"/>
    </row>
    <row r="22" spans="1:47" s="143" customFormat="1" ht="30" customHeight="1" x14ac:dyDescent="0.3">
      <c r="A22" s="142"/>
      <c r="B22" s="142"/>
      <c r="C22" s="142"/>
      <c r="D22" s="142"/>
      <c r="E22" s="142"/>
      <c r="F22" s="142"/>
      <c r="G22" s="142"/>
      <c r="H22" s="559" t="s">
        <v>205</v>
      </c>
      <c r="I22" s="560"/>
      <c r="J22" s="560"/>
      <c r="K22" s="560"/>
      <c r="L22" s="560"/>
      <c r="M22" s="560"/>
      <c r="N22" s="560"/>
      <c r="O22" s="560"/>
      <c r="P22" s="560"/>
      <c r="Q22" s="581">
        <f>VLOOKUP(H22,ResearchInput[],8,FALSE)</f>
        <v>862</v>
      </c>
      <c r="R22" s="581"/>
      <c r="S22" s="586">
        <f>SUMIFS(ResearchInput[T.Fed],ResearchInput[Institution Name],H22)</f>
        <v>3531776</v>
      </c>
      <c r="T22" s="537"/>
      <c r="U22" s="587"/>
      <c r="V22" s="537">
        <f>SUMIFS(ResearchInput[T.St],ResearchInput[Institution Name],H22)</f>
        <v>4138500</v>
      </c>
      <c r="W22" s="537"/>
      <c r="X22" s="537"/>
      <c r="Y22" s="537">
        <f>SUMIFS(ResearchInput[T.St.C&amp;G],ResearchInput[Institution Name],H22)</f>
        <v>2986169</v>
      </c>
      <c r="Z22" s="537"/>
      <c r="AA22" s="537"/>
      <c r="AB22" s="537">
        <f>SUMIFS(ResearchInput[T.St.All],ResearchInput[Institution Name],H22)</f>
        <v>0</v>
      </c>
      <c r="AC22" s="537"/>
      <c r="AD22" s="537"/>
      <c r="AE22" s="586">
        <f>SUMIFS(ResearchInput[T.Inst],ResearchInput[Institution Name],H22)</f>
        <v>2245139</v>
      </c>
      <c r="AF22" s="537"/>
      <c r="AG22" s="587"/>
      <c r="AH22" s="537">
        <f>SUMIFS(ResearchInput[T.P4P],ResearchInput[Institution Name],H22)</f>
        <v>261605</v>
      </c>
      <c r="AI22" s="537"/>
      <c r="AJ22" s="537"/>
      <c r="AK22" s="537">
        <f>SUMIFS(ResearchInput[T.PNP],ResearchInput[Institution Name],H22)</f>
        <v>241202</v>
      </c>
      <c r="AL22" s="537"/>
      <c r="AM22" s="537"/>
      <c r="AN22" s="537">
        <f>SUMIFS(ResearchInput[T.P.All],ResearchInput[Institution Name],H22)</f>
        <v>0</v>
      </c>
      <c r="AO22" s="537"/>
      <c r="AP22" s="537"/>
      <c r="AQ22" s="586">
        <f t="shared" si="0"/>
        <v>13404391</v>
      </c>
      <c r="AR22" s="537"/>
      <c r="AS22" s="540"/>
      <c r="AT22" s="142"/>
      <c r="AU22" s="142"/>
    </row>
    <row r="23" spans="1:47" s="169" customFormat="1" ht="30" customHeight="1" x14ac:dyDescent="0.3">
      <c r="A23" s="168"/>
      <c r="B23" s="168"/>
      <c r="C23" s="168"/>
      <c r="D23" s="168"/>
      <c r="E23" s="168"/>
      <c r="F23" s="168"/>
      <c r="G23" s="168"/>
      <c r="H23" s="557" t="s">
        <v>212</v>
      </c>
      <c r="I23" s="558"/>
      <c r="J23" s="558"/>
      <c r="K23" s="558"/>
      <c r="L23" s="558"/>
      <c r="M23" s="558"/>
      <c r="N23" s="558"/>
      <c r="O23" s="558"/>
      <c r="P23" s="558"/>
      <c r="Q23" s="580">
        <f>VLOOKUP(H23,ResearchInput[],8,FALSE)</f>
        <v>203652</v>
      </c>
      <c r="R23" s="580"/>
      <c r="S23" s="588">
        <f>SUMIFS(ResearchInput[T.Fed],ResearchInput[Institution Name],H23)</f>
        <v>758892</v>
      </c>
      <c r="T23" s="532"/>
      <c r="U23" s="589"/>
      <c r="V23" s="532">
        <f>SUMIFS(ResearchInput[T.St],ResearchInput[Institution Name],H23)</f>
        <v>206458</v>
      </c>
      <c r="W23" s="532"/>
      <c r="X23" s="532"/>
      <c r="Y23" s="532">
        <f>SUMIFS(ResearchInput[T.St.C&amp;G],ResearchInput[Institution Name],H23)</f>
        <v>632775</v>
      </c>
      <c r="Z23" s="532"/>
      <c r="AA23" s="532"/>
      <c r="AB23" s="532">
        <f>SUMIFS(ResearchInput[T.St.All],ResearchInput[Institution Name],H23)</f>
        <v>0</v>
      </c>
      <c r="AC23" s="532"/>
      <c r="AD23" s="532"/>
      <c r="AE23" s="588">
        <f>SUMIFS(ResearchInput[T.Inst],ResearchInput[Institution Name],H23)</f>
        <v>68975</v>
      </c>
      <c r="AF23" s="532"/>
      <c r="AG23" s="589"/>
      <c r="AH23" s="532">
        <f>SUMIFS(ResearchInput[T.P4P],ResearchInput[Institution Name],H23)</f>
        <v>0</v>
      </c>
      <c r="AI23" s="532"/>
      <c r="AJ23" s="532"/>
      <c r="AK23" s="532">
        <f>SUMIFS(ResearchInput[T.PNP],ResearchInput[Institution Name],H23)</f>
        <v>641197</v>
      </c>
      <c r="AL23" s="532"/>
      <c r="AM23" s="532"/>
      <c r="AN23" s="532">
        <f>SUMIFS(ResearchInput[T.P.All],ResearchInput[Institution Name],H23)</f>
        <v>119293</v>
      </c>
      <c r="AO23" s="532"/>
      <c r="AP23" s="532"/>
      <c r="AQ23" s="588">
        <f t="shared" si="0"/>
        <v>2427590</v>
      </c>
      <c r="AR23" s="532"/>
      <c r="AS23" s="533"/>
      <c r="AT23" s="168"/>
      <c r="AU23" s="168"/>
    </row>
    <row r="24" spans="1:47" s="143" customFormat="1" ht="30" customHeight="1" thickBot="1" x14ac:dyDescent="0.35">
      <c r="A24" s="142"/>
      <c r="B24" s="142"/>
      <c r="C24" s="142"/>
      <c r="D24" s="142"/>
      <c r="E24" s="142"/>
      <c r="F24" s="142"/>
      <c r="G24" s="142"/>
      <c r="H24" s="578" t="s">
        <v>213</v>
      </c>
      <c r="I24" s="579"/>
      <c r="J24" s="579"/>
      <c r="K24" s="579"/>
      <c r="L24" s="579"/>
      <c r="M24" s="579"/>
      <c r="N24" s="579"/>
      <c r="O24" s="579"/>
      <c r="P24" s="579"/>
      <c r="Q24" s="582">
        <f>VLOOKUP(H24,ResearchInput[],8,FALSE)</f>
        <v>103606</v>
      </c>
      <c r="R24" s="582"/>
      <c r="S24" s="583">
        <f>SUMIFS(ResearchInput[T.Fed],ResearchInput[Institution Name],H24)</f>
        <v>0</v>
      </c>
      <c r="T24" s="584"/>
      <c r="U24" s="585"/>
      <c r="V24" s="584">
        <f>SUMIFS(ResearchInput[T.St],ResearchInput[Institution Name],H24)</f>
        <v>0</v>
      </c>
      <c r="W24" s="584"/>
      <c r="X24" s="584"/>
      <c r="Y24" s="584">
        <f>SUMIFS(ResearchInput[T.St.C&amp;G],ResearchInput[Institution Name],H24)</f>
        <v>0</v>
      </c>
      <c r="Z24" s="584"/>
      <c r="AA24" s="584"/>
      <c r="AB24" s="584">
        <f>SUMIFS(ResearchInput[T.St.All],ResearchInput[Institution Name],H24)</f>
        <v>0</v>
      </c>
      <c r="AC24" s="584"/>
      <c r="AD24" s="584"/>
      <c r="AE24" s="583">
        <f>SUMIFS(ResearchInput[T.Inst],ResearchInput[Institution Name],H24)</f>
        <v>1543381</v>
      </c>
      <c r="AF24" s="584"/>
      <c r="AG24" s="585"/>
      <c r="AH24" s="584">
        <f>SUMIFS(ResearchInput[T.P4P],ResearchInput[Institution Name],H24)</f>
        <v>0</v>
      </c>
      <c r="AI24" s="584"/>
      <c r="AJ24" s="584"/>
      <c r="AK24" s="584">
        <f>SUMIFS(ResearchInput[T.PNP],ResearchInput[Institution Name],H24)</f>
        <v>19274</v>
      </c>
      <c r="AL24" s="584"/>
      <c r="AM24" s="584"/>
      <c r="AN24" s="584">
        <f>SUMIFS(ResearchInput[T.P.All],ResearchInput[Institution Name],H24)</f>
        <v>0</v>
      </c>
      <c r="AO24" s="584"/>
      <c r="AP24" s="584"/>
      <c r="AQ24" s="583">
        <f t="shared" si="0"/>
        <v>1562655</v>
      </c>
      <c r="AR24" s="584"/>
      <c r="AS24" s="590"/>
      <c r="AT24" s="142"/>
      <c r="AU24" s="142"/>
    </row>
    <row r="25" spans="1:47" s="143" customFormat="1" ht="30" customHeight="1" thickTop="1" x14ac:dyDescent="0.3">
      <c r="A25" s="142"/>
      <c r="B25" s="142"/>
      <c r="C25" s="142"/>
      <c r="D25" s="142"/>
      <c r="E25" s="142"/>
      <c r="F25" s="142"/>
      <c r="G25" s="142"/>
      <c r="H25" s="601"/>
      <c r="I25" s="602"/>
      <c r="J25" s="602"/>
      <c r="K25" s="602"/>
      <c r="L25" s="602"/>
      <c r="M25" s="602"/>
      <c r="N25" s="602"/>
      <c r="O25" s="602"/>
      <c r="P25" s="602"/>
      <c r="Q25" s="603"/>
      <c r="R25" s="603"/>
      <c r="S25" s="593">
        <f>SUM(S11:U24)</f>
        <v>1491373508</v>
      </c>
      <c r="T25" s="341"/>
      <c r="U25" s="594"/>
      <c r="V25" s="341">
        <f>SUM(V11:X24)</f>
        <v>211350977</v>
      </c>
      <c r="W25" s="341"/>
      <c r="X25" s="341"/>
      <c r="Y25" s="341">
        <f>SUM(Y11:AA24)</f>
        <v>159627594</v>
      </c>
      <c r="Z25" s="341"/>
      <c r="AA25" s="341"/>
      <c r="AB25" s="341">
        <f>SUM(AB11:AD24)</f>
        <v>302640538</v>
      </c>
      <c r="AC25" s="341"/>
      <c r="AD25" s="341"/>
      <c r="AE25" s="593">
        <f>SUM(AE11:AG24)</f>
        <v>503122482</v>
      </c>
      <c r="AF25" s="341"/>
      <c r="AG25" s="594"/>
      <c r="AH25" s="341">
        <f>SUM(AH11:AJ24)</f>
        <v>405657333</v>
      </c>
      <c r="AI25" s="341"/>
      <c r="AJ25" s="341"/>
      <c r="AK25" s="341">
        <f>SUM(AK11:AM24)</f>
        <v>346714118</v>
      </c>
      <c r="AL25" s="341"/>
      <c r="AM25" s="341"/>
      <c r="AN25" s="341">
        <f>SUM(AN11:AP24)</f>
        <v>154430130</v>
      </c>
      <c r="AO25" s="341"/>
      <c r="AP25" s="341"/>
      <c r="AQ25" s="593">
        <f>SUM(AQ11:AS24)</f>
        <v>3574916680</v>
      </c>
      <c r="AR25" s="341"/>
      <c r="AS25" s="342"/>
      <c r="AT25" s="142"/>
      <c r="AU25" s="142"/>
    </row>
    <row r="26" spans="1:47" s="143" customFormat="1" ht="30" customHeight="1" x14ac:dyDescent="0.3">
      <c r="A26" s="142"/>
      <c r="B26" s="142"/>
      <c r="C26" s="142"/>
      <c r="D26" s="142"/>
      <c r="E26" s="142"/>
      <c r="F26" s="142"/>
      <c r="G26" s="142"/>
      <c r="H26" s="595" t="s">
        <v>799</v>
      </c>
      <c r="I26" s="595"/>
      <c r="J26" s="595"/>
      <c r="K26" s="595"/>
      <c r="L26" s="595"/>
      <c r="M26" s="595"/>
      <c r="N26" s="595"/>
      <c r="O26" s="595"/>
      <c r="P26" s="595"/>
      <c r="Q26" s="595"/>
      <c r="R26" s="595"/>
      <c r="S26" s="595"/>
      <c r="T26" s="595"/>
      <c r="U26" s="595"/>
      <c r="V26" s="595"/>
      <c r="W26" s="595"/>
      <c r="X26" s="595"/>
      <c r="Y26" s="595"/>
      <c r="Z26" s="595"/>
      <c r="AA26" s="595"/>
      <c r="AB26" s="595"/>
      <c r="AC26" s="595"/>
      <c r="AD26" s="595"/>
      <c r="AE26" s="595"/>
      <c r="AF26" s="595"/>
      <c r="AG26" s="595"/>
      <c r="AH26" s="595"/>
      <c r="AI26" s="595"/>
      <c r="AJ26" s="595"/>
      <c r="AK26" s="595"/>
      <c r="AL26" s="595"/>
      <c r="AM26" s="595"/>
      <c r="AN26" s="595"/>
      <c r="AO26" s="595"/>
      <c r="AP26" s="595"/>
      <c r="AQ26" s="595"/>
      <c r="AR26" s="595"/>
      <c r="AS26" s="595"/>
      <c r="AT26" s="142"/>
      <c r="AU26" s="142"/>
    </row>
    <row r="27" spans="1:47" ht="30" customHeight="1" x14ac:dyDescent="0.3">
      <c r="A27" s="155"/>
      <c r="B27" s="155"/>
      <c r="C27" s="155"/>
      <c r="D27" s="155"/>
      <c r="E27" s="155"/>
      <c r="F27" s="155"/>
      <c r="G27" s="155"/>
      <c r="H27" s="596" t="s">
        <v>800</v>
      </c>
      <c r="I27" s="596"/>
      <c r="J27" s="596"/>
      <c r="K27" s="596"/>
      <c r="L27" s="596"/>
      <c r="M27" s="596"/>
      <c r="N27" s="596"/>
      <c r="O27" s="596"/>
      <c r="P27" s="596"/>
      <c r="Q27" s="596"/>
      <c r="R27" s="596"/>
      <c r="S27" s="596"/>
      <c r="T27" s="596"/>
      <c r="U27" s="596"/>
      <c r="V27" s="596"/>
      <c r="W27" s="596"/>
      <c r="X27" s="596"/>
      <c r="Y27" s="596"/>
      <c r="Z27" s="596"/>
      <c r="AA27" s="596"/>
      <c r="AB27" s="596"/>
      <c r="AC27" s="596"/>
      <c r="AD27" s="596"/>
      <c r="AE27" s="596"/>
      <c r="AF27" s="596"/>
      <c r="AG27" s="596"/>
      <c r="AH27" s="596"/>
      <c r="AI27" s="596"/>
      <c r="AJ27" s="596"/>
      <c r="AK27" s="596"/>
      <c r="AL27" s="596"/>
      <c r="AM27" s="596"/>
      <c r="AN27" s="596"/>
      <c r="AO27" s="596"/>
      <c r="AP27" s="596"/>
      <c r="AQ27" s="596"/>
      <c r="AR27" s="596"/>
      <c r="AS27" s="596"/>
      <c r="AT27" s="142"/>
      <c r="AU27" s="155"/>
    </row>
    <row r="28" spans="1:47" s="143" customFormat="1" ht="30" customHeight="1" x14ac:dyDescent="0.3">
      <c r="A28" s="142"/>
      <c r="B28" s="142"/>
      <c r="C28" s="142"/>
      <c r="D28" s="142"/>
      <c r="E28" s="142"/>
      <c r="F28" s="142"/>
      <c r="G28" s="142"/>
      <c r="H28" s="592" t="s">
        <v>771</v>
      </c>
      <c r="I28" s="592"/>
      <c r="J28" s="592"/>
      <c r="K28" s="592"/>
      <c r="L28" s="592"/>
      <c r="M28" s="592"/>
      <c r="N28" s="592"/>
      <c r="O28" s="592"/>
      <c r="P28" s="592"/>
      <c r="Q28" s="592"/>
      <c r="R28" s="592"/>
      <c r="S28" s="592"/>
      <c r="T28" s="592"/>
      <c r="U28" s="592"/>
      <c r="V28" s="592"/>
      <c r="W28" s="592"/>
      <c r="X28" s="592"/>
      <c r="Y28" s="592"/>
      <c r="Z28" s="592"/>
      <c r="AA28" s="592"/>
      <c r="AB28" s="592"/>
      <c r="AC28" s="592"/>
      <c r="AD28" s="592"/>
      <c r="AE28" s="592"/>
      <c r="AF28" s="592"/>
      <c r="AG28" s="592"/>
      <c r="AH28" s="592"/>
      <c r="AI28" s="592"/>
      <c r="AJ28" s="592"/>
      <c r="AK28" s="592"/>
      <c r="AL28" s="592"/>
      <c r="AM28" s="592"/>
      <c r="AN28" s="592"/>
      <c r="AO28" s="592"/>
      <c r="AP28" s="592"/>
      <c r="AQ28" s="592"/>
      <c r="AR28" s="592"/>
      <c r="AS28" s="592"/>
      <c r="AT28" s="142"/>
      <c r="AU28" s="142"/>
    </row>
    <row r="29" spans="1:47" ht="30" customHeight="1" x14ac:dyDescent="0.3">
      <c r="A29" s="155"/>
      <c r="B29" s="155"/>
      <c r="C29" s="155"/>
      <c r="D29" s="155"/>
      <c r="E29" s="155"/>
      <c r="F29" s="155"/>
      <c r="G29" s="155"/>
      <c r="H29" s="556" t="s">
        <v>671</v>
      </c>
      <c r="I29" s="556"/>
      <c r="J29" s="556"/>
      <c r="K29" s="556"/>
      <c r="L29" s="556"/>
      <c r="M29" s="556"/>
      <c r="N29" s="556"/>
      <c r="O29" s="556"/>
      <c r="P29" s="556"/>
      <c r="Q29" s="556"/>
      <c r="R29" s="556"/>
      <c r="S29" s="556"/>
      <c r="T29" s="556"/>
      <c r="U29" s="556"/>
      <c r="V29" s="556"/>
      <c r="W29" s="556"/>
      <c r="X29" s="556"/>
      <c r="Y29" s="556"/>
      <c r="Z29" s="556"/>
      <c r="AA29" s="556"/>
      <c r="AB29" s="556"/>
      <c r="AC29" s="556"/>
      <c r="AD29" s="556"/>
      <c r="AE29" s="556"/>
      <c r="AF29" s="556"/>
      <c r="AG29" s="556"/>
      <c r="AH29" s="556"/>
      <c r="AI29" s="556"/>
      <c r="AJ29" s="556"/>
      <c r="AK29" s="556"/>
      <c r="AL29" s="556"/>
      <c r="AM29" s="556"/>
      <c r="AN29" s="556"/>
      <c r="AO29" s="556"/>
      <c r="AP29" s="556"/>
      <c r="AQ29" s="556"/>
      <c r="AR29" s="556"/>
      <c r="AS29" s="556"/>
      <c r="AT29" s="142"/>
      <c r="AU29" s="155"/>
    </row>
    <row r="30" spans="1:47" ht="30" customHeight="1" x14ac:dyDescent="0.3">
      <c r="A30" s="155"/>
      <c r="B30" s="155"/>
      <c r="C30" s="155"/>
      <c r="D30" s="155"/>
      <c r="E30" s="155"/>
      <c r="F30" s="155"/>
      <c r="G30" s="155"/>
      <c r="H30" s="592" t="s">
        <v>771</v>
      </c>
      <c r="I30" s="592"/>
      <c r="J30" s="592"/>
      <c r="K30" s="592"/>
      <c r="L30" s="592"/>
      <c r="M30" s="592"/>
      <c r="N30" s="592"/>
      <c r="O30" s="592"/>
      <c r="P30" s="592"/>
      <c r="Q30" s="592"/>
      <c r="R30" s="592"/>
      <c r="S30" s="592"/>
      <c r="T30" s="592"/>
      <c r="U30" s="592"/>
      <c r="V30" s="592"/>
      <c r="W30" s="592"/>
      <c r="X30" s="592"/>
      <c r="Y30" s="592"/>
      <c r="Z30" s="592"/>
      <c r="AA30" s="592"/>
      <c r="AB30" s="592"/>
      <c r="AC30" s="592"/>
      <c r="AD30" s="592"/>
      <c r="AE30" s="592"/>
      <c r="AF30" s="592"/>
      <c r="AG30" s="592"/>
      <c r="AH30" s="592"/>
      <c r="AI30" s="592"/>
      <c r="AJ30" s="592"/>
      <c r="AK30" s="592"/>
      <c r="AL30" s="592"/>
      <c r="AM30" s="592"/>
      <c r="AN30" s="592"/>
      <c r="AO30" s="592"/>
      <c r="AP30" s="592"/>
      <c r="AQ30" s="592"/>
      <c r="AR30" s="592"/>
      <c r="AS30" s="592"/>
      <c r="AT30" s="142"/>
      <c r="AU30" s="155"/>
    </row>
    <row r="31" spans="1:47" ht="30" customHeight="1" x14ac:dyDescent="0.3">
      <c r="A31" s="155"/>
      <c r="B31" s="155"/>
      <c r="C31" s="155"/>
      <c r="D31" s="155"/>
      <c r="E31" s="155"/>
      <c r="F31" s="155"/>
      <c r="G31" s="155"/>
      <c r="H31" s="165"/>
      <c r="I31" s="165"/>
      <c r="J31" s="165"/>
      <c r="K31" s="165"/>
      <c r="L31" s="165"/>
      <c r="M31" s="165"/>
      <c r="N31" s="165"/>
      <c r="O31" s="165"/>
      <c r="P31" s="165"/>
      <c r="Q31" s="165"/>
      <c r="R31" s="165"/>
      <c r="S31" s="165"/>
      <c r="T31" s="165"/>
      <c r="U31" s="165"/>
      <c r="V31" s="572" t="s">
        <v>252</v>
      </c>
      <c r="W31" s="573"/>
      <c r="X31" s="573"/>
      <c r="Y31" s="573"/>
      <c r="Z31" s="573"/>
      <c r="AA31" s="573"/>
      <c r="AB31" s="573"/>
      <c r="AC31" s="573"/>
      <c r="AD31" s="574"/>
      <c r="AE31" s="166"/>
      <c r="AF31" s="166"/>
      <c r="AG31" s="166"/>
      <c r="AH31" s="572" t="s">
        <v>246</v>
      </c>
      <c r="AI31" s="573"/>
      <c r="AJ31" s="573"/>
      <c r="AK31" s="573"/>
      <c r="AL31" s="573"/>
      <c r="AM31" s="573"/>
      <c r="AN31" s="573"/>
      <c r="AO31" s="573"/>
      <c r="AP31" s="574"/>
      <c r="AQ31" s="167"/>
      <c r="AR31" s="167"/>
      <c r="AS31" s="167"/>
      <c r="AT31" s="142"/>
      <c r="AU31" s="155"/>
    </row>
    <row r="32" spans="1:47" s="143" customFormat="1" ht="30" customHeight="1" x14ac:dyDescent="0.3">
      <c r="A32" s="142"/>
      <c r="B32" s="142"/>
      <c r="C32" s="142"/>
      <c r="D32" s="142"/>
      <c r="E32" s="142"/>
      <c r="F32" s="142"/>
      <c r="G32" s="142"/>
      <c r="H32" s="568" t="s">
        <v>232</v>
      </c>
      <c r="I32" s="569"/>
      <c r="J32" s="569"/>
      <c r="K32" s="569"/>
      <c r="L32" s="569"/>
      <c r="M32" s="569"/>
      <c r="N32" s="569"/>
      <c r="O32" s="569"/>
      <c r="P32" s="569"/>
      <c r="Q32" s="564" t="s">
        <v>229</v>
      </c>
      <c r="R32" s="564"/>
      <c r="S32" s="564" t="s">
        <v>243</v>
      </c>
      <c r="T32" s="564"/>
      <c r="U32" s="564"/>
      <c r="V32" s="575" t="s">
        <v>803</v>
      </c>
      <c r="W32" s="575"/>
      <c r="X32" s="575"/>
      <c r="Y32" s="564" t="s">
        <v>256</v>
      </c>
      <c r="Z32" s="564"/>
      <c r="AA32" s="564"/>
      <c r="AB32" s="564" t="s">
        <v>250</v>
      </c>
      <c r="AC32" s="564"/>
      <c r="AD32" s="564"/>
      <c r="AE32" s="564" t="s">
        <v>253</v>
      </c>
      <c r="AF32" s="564"/>
      <c r="AG32" s="564"/>
      <c r="AH32" s="564" t="s">
        <v>248</v>
      </c>
      <c r="AI32" s="564"/>
      <c r="AJ32" s="564"/>
      <c r="AK32" s="564" t="s">
        <v>249</v>
      </c>
      <c r="AL32" s="564"/>
      <c r="AM32" s="564"/>
      <c r="AN32" s="564" t="s">
        <v>250</v>
      </c>
      <c r="AO32" s="564"/>
      <c r="AP32" s="564"/>
      <c r="AQ32" s="564" t="s">
        <v>247</v>
      </c>
      <c r="AR32" s="564"/>
      <c r="AS32" s="566"/>
      <c r="AT32" s="142"/>
      <c r="AU32" s="142"/>
    </row>
    <row r="33" spans="1:47" s="143" customFormat="1" ht="30" customHeight="1" x14ac:dyDescent="0.3">
      <c r="A33" s="142"/>
      <c r="B33" s="142"/>
      <c r="C33" s="142"/>
      <c r="D33" s="142"/>
      <c r="E33" s="142"/>
      <c r="F33" s="142"/>
      <c r="G33" s="142"/>
      <c r="H33" s="570"/>
      <c r="I33" s="571"/>
      <c r="J33" s="571"/>
      <c r="K33" s="571"/>
      <c r="L33" s="571"/>
      <c r="M33" s="571"/>
      <c r="N33" s="571"/>
      <c r="O33" s="571"/>
      <c r="P33" s="571"/>
      <c r="Q33" s="565"/>
      <c r="R33" s="565"/>
      <c r="S33" s="565"/>
      <c r="T33" s="565"/>
      <c r="U33" s="565"/>
      <c r="V33" s="576"/>
      <c r="W33" s="576"/>
      <c r="X33" s="576"/>
      <c r="Y33" s="565"/>
      <c r="Z33" s="565"/>
      <c r="AA33" s="565"/>
      <c r="AB33" s="565"/>
      <c r="AC33" s="565"/>
      <c r="AD33" s="565"/>
      <c r="AE33" s="565"/>
      <c r="AF33" s="565"/>
      <c r="AG33" s="565"/>
      <c r="AH33" s="565"/>
      <c r="AI33" s="565"/>
      <c r="AJ33" s="565"/>
      <c r="AK33" s="565"/>
      <c r="AL33" s="565"/>
      <c r="AM33" s="565"/>
      <c r="AN33" s="565"/>
      <c r="AO33" s="565"/>
      <c r="AP33" s="565"/>
      <c r="AQ33" s="565"/>
      <c r="AR33" s="565"/>
      <c r="AS33" s="567"/>
      <c r="AT33" s="142"/>
      <c r="AU33" s="142"/>
    </row>
    <row r="34" spans="1:47" s="143" customFormat="1" ht="30" customHeight="1" x14ac:dyDescent="0.3">
      <c r="A34" s="142"/>
      <c r="B34" s="142"/>
      <c r="C34" s="142"/>
      <c r="D34" s="142"/>
      <c r="E34" s="142"/>
      <c r="F34" s="142"/>
      <c r="G34" s="142"/>
      <c r="H34" s="557" t="s">
        <v>197</v>
      </c>
      <c r="I34" s="558"/>
      <c r="J34" s="558"/>
      <c r="K34" s="558"/>
      <c r="L34" s="558"/>
      <c r="M34" s="558"/>
      <c r="N34" s="558"/>
      <c r="O34" s="558"/>
      <c r="P34" s="558"/>
      <c r="Q34" s="580">
        <f>VLOOKUP(H34,ResearchInput[],8,FALSE)</f>
        <v>3656</v>
      </c>
      <c r="R34" s="580"/>
      <c r="S34" s="561">
        <f>SUMIFS(ResearchInput[T.Fed],ResearchInput[Institution Name],H34)</f>
        <v>60317346</v>
      </c>
      <c r="T34" s="562"/>
      <c r="U34" s="577"/>
      <c r="V34" s="532">
        <f>SUMIFS(ResearchInput[T.St],ResearchInput[Institution Name],H34)</f>
        <v>61689478</v>
      </c>
      <c r="W34" s="532"/>
      <c r="X34" s="532"/>
      <c r="Y34" s="532">
        <f>SUMIFS(ResearchInput[T.St.C&amp;G],ResearchInput[Institution Name],H34)</f>
        <v>6453897</v>
      </c>
      <c r="Z34" s="532"/>
      <c r="AA34" s="532"/>
      <c r="AB34" s="532">
        <f>SUMIFS(ResearchInput[T.St.All],ResearchInput[Institution Name],H34)</f>
        <v>151533</v>
      </c>
      <c r="AC34" s="532"/>
      <c r="AD34" s="532"/>
      <c r="AE34" s="561">
        <f>SUMIFS(ResearchInput[T.Inst],ResearchInput[Institution Name],H34)</f>
        <v>40731883</v>
      </c>
      <c r="AF34" s="562"/>
      <c r="AG34" s="577"/>
      <c r="AH34" s="532">
        <f>SUMIFS(ResearchInput[T.P4P],ResearchInput[Institution Name],H34)</f>
        <v>5738611</v>
      </c>
      <c r="AI34" s="532"/>
      <c r="AJ34" s="532"/>
      <c r="AK34" s="532">
        <f>SUMIFS(ResearchInput[T.PNP],ResearchInput[Institution Name],H34)</f>
        <v>7516644</v>
      </c>
      <c r="AL34" s="532"/>
      <c r="AM34" s="532"/>
      <c r="AN34" s="532">
        <f>SUMIFS(ResearchInput[T.P.All],ResearchInput[Institution Name],H34)</f>
        <v>570414</v>
      </c>
      <c r="AO34" s="532"/>
      <c r="AP34" s="532"/>
      <c r="AQ34" s="561">
        <f>SUM(S34:AP34)</f>
        <v>183169806</v>
      </c>
      <c r="AR34" s="562"/>
      <c r="AS34" s="563"/>
      <c r="AT34" s="142"/>
      <c r="AU34" s="142"/>
    </row>
    <row r="35" spans="1:47" s="143" customFormat="1" ht="30" customHeight="1" x14ac:dyDescent="0.3">
      <c r="A35" s="142"/>
      <c r="B35" s="142"/>
      <c r="C35" s="142"/>
      <c r="D35" s="142"/>
      <c r="E35" s="142"/>
      <c r="F35" s="142"/>
      <c r="G35" s="142"/>
      <c r="H35" s="559" t="s">
        <v>208</v>
      </c>
      <c r="I35" s="560"/>
      <c r="J35" s="560"/>
      <c r="K35" s="560"/>
      <c r="L35" s="560"/>
      <c r="M35" s="560"/>
      <c r="N35" s="560"/>
      <c r="O35" s="560"/>
      <c r="P35" s="560"/>
      <c r="Q35" s="581">
        <f>VLOOKUP(H35,ResearchInput[],8,FALSE)</f>
        <v>3658</v>
      </c>
      <c r="R35" s="581"/>
      <c r="S35" s="586">
        <f>SUMIFS(ResearchInput[T.Fed],ResearchInput[Institution Name],H35)</f>
        <v>851799846</v>
      </c>
      <c r="T35" s="537"/>
      <c r="U35" s="587"/>
      <c r="V35" s="537">
        <f>SUMIFS(ResearchInput[T.St],ResearchInput[Institution Name],H35)</f>
        <v>89880074</v>
      </c>
      <c r="W35" s="537"/>
      <c r="X35" s="537"/>
      <c r="Y35" s="537">
        <f>SUMIFS(ResearchInput[T.St.C&amp;G],ResearchInput[Institution Name],H35)</f>
        <v>37710575</v>
      </c>
      <c r="Z35" s="537"/>
      <c r="AA35" s="537"/>
      <c r="AB35" s="537">
        <f>SUMIFS(ResearchInput[T.St.All],ResearchInput[Institution Name],H35)</f>
        <v>0</v>
      </c>
      <c r="AC35" s="537"/>
      <c r="AD35" s="537"/>
      <c r="AE35" s="586">
        <f>SUMIFS(ResearchInput[T.Inst],ResearchInput[Institution Name],H35)</f>
        <v>103260395</v>
      </c>
      <c r="AF35" s="537"/>
      <c r="AG35" s="587"/>
      <c r="AH35" s="537">
        <f>SUMIFS(ResearchInput[T.P4P],ResearchInput[Institution Name],H35)</f>
        <v>45987150</v>
      </c>
      <c r="AI35" s="537"/>
      <c r="AJ35" s="537"/>
      <c r="AK35" s="537">
        <f>SUMIFS(ResearchInput[T.PNP],ResearchInput[Institution Name],H35)</f>
        <v>55773829</v>
      </c>
      <c r="AL35" s="537"/>
      <c r="AM35" s="537"/>
      <c r="AN35" s="537">
        <f>SUMIFS(ResearchInput[T.P.All],ResearchInput[Institution Name],H35)</f>
        <v>44524432</v>
      </c>
      <c r="AO35" s="537"/>
      <c r="AP35" s="537"/>
      <c r="AQ35" s="586">
        <f t="shared" ref="AQ35:AQ47" si="1">SUM(S35:AP35)</f>
        <v>1228936301</v>
      </c>
      <c r="AR35" s="537"/>
      <c r="AS35" s="540"/>
      <c r="AT35" s="142"/>
      <c r="AU35" s="142"/>
    </row>
    <row r="36" spans="1:47" s="143" customFormat="1" ht="30" customHeight="1" x14ac:dyDescent="0.3">
      <c r="A36" s="142"/>
      <c r="B36" s="142"/>
      <c r="C36" s="142"/>
      <c r="D36" s="142"/>
      <c r="E36" s="142"/>
      <c r="F36" s="142"/>
      <c r="G36" s="142"/>
      <c r="H36" s="557" t="s">
        <v>220</v>
      </c>
      <c r="I36" s="558"/>
      <c r="J36" s="558"/>
      <c r="K36" s="558"/>
      <c r="L36" s="558"/>
      <c r="M36" s="558"/>
      <c r="N36" s="558"/>
      <c r="O36" s="558"/>
      <c r="P36" s="558"/>
      <c r="Q36" s="580">
        <f>VLOOKUP(H36,ResearchInput[],8,FALSE)</f>
        <v>9741</v>
      </c>
      <c r="R36" s="580"/>
      <c r="S36" s="588">
        <f>SUMIFS(ResearchInput[T.Fed],ResearchInput[Institution Name],H36)</f>
        <v>89343219</v>
      </c>
      <c r="T36" s="532"/>
      <c r="U36" s="589"/>
      <c r="V36" s="532">
        <f>SUMIFS(ResearchInput[T.St],ResearchInput[Institution Name],H36)</f>
        <v>27360908</v>
      </c>
      <c r="W36" s="532"/>
      <c r="X36" s="532"/>
      <c r="Y36" s="532">
        <f>SUMIFS(ResearchInput[T.St.C&amp;G],ResearchInput[Institution Name],H36)</f>
        <v>2956623</v>
      </c>
      <c r="Z36" s="532"/>
      <c r="AA36" s="532"/>
      <c r="AB36" s="532">
        <f>SUMIFS(ResearchInput[T.St.All],ResearchInput[Institution Name],H36)</f>
        <v>0</v>
      </c>
      <c r="AC36" s="532"/>
      <c r="AD36" s="532"/>
      <c r="AE36" s="588">
        <f>SUMIFS(ResearchInput[T.Inst],ResearchInput[Institution Name],H36)</f>
        <v>33264165</v>
      </c>
      <c r="AF36" s="532"/>
      <c r="AG36" s="589"/>
      <c r="AH36" s="532">
        <f>SUMIFS(ResearchInput[T.P4P],ResearchInput[Institution Name],H36)</f>
        <v>14754330</v>
      </c>
      <c r="AI36" s="532"/>
      <c r="AJ36" s="532"/>
      <c r="AK36" s="532">
        <f>SUMIFS(ResearchInput[T.PNP],ResearchInput[Institution Name],H36)</f>
        <v>19962582</v>
      </c>
      <c r="AL36" s="532"/>
      <c r="AM36" s="532"/>
      <c r="AN36" s="532">
        <f>SUMIFS(ResearchInput[T.P.All],ResearchInput[Institution Name],H36)</f>
        <v>0</v>
      </c>
      <c r="AO36" s="532"/>
      <c r="AP36" s="532"/>
      <c r="AQ36" s="588">
        <f t="shared" si="1"/>
        <v>187641827</v>
      </c>
      <c r="AR36" s="532"/>
      <c r="AS36" s="533"/>
      <c r="AT36" s="142"/>
      <c r="AU36" s="142"/>
    </row>
    <row r="37" spans="1:47" s="143" customFormat="1" ht="30" customHeight="1" x14ac:dyDescent="0.3">
      <c r="A37" s="142"/>
      <c r="B37" s="142"/>
      <c r="C37" s="142"/>
      <c r="D37" s="142"/>
      <c r="E37" s="142"/>
      <c r="F37" s="142"/>
      <c r="G37" s="142"/>
      <c r="H37" s="559" t="s">
        <v>223</v>
      </c>
      <c r="I37" s="560"/>
      <c r="J37" s="560"/>
      <c r="K37" s="560"/>
      <c r="L37" s="560"/>
      <c r="M37" s="560"/>
      <c r="N37" s="560"/>
      <c r="O37" s="560"/>
      <c r="P37" s="560"/>
      <c r="Q37" s="581">
        <f>VLOOKUP(H37,ResearchInput[],8,FALSE)</f>
        <v>3661</v>
      </c>
      <c r="R37" s="581"/>
      <c r="S37" s="586">
        <f>SUMIFS(ResearchInput[T.Fed],ResearchInput[Institution Name],H37)</f>
        <v>72079613</v>
      </c>
      <c r="T37" s="537"/>
      <c r="U37" s="587"/>
      <c r="V37" s="537">
        <f>SUMIFS(ResearchInput[T.St],ResearchInput[Institution Name],H37)</f>
        <v>36194386</v>
      </c>
      <c r="W37" s="537"/>
      <c r="X37" s="537"/>
      <c r="Y37" s="537">
        <f>SUMIFS(ResearchInput[T.St.C&amp;G],ResearchInput[Institution Name],H37)</f>
        <v>5538726</v>
      </c>
      <c r="Z37" s="537"/>
      <c r="AA37" s="537"/>
      <c r="AB37" s="537">
        <f>SUMIFS(ResearchInput[T.St.All],ResearchInput[Institution Name],H37)</f>
        <v>0</v>
      </c>
      <c r="AC37" s="537"/>
      <c r="AD37" s="537"/>
      <c r="AE37" s="586">
        <f>SUMIFS(ResearchInput[T.Inst],ResearchInput[Institution Name],H37)</f>
        <v>24917514</v>
      </c>
      <c r="AF37" s="537"/>
      <c r="AG37" s="587"/>
      <c r="AH37" s="537">
        <f>SUMIFS(ResearchInput[T.P4P],ResearchInput[Institution Name],H37)</f>
        <v>772098</v>
      </c>
      <c r="AI37" s="537"/>
      <c r="AJ37" s="537"/>
      <c r="AK37" s="537">
        <f>SUMIFS(ResearchInput[T.PNP],ResearchInput[Institution Name],H37)</f>
        <v>12904961</v>
      </c>
      <c r="AL37" s="537"/>
      <c r="AM37" s="537"/>
      <c r="AN37" s="537">
        <f>SUMIFS(ResearchInput[T.P.All],ResearchInput[Institution Name],H37)</f>
        <v>244749</v>
      </c>
      <c r="AO37" s="537"/>
      <c r="AP37" s="537"/>
      <c r="AQ37" s="586">
        <f t="shared" si="1"/>
        <v>152652047</v>
      </c>
      <c r="AR37" s="537"/>
      <c r="AS37" s="540"/>
      <c r="AT37" s="142"/>
      <c r="AU37" s="142"/>
    </row>
    <row r="38" spans="1:47" s="143" customFormat="1" ht="30" customHeight="1" x14ac:dyDescent="0.3">
      <c r="A38" s="142"/>
      <c r="B38" s="142"/>
      <c r="C38" s="142"/>
      <c r="D38" s="142"/>
      <c r="E38" s="142"/>
      <c r="F38" s="142"/>
      <c r="G38" s="142"/>
      <c r="H38" s="557" t="s">
        <v>761</v>
      </c>
      <c r="I38" s="558"/>
      <c r="J38" s="558"/>
      <c r="K38" s="558"/>
      <c r="L38" s="558"/>
      <c r="M38" s="558"/>
      <c r="N38" s="558"/>
      <c r="O38" s="558"/>
      <c r="P38" s="558"/>
      <c r="Q38" s="580">
        <f>VLOOKUP(H38,ResearchInput[],8,FALSE)</f>
        <v>3599</v>
      </c>
      <c r="R38" s="580"/>
      <c r="S38" s="588">
        <f>SUMIFS(ResearchInput[T.Fed],ResearchInput[Institution Name],H38)</f>
        <v>26001302</v>
      </c>
      <c r="T38" s="532"/>
      <c r="U38" s="589"/>
      <c r="V38" s="532">
        <f>SUMIFS(ResearchInput[T.St],ResearchInput[Institution Name],H38)</f>
        <v>1228770</v>
      </c>
      <c r="W38" s="532"/>
      <c r="X38" s="532"/>
      <c r="Y38" s="532">
        <f>SUMIFS(ResearchInput[T.St.C&amp;G],ResearchInput[Institution Name],H38)</f>
        <v>1050745</v>
      </c>
      <c r="Z38" s="532"/>
      <c r="AA38" s="532"/>
      <c r="AB38" s="532">
        <f>SUMIFS(ResearchInput[T.St.All],ResearchInput[Institution Name],H38)</f>
        <v>12431</v>
      </c>
      <c r="AC38" s="532"/>
      <c r="AD38" s="532"/>
      <c r="AE38" s="588">
        <f>SUMIFS(ResearchInput[T.Inst],ResearchInput[Institution Name],H38)</f>
        <v>41431653</v>
      </c>
      <c r="AF38" s="532"/>
      <c r="AG38" s="589"/>
      <c r="AH38" s="532">
        <f>SUMIFS(ResearchInput[T.P4P],ResearchInput[Institution Name],H38)</f>
        <v>1076366</v>
      </c>
      <c r="AI38" s="532"/>
      <c r="AJ38" s="532"/>
      <c r="AK38" s="532">
        <f>SUMIFS(ResearchInput[T.PNP],ResearchInput[Institution Name],H38)</f>
        <v>915052</v>
      </c>
      <c r="AL38" s="532"/>
      <c r="AM38" s="532"/>
      <c r="AN38" s="532">
        <f>SUMIFS(ResearchInput[T.P.All],ResearchInput[Institution Name],H38)</f>
        <v>536273</v>
      </c>
      <c r="AO38" s="532"/>
      <c r="AP38" s="532"/>
      <c r="AQ38" s="588">
        <f t="shared" si="1"/>
        <v>72252592</v>
      </c>
      <c r="AR38" s="532"/>
      <c r="AS38" s="533"/>
      <c r="AT38" s="142"/>
      <c r="AU38" s="142"/>
    </row>
    <row r="39" spans="1:47" s="143" customFormat="1" ht="30" customHeight="1" x14ac:dyDescent="0.3">
      <c r="A39" s="142"/>
      <c r="B39" s="142"/>
      <c r="C39" s="142"/>
      <c r="D39" s="142"/>
      <c r="E39" s="142"/>
      <c r="F39" s="142"/>
      <c r="G39" s="142"/>
      <c r="H39" s="559" t="s">
        <v>169</v>
      </c>
      <c r="I39" s="560"/>
      <c r="J39" s="560"/>
      <c r="K39" s="560"/>
      <c r="L39" s="560"/>
      <c r="M39" s="560"/>
      <c r="N39" s="560"/>
      <c r="O39" s="560"/>
      <c r="P39" s="560"/>
      <c r="Q39" s="581">
        <f>VLOOKUP(H39,ResearchInput[],8,FALSE)</f>
        <v>9930</v>
      </c>
      <c r="R39" s="581"/>
      <c r="S39" s="586">
        <f>SUMIFS(ResearchInput[T.Fed],ResearchInput[Institution Name],H39)</f>
        <v>2009081</v>
      </c>
      <c r="T39" s="537"/>
      <c r="U39" s="587"/>
      <c r="V39" s="537">
        <f>SUMIFS(ResearchInput[T.St],ResearchInput[Institution Name],H39)</f>
        <v>742986</v>
      </c>
      <c r="W39" s="537"/>
      <c r="X39" s="537"/>
      <c r="Y39" s="537">
        <f>SUMIFS(ResearchInput[T.St.C&amp;G],ResearchInput[Institution Name],H39)</f>
        <v>0</v>
      </c>
      <c r="Z39" s="537"/>
      <c r="AA39" s="537"/>
      <c r="AB39" s="537">
        <f>SUMIFS(ResearchInput[T.St.All],ResearchInput[Institution Name],H39)</f>
        <v>0</v>
      </c>
      <c r="AC39" s="537"/>
      <c r="AD39" s="537"/>
      <c r="AE39" s="586">
        <f>SUMIFS(ResearchInput[T.Inst],ResearchInput[Institution Name],H39)</f>
        <v>116806</v>
      </c>
      <c r="AF39" s="537"/>
      <c r="AG39" s="587"/>
      <c r="AH39" s="537">
        <f>SUMIFS(ResearchInput[T.P4P],ResearchInput[Institution Name],H39)</f>
        <v>48832</v>
      </c>
      <c r="AI39" s="537"/>
      <c r="AJ39" s="537"/>
      <c r="AK39" s="537">
        <f>SUMIFS(ResearchInput[T.PNP],ResearchInput[Institution Name],H39)</f>
        <v>212474</v>
      </c>
      <c r="AL39" s="537"/>
      <c r="AM39" s="537"/>
      <c r="AN39" s="537">
        <f>SUMIFS(ResearchInput[T.P.All],ResearchInput[Institution Name],H39)</f>
        <v>0</v>
      </c>
      <c r="AO39" s="537"/>
      <c r="AP39" s="537"/>
      <c r="AQ39" s="586">
        <f t="shared" si="1"/>
        <v>3130179</v>
      </c>
      <c r="AR39" s="537"/>
      <c r="AS39" s="540"/>
      <c r="AT39" s="142"/>
      <c r="AU39" s="142"/>
    </row>
    <row r="40" spans="1:47" s="143" customFormat="1" ht="30" customHeight="1" x14ac:dyDescent="0.3">
      <c r="A40" s="142"/>
      <c r="B40" s="142"/>
      <c r="C40" s="142"/>
      <c r="D40" s="142"/>
      <c r="E40" s="142"/>
      <c r="F40" s="142"/>
      <c r="G40" s="142"/>
      <c r="H40" s="557" t="s">
        <v>170</v>
      </c>
      <c r="I40" s="558"/>
      <c r="J40" s="558"/>
      <c r="K40" s="558"/>
      <c r="L40" s="558"/>
      <c r="M40" s="558"/>
      <c r="N40" s="558"/>
      <c r="O40" s="558"/>
      <c r="P40" s="558"/>
      <c r="Q40" s="580">
        <f>VLOOKUP(H40,ResearchInput[],8,FALSE)</f>
        <v>10115</v>
      </c>
      <c r="R40" s="580"/>
      <c r="S40" s="588">
        <f>SUMIFS(ResearchInput[T.Fed],ResearchInput[Institution Name],H40)</f>
        <v>62766570</v>
      </c>
      <c r="T40" s="532"/>
      <c r="U40" s="589"/>
      <c r="V40" s="532">
        <f>SUMIFS(ResearchInput[T.St],ResearchInput[Institution Name],H40)</f>
        <v>69564268</v>
      </c>
      <c r="W40" s="532"/>
      <c r="X40" s="532"/>
      <c r="Y40" s="532">
        <f>SUMIFS(ResearchInput[T.St.C&amp;G],ResearchInput[Institution Name],H40)</f>
        <v>4786083</v>
      </c>
      <c r="Z40" s="532"/>
      <c r="AA40" s="532"/>
      <c r="AB40" s="532">
        <f>SUMIFS(ResearchInput[T.St.All],ResearchInput[Institution Name],H40)</f>
        <v>0</v>
      </c>
      <c r="AC40" s="532"/>
      <c r="AD40" s="532"/>
      <c r="AE40" s="588">
        <f>SUMIFS(ResearchInput[T.Inst],ResearchInput[Institution Name],H40)</f>
        <v>22827816</v>
      </c>
      <c r="AF40" s="532"/>
      <c r="AG40" s="589"/>
      <c r="AH40" s="532">
        <f>SUMIFS(ResearchInput[T.P4P],ResearchInput[Institution Name],H40)</f>
        <v>9589986</v>
      </c>
      <c r="AI40" s="532"/>
      <c r="AJ40" s="532"/>
      <c r="AK40" s="532">
        <f>SUMIFS(ResearchInput[T.PNP],ResearchInput[Institution Name],H40)</f>
        <v>4991852</v>
      </c>
      <c r="AL40" s="532"/>
      <c r="AM40" s="532"/>
      <c r="AN40" s="532">
        <f>SUMIFS(ResearchInput[T.P.All],ResearchInput[Institution Name],H40)</f>
        <v>0</v>
      </c>
      <c r="AO40" s="532"/>
      <c r="AP40" s="532"/>
      <c r="AQ40" s="588">
        <f t="shared" si="1"/>
        <v>174526575</v>
      </c>
      <c r="AR40" s="532"/>
      <c r="AS40" s="533"/>
      <c r="AT40" s="142"/>
      <c r="AU40" s="142"/>
    </row>
    <row r="41" spans="1:47" s="143" customFormat="1" ht="30" customHeight="1" x14ac:dyDescent="0.3">
      <c r="A41" s="142"/>
      <c r="B41" s="142"/>
      <c r="C41" s="142"/>
      <c r="D41" s="142"/>
      <c r="E41" s="142"/>
      <c r="F41" s="142"/>
      <c r="G41" s="142"/>
      <c r="H41" s="559" t="s">
        <v>171</v>
      </c>
      <c r="I41" s="560"/>
      <c r="J41" s="560"/>
      <c r="K41" s="560"/>
      <c r="L41" s="560"/>
      <c r="M41" s="560"/>
      <c r="N41" s="560"/>
      <c r="O41" s="560"/>
      <c r="P41" s="560"/>
      <c r="Q41" s="581">
        <f>VLOOKUP(H41,ResearchInput[],8,FALSE)</f>
        <v>11163</v>
      </c>
      <c r="R41" s="581"/>
      <c r="S41" s="586">
        <f>SUMIFS(ResearchInput[T.Fed],ResearchInput[Institution Name],H41)</f>
        <v>5439320</v>
      </c>
      <c r="T41" s="537"/>
      <c r="U41" s="587"/>
      <c r="V41" s="537">
        <f>SUMIFS(ResearchInput[T.St],ResearchInput[Institution Name],H41)</f>
        <v>207113</v>
      </c>
      <c r="W41" s="537"/>
      <c r="X41" s="537"/>
      <c r="Y41" s="537">
        <f>SUMIFS(ResearchInput[T.St.C&amp;G],ResearchInput[Institution Name],H41)</f>
        <v>-1196427</v>
      </c>
      <c r="Z41" s="537"/>
      <c r="AA41" s="537"/>
      <c r="AB41" s="537">
        <f>SUMIFS(ResearchInput[T.St.All],ResearchInput[Institution Name],H41)</f>
        <v>0</v>
      </c>
      <c r="AC41" s="537"/>
      <c r="AD41" s="537"/>
      <c r="AE41" s="586">
        <f>SUMIFS(ResearchInput[T.Inst],ResearchInput[Institution Name],H41)</f>
        <v>1042340</v>
      </c>
      <c r="AF41" s="537"/>
      <c r="AG41" s="587"/>
      <c r="AH41" s="537">
        <f>SUMIFS(ResearchInput[T.P4P],ResearchInput[Institution Name],H41)</f>
        <v>31523</v>
      </c>
      <c r="AI41" s="537"/>
      <c r="AJ41" s="537"/>
      <c r="AK41" s="537">
        <f>SUMIFS(ResearchInput[T.PNP],ResearchInput[Institution Name],H41)</f>
        <v>315041</v>
      </c>
      <c r="AL41" s="537"/>
      <c r="AM41" s="537"/>
      <c r="AN41" s="537">
        <f>SUMIFS(ResearchInput[T.P.All],ResearchInput[Institution Name],H41)</f>
        <v>0</v>
      </c>
      <c r="AO41" s="537"/>
      <c r="AP41" s="537"/>
      <c r="AQ41" s="586">
        <f t="shared" si="1"/>
        <v>5838910</v>
      </c>
      <c r="AR41" s="537"/>
      <c r="AS41" s="540"/>
      <c r="AT41" s="142"/>
      <c r="AU41" s="142"/>
    </row>
    <row r="42" spans="1:47" s="143" customFormat="1" ht="30" customHeight="1" x14ac:dyDescent="0.3">
      <c r="A42" s="142"/>
      <c r="B42" s="142"/>
      <c r="C42" s="142"/>
      <c r="D42" s="142"/>
      <c r="E42" s="142"/>
      <c r="F42" s="142"/>
      <c r="G42" s="142"/>
      <c r="H42" s="557" t="s">
        <v>195</v>
      </c>
      <c r="I42" s="558"/>
      <c r="J42" s="558"/>
      <c r="K42" s="558"/>
      <c r="L42" s="558"/>
      <c r="M42" s="558"/>
      <c r="N42" s="558"/>
      <c r="O42" s="558"/>
      <c r="P42" s="558"/>
      <c r="Q42" s="580">
        <f>VLOOKUP(H42,ResearchInput[],8,FALSE)</f>
        <v>3624</v>
      </c>
      <c r="R42" s="580"/>
      <c r="S42" s="588">
        <f>SUMIFS(ResearchInput[T.Fed],ResearchInput[Institution Name],H42)</f>
        <v>993150</v>
      </c>
      <c r="T42" s="532"/>
      <c r="U42" s="589"/>
      <c r="V42" s="532">
        <f>SUMIFS(ResearchInput[T.St],ResearchInput[Institution Name],H42)</f>
        <v>860856</v>
      </c>
      <c r="W42" s="532"/>
      <c r="X42" s="532"/>
      <c r="Y42" s="532">
        <f>SUMIFS(ResearchInput[T.St.C&amp;G],ResearchInput[Institution Name],H42)</f>
        <v>274210</v>
      </c>
      <c r="Z42" s="532"/>
      <c r="AA42" s="532"/>
      <c r="AB42" s="532">
        <f>SUMIFS(ResearchInput[T.St.All],ResearchInput[Institution Name],H42)</f>
        <v>739</v>
      </c>
      <c r="AC42" s="532"/>
      <c r="AD42" s="532"/>
      <c r="AE42" s="588">
        <f>SUMIFS(ResearchInput[T.Inst],ResearchInput[Institution Name],H42)</f>
        <v>2323298</v>
      </c>
      <c r="AF42" s="532"/>
      <c r="AG42" s="589"/>
      <c r="AH42" s="532">
        <f>SUMIFS(ResearchInput[T.P4P],ResearchInput[Institution Name],H42)</f>
        <v>119490</v>
      </c>
      <c r="AI42" s="532"/>
      <c r="AJ42" s="532"/>
      <c r="AK42" s="532">
        <f>SUMIFS(ResearchInput[T.PNP],ResearchInput[Institution Name],H42)</f>
        <v>647377</v>
      </c>
      <c r="AL42" s="532"/>
      <c r="AM42" s="532"/>
      <c r="AN42" s="532">
        <f>SUMIFS(ResearchInput[T.P.All],ResearchInput[Institution Name],H42)</f>
        <v>275757</v>
      </c>
      <c r="AO42" s="532"/>
      <c r="AP42" s="532"/>
      <c r="AQ42" s="588">
        <f t="shared" si="1"/>
        <v>5494877</v>
      </c>
      <c r="AR42" s="532"/>
      <c r="AS42" s="533"/>
      <c r="AT42" s="142"/>
      <c r="AU42" s="142"/>
    </row>
    <row r="43" spans="1:47" s="143" customFormat="1" ht="30" customHeight="1" x14ac:dyDescent="0.3">
      <c r="A43" s="142"/>
      <c r="B43" s="142"/>
      <c r="C43" s="142"/>
      <c r="D43" s="142"/>
      <c r="E43" s="142"/>
      <c r="F43" s="142"/>
      <c r="G43" s="142"/>
      <c r="H43" s="559" t="s">
        <v>172</v>
      </c>
      <c r="I43" s="560"/>
      <c r="J43" s="560"/>
      <c r="K43" s="560"/>
      <c r="L43" s="560"/>
      <c r="M43" s="560"/>
      <c r="N43" s="560"/>
      <c r="O43" s="560"/>
      <c r="P43" s="560"/>
      <c r="Q43" s="581">
        <f>VLOOKUP(H43,ResearchInput[],8,FALSE)</f>
        <v>3632</v>
      </c>
      <c r="R43" s="581"/>
      <c r="S43" s="586">
        <f>SUM(S91)</f>
        <v>436838517</v>
      </c>
      <c r="T43" s="537"/>
      <c r="U43" s="587"/>
      <c r="V43" s="537">
        <f t="shared" ref="V43" si="2">SUM(V91)</f>
        <v>175924898</v>
      </c>
      <c r="W43" s="537"/>
      <c r="X43" s="537"/>
      <c r="Y43" s="537">
        <f t="shared" ref="Y43" si="3">SUM(Y91)</f>
        <v>110186905</v>
      </c>
      <c r="Z43" s="537"/>
      <c r="AA43" s="537"/>
      <c r="AB43" s="537">
        <f t="shared" ref="AB43" si="4">SUM(AB91)</f>
        <v>20801492</v>
      </c>
      <c r="AC43" s="537"/>
      <c r="AD43" s="537"/>
      <c r="AE43" s="586">
        <f t="shared" ref="AE43" si="5">SUM(AE91)</f>
        <v>259708930</v>
      </c>
      <c r="AF43" s="537"/>
      <c r="AG43" s="587"/>
      <c r="AH43" s="537">
        <f t="shared" ref="AH43" si="6">SUM(AH91)</f>
        <v>50721590</v>
      </c>
      <c r="AI43" s="537"/>
      <c r="AJ43" s="537"/>
      <c r="AK43" s="537">
        <f t="shared" ref="AK43" si="7">SUM(AK91)</f>
        <v>83007609</v>
      </c>
      <c r="AL43" s="537"/>
      <c r="AM43" s="537"/>
      <c r="AN43" s="537">
        <f t="shared" ref="AN43" si="8">SUM(AN91)</f>
        <v>3300415</v>
      </c>
      <c r="AO43" s="537"/>
      <c r="AP43" s="537"/>
      <c r="AQ43" s="586">
        <f t="shared" ref="AQ43" si="9">SUM(S43:AP43)</f>
        <v>1140490356</v>
      </c>
      <c r="AR43" s="537"/>
      <c r="AS43" s="540"/>
      <c r="AT43" s="142"/>
      <c r="AU43" s="142"/>
    </row>
    <row r="44" spans="1:47" s="143" customFormat="1" ht="30" customHeight="1" x14ac:dyDescent="0.3">
      <c r="A44" s="142"/>
      <c r="B44" s="142"/>
      <c r="C44" s="142"/>
      <c r="D44" s="142"/>
      <c r="E44" s="142"/>
      <c r="F44" s="142"/>
      <c r="G44" s="142"/>
      <c r="H44" s="557" t="s">
        <v>173</v>
      </c>
      <c r="I44" s="558"/>
      <c r="J44" s="558"/>
      <c r="K44" s="558"/>
      <c r="L44" s="558"/>
      <c r="M44" s="558"/>
      <c r="N44" s="558"/>
      <c r="O44" s="558"/>
      <c r="P44" s="558"/>
      <c r="Q44" s="580">
        <f>VLOOKUP(H44,ResearchInput[],8,FALSE)</f>
        <v>10298</v>
      </c>
      <c r="R44" s="580"/>
      <c r="S44" s="588">
        <f>SUMIFS(ResearchInput[T.Fed],ResearchInput[Institution Name],H44)</f>
        <v>3418497</v>
      </c>
      <c r="T44" s="532"/>
      <c r="U44" s="589"/>
      <c r="V44" s="532">
        <f>SUMIFS(ResearchInput[T.St],ResearchInput[Institution Name],H44)</f>
        <v>946251</v>
      </c>
      <c r="W44" s="532"/>
      <c r="X44" s="532"/>
      <c r="Y44" s="532">
        <f>SUMIFS(ResearchInput[T.St.C&amp;G],ResearchInput[Institution Name],H44)</f>
        <v>9049938</v>
      </c>
      <c r="Z44" s="532"/>
      <c r="AA44" s="532"/>
      <c r="AB44" s="532">
        <f>SUMIFS(ResearchInput[T.St.All],ResearchInput[Institution Name],H44)</f>
        <v>426164</v>
      </c>
      <c r="AC44" s="532"/>
      <c r="AD44" s="532"/>
      <c r="AE44" s="588">
        <f>SUMIFS(ResearchInput[T.Inst],ResearchInput[Institution Name],H44)</f>
        <v>2167450</v>
      </c>
      <c r="AF44" s="532"/>
      <c r="AG44" s="589"/>
      <c r="AH44" s="532">
        <f>SUMIFS(ResearchInput[T.P4P],ResearchInput[Institution Name],H44)</f>
        <v>327699</v>
      </c>
      <c r="AI44" s="532"/>
      <c r="AJ44" s="532"/>
      <c r="AK44" s="532">
        <f>SUMIFS(ResearchInput[T.PNP],ResearchInput[Institution Name],H44)</f>
        <v>976074</v>
      </c>
      <c r="AL44" s="532"/>
      <c r="AM44" s="532"/>
      <c r="AN44" s="532">
        <f>SUMIFS(ResearchInput[T.P.All],ResearchInput[Institution Name],H44)</f>
        <v>17320</v>
      </c>
      <c r="AO44" s="532"/>
      <c r="AP44" s="532"/>
      <c r="AQ44" s="588">
        <f t="shared" si="1"/>
        <v>17329393</v>
      </c>
      <c r="AR44" s="532"/>
      <c r="AS44" s="533"/>
      <c r="AT44" s="142"/>
      <c r="AU44" s="142"/>
    </row>
    <row r="45" spans="1:47" s="143" customFormat="1" ht="30" customHeight="1" x14ac:dyDescent="0.3">
      <c r="A45" s="142"/>
      <c r="B45" s="142"/>
      <c r="C45" s="142"/>
      <c r="D45" s="142"/>
      <c r="E45" s="142"/>
      <c r="F45" s="142"/>
      <c r="G45" s="142"/>
      <c r="H45" s="559" t="s">
        <v>174</v>
      </c>
      <c r="I45" s="560"/>
      <c r="J45" s="560"/>
      <c r="K45" s="560"/>
      <c r="L45" s="560"/>
      <c r="M45" s="560"/>
      <c r="N45" s="560"/>
      <c r="O45" s="560"/>
      <c r="P45" s="560"/>
      <c r="Q45" s="581">
        <f>VLOOKUP(H45,ResearchInput[],8,FALSE)</f>
        <v>3630</v>
      </c>
      <c r="R45" s="581"/>
      <c r="S45" s="586">
        <f>SUMIFS(ResearchInput[T.Fed],ResearchInput[Institution Name],H45)</f>
        <v>26784251</v>
      </c>
      <c r="T45" s="537"/>
      <c r="U45" s="587"/>
      <c r="V45" s="537">
        <f>SUMIFS(ResearchInput[T.St],ResearchInput[Institution Name],H45)</f>
        <v>12154614</v>
      </c>
      <c r="W45" s="537"/>
      <c r="X45" s="537"/>
      <c r="Y45" s="537">
        <f>SUMIFS(ResearchInput[T.St.C&amp;G],ResearchInput[Institution Name],H45)</f>
        <v>472392</v>
      </c>
      <c r="Z45" s="537"/>
      <c r="AA45" s="537"/>
      <c r="AB45" s="537">
        <f>SUMIFS(ResearchInput[T.St.All],ResearchInput[Institution Name],H45)</f>
        <v>0</v>
      </c>
      <c r="AC45" s="537"/>
      <c r="AD45" s="537"/>
      <c r="AE45" s="586">
        <f>SUMIFS(ResearchInput[T.Inst],ResearchInput[Institution Name],H45)</f>
        <v>4404015</v>
      </c>
      <c r="AF45" s="537"/>
      <c r="AG45" s="587"/>
      <c r="AH45" s="537">
        <f>SUMIFS(ResearchInput[T.P4P],ResearchInput[Institution Name],H45)</f>
        <v>972156</v>
      </c>
      <c r="AI45" s="537"/>
      <c r="AJ45" s="537"/>
      <c r="AK45" s="537">
        <f>SUMIFS(ResearchInput[T.PNP],ResearchInput[Institution Name],H45)</f>
        <v>1534499</v>
      </c>
      <c r="AL45" s="537"/>
      <c r="AM45" s="537"/>
      <c r="AN45" s="537">
        <f>SUMIFS(ResearchInput[T.P.All],ResearchInput[Institution Name],H45)</f>
        <v>10000</v>
      </c>
      <c r="AO45" s="537"/>
      <c r="AP45" s="537"/>
      <c r="AQ45" s="586">
        <f t="shared" si="1"/>
        <v>46331927</v>
      </c>
      <c r="AR45" s="537"/>
      <c r="AS45" s="540"/>
      <c r="AT45" s="142"/>
      <c r="AU45" s="142"/>
    </row>
    <row r="46" spans="1:47" s="143" customFormat="1" ht="30" customHeight="1" x14ac:dyDescent="0.3">
      <c r="A46" s="142"/>
      <c r="B46" s="142"/>
      <c r="C46" s="142"/>
      <c r="D46" s="142"/>
      <c r="E46" s="142"/>
      <c r="F46" s="142"/>
      <c r="G46" s="142"/>
      <c r="H46" s="557" t="s">
        <v>175</v>
      </c>
      <c r="I46" s="558"/>
      <c r="J46" s="558"/>
      <c r="K46" s="558"/>
      <c r="L46" s="558"/>
      <c r="M46" s="558"/>
      <c r="N46" s="558"/>
      <c r="O46" s="558"/>
      <c r="P46" s="558"/>
      <c r="Q46" s="580">
        <f>VLOOKUP(H46,ResearchInput[],8,FALSE)</f>
        <v>3631</v>
      </c>
      <c r="R46" s="580"/>
      <c r="S46" s="588">
        <f>SUMIFS(ResearchInput[T.Fed],ResearchInput[Institution Name],H46)</f>
        <v>5232151</v>
      </c>
      <c r="T46" s="532"/>
      <c r="U46" s="589"/>
      <c r="V46" s="532">
        <f>SUMIFS(ResearchInput[T.St],ResearchInput[Institution Name],H46)</f>
        <v>9129350</v>
      </c>
      <c r="W46" s="532"/>
      <c r="X46" s="532"/>
      <c r="Y46" s="532">
        <f>SUMIFS(ResearchInput[T.St.C&amp;G],ResearchInput[Institution Name],H46)</f>
        <v>1887392</v>
      </c>
      <c r="Z46" s="532"/>
      <c r="AA46" s="532"/>
      <c r="AB46" s="532">
        <f>SUMIFS(ResearchInput[T.St.All],ResearchInput[Institution Name],H46)</f>
        <v>-96915</v>
      </c>
      <c r="AC46" s="532"/>
      <c r="AD46" s="532"/>
      <c r="AE46" s="588">
        <f>SUMIFS(ResearchInput[T.Inst],ResearchInput[Institution Name],H46)</f>
        <v>7436711</v>
      </c>
      <c r="AF46" s="532"/>
      <c r="AG46" s="589"/>
      <c r="AH46" s="532">
        <f>SUMIFS(ResearchInput[T.P4P],ResearchInput[Institution Name],H46)</f>
        <v>268910</v>
      </c>
      <c r="AI46" s="532"/>
      <c r="AJ46" s="532"/>
      <c r="AK46" s="532">
        <f>SUMIFS(ResearchInput[T.PNP],ResearchInput[Institution Name],H46)</f>
        <v>338418</v>
      </c>
      <c r="AL46" s="532"/>
      <c r="AM46" s="532"/>
      <c r="AN46" s="532">
        <f>SUMIFS(ResearchInput[T.P.All],ResearchInput[Institution Name],H46)</f>
        <v>0</v>
      </c>
      <c r="AO46" s="532"/>
      <c r="AP46" s="532"/>
      <c r="AQ46" s="588">
        <f t="shared" si="1"/>
        <v>24196017</v>
      </c>
      <c r="AR46" s="532"/>
      <c r="AS46" s="533"/>
      <c r="AT46" s="142"/>
      <c r="AU46" s="142"/>
    </row>
    <row r="47" spans="1:47" s="143" customFormat="1" ht="30" customHeight="1" x14ac:dyDescent="0.3">
      <c r="A47" s="142"/>
      <c r="B47" s="142"/>
      <c r="C47" s="142"/>
      <c r="D47" s="142"/>
      <c r="E47" s="142"/>
      <c r="F47" s="142"/>
      <c r="G47" s="142"/>
      <c r="H47" s="559" t="s">
        <v>182</v>
      </c>
      <c r="I47" s="560"/>
      <c r="J47" s="560"/>
      <c r="K47" s="560"/>
      <c r="L47" s="560"/>
      <c r="M47" s="560"/>
      <c r="N47" s="560"/>
      <c r="O47" s="560"/>
      <c r="P47" s="560"/>
      <c r="Q47" s="581">
        <f>VLOOKUP(H47,ResearchInput[],8,FALSE)</f>
        <v>42295</v>
      </c>
      <c r="R47" s="581"/>
      <c r="S47" s="586">
        <f>SUMIFS(ResearchInput[T.Fed],ResearchInput[Institution Name],H47)</f>
        <v>1527431</v>
      </c>
      <c r="T47" s="537"/>
      <c r="U47" s="587"/>
      <c r="V47" s="537">
        <f>SUMIFS(ResearchInput[T.St],ResearchInput[Institution Name],H47)</f>
        <v>0</v>
      </c>
      <c r="W47" s="537"/>
      <c r="X47" s="537"/>
      <c r="Y47" s="537">
        <f>SUMIFS(ResearchInput[T.St.C&amp;G],ResearchInput[Institution Name],H47)</f>
        <v>0</v>
      </c>
      <c r="Z47" s="537"/>
      <c r="AA47" s="537"/>
      <c r="AB47" s="537">
        <f>SUMIFS(ResearchInput[T.St.All],ResearchInput[Institution Name],H47)</f>
        <v>0</v>
      </c>
      <c r="AC47" s="537"/>
      <c r="AD47" s="537"/>
      <c r="AE47" s="586">
        <f>SUMIFS(ResearchInput[T.Inst],ResearchInput[Institution Name],H47)</f>
        <v>377</v>
      </c>
      <c r="AF47" s="537"/>
      <c r="AG47" s="587"/>
      <c r="AH47" s="537">
        <f>SUMIFS(ResearchInput[T.P4P],ResearchInput[Institution Name],H47)</f>
        <v>0</v>
      </c>
      <c r="AI47" s="537"/>
      <c r="AJ47" s="537"/>
      <c r="AK47" s="537">
        <f>SUMIFS(ResearchInput[T.PNP],ResearchInput[Institution Name],H47)</f>
        <v>14161</v>
      </c>
      <c r="AL47" s="537"/>
      <c r="AM47" s="537"/>
      <c r="AN47" s="537">
        <f>SUMIFS(ResearchInput[T.P.All],ResearchInput[Institution Name],H47)</f>
        <v>5633</v>
      </c>
      <c r="AO47" s="537"/>
      <c r="AP47" s="537"/>
      <c r="AQ47" s="586">
        <f t="shared" si="1"/>
        <v>1547602</v>
      </c>
      <c r="AR47" s="537"/>
      <c r="AS47" s="540"/>
      <c r="AT47" s="142"/>
      <c r="AU47" s="142"/>
    </row>
    <row r="48" spans="1:47" s="143" customFormat="1" ht="30" customHeight="1" x14ac:dyDescent="0.3">
      <c r="A48" s="142"/>
      <c r="B48" s="142"/>
      <c r="C48" s="142"/>
      <c r="D48" s="142"/>
      <c r="E48" s="142"/>
      <c r="F48" s="142"/>
      <c r="G48" s="142"/>
      <c r="H48" s="557" t="s">
        <v>176</v>
      </c>
      <c r="I48" s="558"/>
      <c r="J48" s="558"/>
      <c r="K48" s="558"/>
      <c r="L48" s="558"/>
      <c r="M48" s="558"/>
      <c r="N48" s="558"/>
      <c r="O48" s="558"/>
      <c r="P48" s="558"/>
      <c r="Q48" s="580">
        <f>VLOOKUP(H48,ResearchInput[],8,FALSE)</f>
        <v>11161</v>
      </c>
      <c r="R48" s="580"/>
      <c r="S48" s="588">
        <f>SUMIFS(ResearchInput[T.Fed],ResearchInput[Institution Name],H48)</f>
        <v>20306874</v>
      </c>
      <c r="T48" s="532"/>
      <c r="U48" s="589"/>
      <c r="V48" s="532">
        <f>SUMIFS(ResearchInput[T.St],ResearchInput[Institution Name],H48)</f>
        <v>9486144</v>
      </c>
      <c r="W48" s="532"/>
      <c r="X48" s="532"/>
      <c r="Y48" s="532">
        <f>SUMIFS(ResearchInput[T.St.C&amp;G],ResearchInput[Institution Name],H48)</f>
        <v>6344778</v>
      </c>
      <c r="Z48" s="532"/>
      <c r="AA48" s="532"/>
      <c r="AB48" s="532">
        <f>SUMIFS(ResearchInput[T.St.All],ResearchInput[Institution Name],H48)</f>
        <v>253524</v>
      </c>
      <c r="AC48" s="532"/>
      <c r="AD48" s="532"/>
      <c r="AE48" s="588">
        <f>SUMIFS(ResearchInput[T.Inst],ResearchInput[Institution Name],H48)</f>
        <v>4941743</v>
      </c>
      <c r="AF48" s="532"/>
      <c r="AG48" s="589"/>
      <c r="AH48" s="532">
        <f>SUMIFS(ResearchInput[T.P4P],ResearchInput[Institution Name],H48)</f>
        <v>901980</v>
      </c>
      <c r="AI48" s="532"/>
      <c r="AJ48" s="532"/>
      <c r="AK48" s="532">
        <f>SUMIFS(ResearchInput[T.PNP],ResearchInput[Institution Name],H48)</f>
        <v>7366090</v>
      </c>
      <c r="AL48" s="532"/>
      <c r="AM48" s="532"/>
      <c r="AN48" s="532">
        <f>SUMIFS(ResearchInput[T.P.All],ResearchInput[Institution Name],H48)</f>
        <v>112704</v>
      </c>
      <c r="AO48" s="532"/>
      <c r="AP48" s="532"/>
      <c r="AQ48" s="588">
        <f>SUM(S48:AP48)</f>
        <v>49713837</v>
      </c>
      <c r="AR48" s="532"/>
      <c r="AS48" s="533"/>
      <c r="AT48" s="142"/>
      <c r="AU48" s="142"/>
    </row>
    <row r="49" spans="1:47" s="143" customFormat="1" ht="30" customHeight="1" x14ac:dyDescent="0.3">
      <c r="A49" s="142"/>
      <c r="B49" s="142"/>
      <c r="C49" s="142"/>
      <c r="D49" s="142"/>
      <c r="E49" s="142"/>
      <c r="F49" s="142"/>
      <c r="G49" s="142"/>
      <c r="H49" s="559" t="s">
        <v>177</v>
      </c>
      <c r="I49" s="560"/>
      <c r="J49" s="560"/>
      <c r="K49" s="560"/>
      <c r="L49" s="560"/>
      <c r="M49" s="560"/>
      <c r="N49" s="560"/>
      <c r="O49" s="560"/>
      <c r="P49" s="560"/>
      <c r="Q49" s="581">
        <f>VLOOKUP(H49,ResearchInput[],8,FALSE)</f>
        <v>3639</v>
      </c>
      <c r="R49" s="581"/>
      <c r="S49" s="586">
        <f>SUMIFS(ResearchInput[T.Fed],ResearchInput[Institution Name],H49)</f>
        <v>16447806</v>
      </c>
      <c r="T49" s="537"/>
      <c r="U49" s="587"/>
      <c r="V49" s="537">
        <f>SUMIFS(ResearchInput[T.St],ResearchInput[Institution Name],H49)</f>
        <v>8502795</v>
      </c>
      <c r="W49" s="537"/>
      <c r="X49" s="537"/>
      <c r="Y49" s="537">
        <f>SUMIFS(ResearchInput[T.St.C&amp;G],ResearchInput[Institution Name],H49)</f>
        <v>1474015</v>
      </c>
      <c r="Z49" s="537"/>
      <c r="AA49" s="537"/>
      <c r="AB49" s="537">
        <f>SUMIFS(ResearchInput[T.St.All],ResearchInput[Institution Name],H49)</f>
        <v>0</v>
      </c>
      <c r="AC49" s="537"/>
      <c r="AD49" s="537"/>
      <c r="AE49" s="586">
        <f>SUMIFS(ResearchInput[T.Inst],ResearchInput[Institution Name],H49)</f>
        <v>2041917</v>
      </c>
      <c r="AF49" s="537"/>
      <c r="AG49" s="587"/>
      <c r="AH49" s="537">
        <f>SUMIFS(ResearchInput[T.P4P],ResearchInput[Institution Name],H49)</f>
        <v>983727</v>
      </c>
      <c r="AI49" s="537"/>
      <c r="AJ49" s="537"/>
      <c r="AK49" s="537">
        <f>SUMIFS(ResearchInput[T.PNP],ResearchInput[Institution Name],H49)</f>
        <v>6054941</v>
      </c>
      <c r="AL49" s="537"/>
      <c r="AM49" s="537"/>
      <c r="AN49" s="537">
        <f>SUMIFS(ResearchInput[T.P.All],ResearchInput[Institution Name],H49)</f>
        <v>0</v>
      </c>
      <c r="AO49" s="537"/>
      <c r="AP49" s="537"/>
      <c r="AQ49" s="586">
        <f t="shared" ref="AQ49:AQ61" si="10">SUM(S49:AP49)</f>
        <v>35505201</v>
      </c>
      <c r="AR49" s="537"/>
      <c r="AS49" s="540"/>
      <c r="AT49" s="142"/>
      <c r="AU49" s="142"/>
    </row>
    <row r="50" spans="1:47" s="143" customFormat="1" ht="30" customHeight="1" x14ac:dyDescent="0.3">
      <c r="A50" s="142"/>
      <c r="B50" s="142"/>
      <c r="C50" s="142"/>
      <c r="D50" s="142"/>
      <c r="E50" s="142"/>
      <c r="F50" s="142"/>
      <c r="G50" s="142"/>
      <c r="H50" s="557" t="s">
        <v>183</v>
      </c>
      <c r="I50" s="558"/>
      <c r="J50" s="558"/>
      <c r="K50" s="558"/>
      <c r="L50" s="558"/>
      <c r="M50" s="558"/>
      <c r="N50" s="558"/>
      <c r="O50" s="558"/>
      <c r="P50" s="558"/>
      <c r="Q50" s="580">
        <f>VLOOKUP(H50,ResearchInput[],8,FALSE)</f>
        <v>42485</v>
      </c>
      <c r="R50" s="580"/>
      <c r="S50" s="588">
        <f>SUMIFS(ResearchInput[T.Fed],ResearchInput[Institution Name],H50)</f>
        <v>1773969</v>
      </c>
      <c r="T50" s="532"/>
      <c r="U50" s="589"/>
      <c r="V50" s="532">
        <f>SUMIFS(ResearchInput[T.St],ResearchInput[Institution Name],H50)</f>
        <v>33772</v>
      </c>
      <c r="W50" s="532"/>
      <c r="X50" s="532"/>
      <c r="Y50" s="532">
        <f>SUMIFS(ResearchInput[T.St.C&amp;G],ResearchInput[Institution Name],H50)</f>
        <v>343744</v>
      </c>
      <c r="Z50" s="532"/>
      <c r="AA50" s="532"/>
      <c r="AB50" s="532">
        <f>SUMIFS(ResearchInput[T.St.All],ResearchInput[Institution Name],H50)</f>
        <v>72865</v>
      </c>
      <c r="AC50" s="532"/>
      <c r="AD50" s="532"/>
      <c r="AE50" s="588">
        <f>SUMIFS(ResearchInput[T.Inst],ResearchInput[Institution Name],H50)</f>
        <v>2082832</v>
      </c>
      <c r="AF50" s="532"/>
      <c r="AG50" s="589"/>
      <c r="AH50" s="532">
        <f>SUMIFS(ResearchInput[T.P4P],ResearchInput[Institution Name],H50)</f>
        <v>143533</v>
      </c>
      <c r="AI50" s="532"/>
      <c r="AJ50" s="532"/>
      <c r="AK50" s="532">
        <f>SUMIFS(ResearchInput[T.PNP],ResearchInput[Institution Name],H50)</f>
        <v>193125</v>
      </c>
      <c r="AL50" s="532"/>
      <c r="AM50" s="532"/>
      <c r="AN50" s="532">
        <f>SUMIFS(ResearchInput[T.P.All],ResearchInput[Institution Name],H50)</f>
        <v>334929</v>
      </c>
      <c r="AO50" s="532"/>
      <c r="AP50" s="532"/>
      <c r="AQ50" s="588">
        <f t="shared" si="10"/>
        <v>4978769</v>
      </c>
      <c r="AR50" s="532"/>
      <c r="AS50" s="533"/>
      <c r="AT50" s="142"/>
      <c r="AU50" s="142"/>
    </row>
    <row r="51" spans="1:47" s="143" customFormat="1" ht="30" customHeight="1" x14ac:dyDescent="0.3">
      <c r="A51" s="142"/>
      <c r="B51" s="142"/>
      <c r="C51" s="142"/>
      <c r="D51" s="142"/>
      <c r="E51" s="142"/>
      <c r="F51" s="142"/>
      <c r="G51" s="142"/>
      <c r="H51" s="559" t="s">
        <v>178</v>
      </c>
      <c r="I51" s="560"/>
      <c r="J51" s="560"/>
      <c r="K51" s="560"/>
      <c r="L51" s="560"/>
      <c r="M51" s="560"/>
      <c r="N51" s="560"/>
      <c r="O51" s="560"/>
      <c r="P51" s="560"/>
      <c r="Q51" s="581">
        <f>VLOOKUP(H51,ResearchInput[],8,FALSE)</f>
        <v>9651</v>
      </c>
      <c r="R51" s="581"/>
      <c r="S51" s="586">
        <f>SUMIFS(ResearchInput[T.Fed],ResearchInput[Institution Name],H51)</f>
        <v>6354063</v>
      </c>
      <c r="T51" s="537"/>
      <c r="U51" s="587"/>
      <c r="V51" s="537">
        <f>SUMIFS(ResearchInput[T.St],ResearchInput[Institution Name],H51)</f>
        <v>1857209</v>
      </c>
      <c r="W51" s="537"/>
      <c r="X51" s="537"/>
      <c r="Y51" s="537">
        <f>SUMIFS(ResearchInput[T.St.C&amp;G],ResearchInput[Institution Name],H51)</f>
        <v>16617</v>
      </c>
      <c r="Z51" s="537"/>
      <c r="AA51" s="537"/>
      <c r="AB51" s="537">
        <f>SUMIFS(ResearchInput[T.St.All],ResearchInput[Institution Name],H51)</f>
        <v>0</v>
      </c>
      <c r="AC51" s="537"/>
      <c r="AD51" s="537"/>
      <c r="AE51" s="586">
        <f>SUMIFS(ResearchInput[T.Inst],ResearchInput[Institution Name],H51)</f>
        <v>1184299</v>
      </c>
      <c r="AF51" s="537"/>
      <c r="AG51" s="587"/>
      <c r="AH51" s="537">
        <f>SUMIFS(ResearchInput[T.P4P],ResearchInput[Institution Name],H51)</f>
        <v>187227</v>
      </c>
      <c r="AI51" s="537"/>
      <c r="AJ51" s="537"/>
      <c r="AK51" s="537">
        <f>SUMIFS(ResearchInput[T.PNP],ResearchInput[Institution Name],H51)</f>
        <v>1164527</v>
      </c>
      <c r="AL51" s="537"/>
      <c r="AM51" s="537"/>
      <c r="AN51" s="537">
        <f>SUMIFS(ResearchInput[T.P.All],ResearchInput[Institution Name],H51)</f>
        <v>0</v>
      </c>
      <c r="AO51" s="537"/>
      <c r="AP51" s="537"/>
      <c r="AQ51" s="586">
        <f t="shared" si="10"/>
        <v>10763942</v>
      </c>
      <c r="AR51" s="537"/>
      <c r="AS51" s="540"/>
      <c r="AT51" s="142"/>
      <c r="AU51" s="142"/>
    </row>
    <row r="52" spans="1:47" s="143" customFormat="1" ht="30" customHeight="1" x14ac:dyDescent="0.3">
      <c r="A52" s="142"/>
      <c r="B52" s="142"/>
      <c r="C52" s="142"/>
      <c r="D52" s="142"/>
      <c r="E52" s="142"/>
      <c r="F52" s="142"/>
      <c r="G52" s="142"/>
      <c r="H52" s="557" t="s">
        <v>180</v>
      </c>
      <c r="I52" s="558"/>
      <c r="J52" s="558"/>
      <c r="K52" s="558"/>
      <c r="L52" s="558"/>
      <c r="M52" s="558"/>
      <c r="N52" s="558"/>
      <c r="O52" s="558"/>
      <c r="P52" s="558"/>
      <c r="Q52" s="580">
        <f>VLOOKUP(H52,ResearchInput[],8,FALSE)</f>
        <v>3565</v>
      </c>
      <c r="R52" s="580"/>
      <c r="S52" s="588">
        <f>SUMIFS(ResearchInput[T.Fed],ResearchInput[Institution Name],H52)</f>
        <v>2348841</v>
      </c>
      <c r="T52" s="532"/>
      <c r="U52" s="589"/>
      <c r="V52" s="532">
        <f>SUMIFS(ResearchInput[T.St],ResearchInput[Institution Name],H52)</f>
        <v>1045408</v>
      </c>
      <c r="W52" s="532"/>
      <c r="X52" s="532"/>
      <c r="Y52" s="532">
        <f>SUMIFS(ResearchInput[T.St.C&amp;G],ResearchInput[Institution Name],H52)</f>
        <v>0</v>
      </c>
      <c r="Z52" s="532"/>
      <c r="AA52" s="532"/>
      <c r="AB52" s="532">
        <f>SUMIFS(ResearchInput[T.St.All],ResearchInput[Institution Name],H52)</f>
        <v>0</v>
      </c>
      <c r="AC52" s="532"/>
      <c r="AD52" s="532"/>
      <c r="AE52" s="588">
        <f>SUMIFS(ResearchInput[T.Inst],ResearchInput[Institution Name],H52)</f>
        <v>1090318</v>
      </c>
      <c r="AF52" s="532"/>
      <c r="AG52" s="589"/>
      <c r="AH52" s="532">
        <f>SUMIFS(ResearchInput[T.P4P],ResearchInput[Institution Name],H52)</f>
        <v>350</v>
      </c>
      <c r="AI52" s="532"/>
      <c r="AJ52" s="532"/>
      <c r="AK52" s="532">
        <f>SUMIFS(ResearchInput[T.PNP],ResearchInput[Institution Name],H52)</f>
        <v>64030</v>
      </c>
      <c r="AL52" s="532"/>
      <c r="AM52" s="532"/>
      <c r="AN52" s="532">
        <f>SUMIFS(ResearchInput[T.P.All],ResearchInput[Institution Name],H52)</f>
        <v>0</v>
      </c>
      <c r="AO52" s="532"/>
      <c r="AP52" s="532"/>
      <c r="AQ52" s="588">
        <f t="shared" si="10"/>
        <v>4548947</v>
      </c>
      <c r="AR52" s="532"/>
      <c r="AS52" s="533"/>
      <c r="AT52" s="142"/>
      <c r="AU52" s="142"/>
    </row>
    <row r="53" spans="1:47" s="143" customFormat="1" ht="30" customHeight="1" x14ac:dyDescent="0.3">
      <c r="A53" s="142"/>
      <c r="B53" s="142"/>
      <c r="C53" s="142"/>
      <c r="D53" s="142"/>
      <c r="E53" s="142"/>
      <c r="F53" s="142"/>
      <c r="G53" s="142"/>
      <c r="H53" s="559" t="s">
        <v>179</v>
      </c>
      <c r="I53" s="560"/>
      <c r="J53" s="560"/>
      <c r="K53" s="560"/>
      <c r="L53" s="560"/>
      <c r="M53" s="560"/>
      <c r="N53" s="560"/>
      <c r="O53" s="560"/>
      <c r="P53" s="560"/>
      <c r="Q53" s="581">
        <f>VLOOKUP(H53,ResearchInput[],8,FALSE)</f>
        <v>3665</v>
      </c>
      <c r="R53" s="581"/>
      <c r="S53" s="586">
        <f>SUMIFS(ResearchInput[T.Fed],ResearchInput[Institution Name],H53)</f>
        <v>1905932</v>
      </c>
      <c r="T53" s="537"/>
      <c r="U53" s="587"/>
      <c r="V53" s="537">
        <f>SUMIFS(ResearchInput[T.St],ResearchInput[Institution Name],H53)</f>
        <v>8874991</v>
      </c>
      <c r="W53" s="537"/>
      <c r="X53" s="537"/>
      <c r="Y53" s="537">
        <f>SUMIFS(ResearchInput[T.St.C&amp;G],ResearchInput[Institution Name],H53)</f>
        <v>115315</v>
      </c>
      <c r="Z53" s="537"/>
      <c r="AA53" s="537"/>
      <c r="AB53" s="537">
        <f>SUMIFS(ResearchInput[T.St.All],ResearchInput[Institution Name],H53)</f>
        <v>0</v>
      </c>
      <c r="AC53" s="537"/>
      <c r="AD53" s="537"/>
      <c r="AE53" s="586">
        <f>SUMIFS(ResearchInput[T.Inst],ResearchInput[Institution Name],H53)</f>
        <v>1573231</v>
      </c>
      <c r="AF53" s="537"/>
      <c r="AG53" s="587"/>
      <c r="AH53" s="537">
        <f>SUMIFS(ResearchInput[T.P4P],ResearchInput[Institution Name],H53)</f>
        <v>1035986</v>
      </c>
      <c r="AI53" s="537"/>
      <c r="AJ53" s="537"/>
      <c r="AK53" s="537">
        <f>SUMIFS(ResearchInput[T.PNP],ResearchInput[Institution Name],H53)</f>
        <v>154398</v>
      </c>
      <c r="AL53" s="537"/>
      <c r="AM53" s="537"/>
      <c r="AN53" s="537">
        <f>SUMIFS(ResearchInput[T.P.All],ResearchInput[Institution Name],H53)</f>
        <v>0</v>
      </c>
      <c r="AO53" s="537"/>
      <c r="AP53" s="537"/>
      <c r="AQ53" s="586">
        <f t="shared" si="10"/>
        <v>13659853</v>
      </c>
      <c r="AR53" s="537"/>
      <c r="AS53" s="540"/>
      <c r="AT53" s="142"/>
      <c r="AU53" s="142"/>
    </row>
    <row r="54" spans="1:47" s="143" customFormat="1" ht="30" customHeight="1" x14ac:dyDescent="0.3">
      <c r="A54" s="142"/>
      <c r="B54" s="142"/>
      <c r="C54" s="142"/>
      <c r="D54" s="142"/>
      <c r="E54" s="142"/>
      <c r="F54" s="142"/>
      <c r="G54" s="142"/>
      <c r="H54" s="557" t="s">
        <v>181</v>
      </c>
      <c r="I54" s="558"/>
      <c r="J54" s="558"/>
      <c r="K54" s="558"/>
      <c r="L54" s="558"/>
      <c r="M54" s="558"/>
      <c r="N54" s="558"/>
      <c r="O54" s="558"/>
      <c r="P54" s="558"/>
      <c r="Q54" s="580">
        <f>VLOOKUP(H54,ResearchInput[],8,FALSE)</f>
        <v>29269</v>
      </c>
      <c r="R54" s="580"/>
      <c r="S54" s="588">
        <f>SUMIFS(ResearchInput[T.Fed],ResearchInput[Institution Name],H54)</f>
        <v>0</v>
      </c>
      <c r="T54" s="532"/>
      <c r="U54" s="589"/>
      <c r="V54" s="532">
        <f>SUMIFS(ResearchInput[T.St],ResearchInput[Institution Name],H54)</f>
        <v>530</v>
      </c>
      <c r="W54" s="532"/>
      <c r="X54" s="532"/>
      <c r="Y54" s="532">
        <f>SUMIFS(ResearchInput[T.St.C&amp;G],ResearchInput[Institution Name],H54)</f>
        <v>20940</v>
      </c>
      <c r="Z54" s="532"/>
      <c r="AA54" s="532"/>
      <c r="AB54" s="532">
        <f>SUMIFS(ResearchInput[T.St.All],ResearchInput[Institution Name],H54)</f>
        <v>0</v>
      </c>
      <c r="AC54" s="532"/>
      <c r="AD54" s="532"/>
      <c r="AE54" s="588">
        <f>SUMIFS(ResearchInput[T.Inst],ResearchInput[Institution Name],H54)</f>
        <v>8798</v>
      </c>
      <c r="AF54" s="532"/>
      <c r="AG54" s="589"/>
      <c r="AH54" s="532">
        <f>SUMIFS(ResearchInput[T.P4P],ResearchInput[Institution Name],H54)</f>
        <v>0</v>
      </c>
      <c r="AI54" s="532"/>
      <c r="AJ54" s="532"/>
      <c r="AK54" s="532">
        <f>SUMIFS(ResearchInput[T.PNP],ResearchInput[Institution Name],H54)</f>
        <v>87033</v>
      </c>
      <c r="AL54" s="532"/>
      <c r="AM54" s="532"/>
      <c r="AN54" s="532">
        <f>SUMIFS(ResearchInput[T.P.All],ResearchInput[Institution Name],H54)</f>
        <v>0</v>
      </c>
      <c r="AO54" s="532"/>
      <c r="AP54" s="532"/>
      <c r="AQ54" s="588">
        <f t="shared" si="10"/>
        <v>117301</v>
      </c>
      <c r="AR54" s="532"/>
      <c r="AS54" s="533"/>
      <c r="AT54" s="142"/>
      <c r="AU54" s="142"/>
    </row>
    <row r="55" spans="1:47" s="143" customFormat="1" ht="30" customHeight="1" x14ac:dyDescent="0.3">
      <c r="A55" s="142"/>
      <c r="B55" s="142"/>
      <c r="C55" s="142"/>
      <c r="D55" s="142"/>
      <c r="E55" s="142"/>
      <c r="F55" s="142"/>
      <c r="G55" s="142"/>
      <c r="H55" s="559" t="s">
        <v>184</v>
      </c>
      <c r="I55" s="560"/>
      <c r="J55" s="560"/>
      <c r="K55" s="560"/>
      <c r="L55" s="560"/>
      <c r="M55" s="560"/>
      <c r="N55" s="560"/>
      <c r="O55" s="560"/>
      <c r="P55" s="560"/>
      <c r="Q55" s="581">
        <f>VLOOKUP(H55,ResearchInput[],8,FALSE)</f>
        <v>3652</v>
      </c>
      <c r="R55" s="581"/>
      <c r="S55" s="586">
        <f>SUMIFS(ResearchInput[T.Fed],ResearchInput[Institution Name],H55)</f>
        <v>126411374</v>
      </c>
      <c r="T55" s="537"/>
      <c r="U55" s="587"/>
      <c r="V55" s="537">
        <f>SUMIFS(ResearchInput[T.St],ResearchInput[Institution Name],H55)</f>
        <v>18247693</v>
      </c>
      <c r="W55" s="537"/>
      <c r="X55" s="537"/>
      <c r="Y55" s="537">
        <f>SUMIFS(ResearchInput[T.St.C&amp;G],ResearchInput[Institution Name],H55)</f>
        <v>4784967</v>
      </c>
      <c r="Z55" s="537"/>
      <c r="AA55" s="537"/>
      <c r="AB55" s="537">
        <f>SUMIFS(ResearchInput[T.St.All],ResearchInput[Institution Name],H55)</f>
        <v>119830</v>
      </c>
      <c r="AC55" s="537"/>
      <c r="AD55" s="537"/>
      <c r="AE55" s="586">
        <f>SUMIFS(ResearchInput[T.Inst],ResearchInput[Institution Name],H55)</f>
        <v>36689804</v>
      </c>
      <c r="AF55" s="537"/>
      <c r="AG55" s="587"/>
      <c r="AH55" s="537">
        <f>SUMIFS(ResearchInput[T.P4P],ResearchInput[Institution Name],H55)</f>
        <v>6964990</v>
      </c>
      <c r="AI55" s="537"/>
      <c r="AJ55" s="537"/>
      <c r="AK55" s="537">
        <f>SUMIFS(ResearchInput[T.PNP],ResearchInput[Institution Name],H55)</f>
        <v>9972514</v>
      </c>
      <c r="AL55" s="537"/>
      <c r="AM55" s="537"/>
      <c r="AN55" s="537">
        <f>SUMIFS(ResearchInput[T.P.All],ResearchInput[Institution Name],H55)</f>
        <v>6222872</v>
      </c>
      <c r="AO55" s="537"/>
      <c r="AP55" s="537"/>
      <c r="AQ55" s="586">
        <f t="shared" si="10"/>
        <v>209414044</v>
      </c>
      <c r="AR55" s="537"/>
      <c r="AS55" s="540"/>
      <c r="AT55" s="142"/>
      <c r="AU55" s="142"/>
    </row>
    <row r="56" spans="1:47" s="143" customFormat="1" ht="30" customHeight="1" x14ac:dyDescent="0.3">
      <c r="A56" s="142"/>
      <c r="B56" s="142"/>
      <c r="C56" s="142"/>
      <c r="D56" s="142"/>
      <c r="E56" s="142"/>
      <c r="F56" s="142"/>
      <c r="G56" s="142"/>
      <c r="H56" s="557" t="s">
        <v>185</v>
      </c>
      <c r="I56" s="558"/>
      <c r="J56" s="558"/>
      <c r="K56" s="558"/>
      <c r="L56" s="558"/>
      <c r="M56" s="558"/>
      <c r="N56" s="558"/>
      <c r="O56" s="558"/>
      <c r="P56" s="558"/>
      <c r="Q56" s="580">
        <f>VLOOKUP(H56,ResearchInput[],8,FALSE)</f>
        <v>11711</v>
      </c>
      <c r="R56" s="580"/>
      <c r="S56" s="588">
        <f>SUMIFS(ResearchInput[T.Fed],ResearchInput[Institution Name],H56)</f>
        <v>1589778</v>
      </c>
      <c r="T56" s="532"/>
      <c r="U56" s="589"/>
      <c r="V56" s="532">
        <f>SUMIFS(ResearchInput[T.St],ResearchInput[Institution Name],H56)</f>
        <v>301767</v>
      </c>
      <c r="W56" s="532"/>
      <c r="X56" s="532"/>
      <c r="Y56" s="532">
        <f>SUMIFS(ResearchInput[T.St.C&amp;G],ResearchInput[Institution Name],H56)</f>
        <v>528299</v>
      </c>
      <c r="Z56" s="532"/>
      <c r="AA56" s="532"/>
      <c r="AB56" s="532">
        <f>SUMIFS(ResearchInput[T.St.All],ResearchInput[Institution Name],H56)</f>
        <v>0</v>
      </c>
      <c r="AC56" s="532"/>
      <c r="AD56" s="532"/>
      <c r="AE56" s="588">
        <f>SUMIFS(ResearchInput[T.Inst],ResearchInput[Institution Name],H56)</f>
        <v>-151380</v>
      </c>
      <c r="AF56" s="532"/>
      <c r="AG56" s="589"/>
      <c r="AH56" s="532">
        <f>SUMIFS(ResearchInput[T.P4P],ResearchInput[Institution Name],H56)</f>
        <v>1340259</v>
      </c>
      <c r="AI56" s="532"/>
      <c r="AJ56" s="532"/>
      <c r="AK56" s="532">
        <f>SUMIFS(ResearchInput[T.PNP],ResearchInput[Institution Name],H56)</f>
        <v>263014</v>
      </c>
      <c r="AL56" s="532"/>
      <c r="AM56" s="532"/>
      <c r="AN56" s="532">
        <f>SUMIFS(ResearchInput[T.P.All],ResearchInput[Institution Name],H56)</f>
        <v>0</v>
      </c>
      <c r="AO56" s="532"/>
      <c r="AP56" s="532"/>
      <c r="AQ56" s="588">
        <f t="shared" si="10"/>
        <v>3871737</v>
      </c>
      <c r="AR56" s="532"/>
      <c r="AS56" s="533"/>
      <c r="AT56" s="142"/>
      <c r="AU56" s="142"/>
    </row>
    <row r="57" spans="1:47" s="143" customFormat="1" ht="30" customHeight="1" x14ac:dyDescent="0.3">
      <c r="A57" s="142"/>
      <c r="B57" s="142"/>
      <c r="C57" s="142"/>
      <c r="D57" s="142"/>
      <c r="E57" s="142"/>
      <c r="F57" s="142"/>
      <c r="G57" s="142"/>
      <c r="H57" s="559" t="s">
        <v>186</v>
      </c>
      <c r="I57" s="560"/>
      <c r="J57" s="560"/>
      <c r="K57" s="560"/>
      <c r="L57" s="560"/>
      <c r="M57" s="560"/>
      <c r="N57" s="560"/>
      <c r="O57" s="560"/>
      <c r="P57" s="560"/>
      <c r="Q57" s="581">
        <f>VLOOKUP(H57,ResearchInput[],8,FALSE)</f>
        <v>12826</v>
      </c>
      <c r="R57" s="581"/>
      <c r="S57" s="586">
        <f>SUMIFS(ResearchInput[T.Fed],ResearchInput[Institution Name],H57)</f>
        <v>2303251</v>
      </c>
      <c r="T57" s="537"/>
      <c r="U57" s="587"/>
      <c r="V57" s="537">
        <f>SUMIFS(ResearchInput[T.St],ResearchInput[Institution Name],H57)</f>
        <v>329716</v>
      </c>
      <c r="W57" s="537"/>
      <c r="X57" s="537"/>
      <c r="Y57" s="537">
        <f>SUMIFS(ResearchInput[T.St.C&amp;G],ResearchInput[Institution Name],H57)</f>
        <v>39578</v>
      </c>
      <c r="Z57" s="537"/>
      <c r="AA57" s="537"/>
      <c r="AB57" s="537">
        <f>SUMIFS(ResearchInput[T.St.All],ResearchInput[Institution Name],H57)</f>
        <v>0</v>
      </c>
      <c r="AC57" s="537"/>
      <c r="AD57" s="537"/>
      <c r="AE57" s="586">
        <f>SUMIFS(ResearchInput[T.Inst],ResearchInput[Institution Name],H57)</f>
        <v>324543</v>
      </c>
      <c r="AF57" s="537"/>
      <c r="AG57" s="587"/>
      <c r="AH57" s="537">
        <f>SUMIFS(ResearchInput[T.P4P],ResearchInput[Institution Name],H57)</f>
        <v>0</v>
      </c>
      <c r="AI57" s="537"/>
      <c r="AJ57" s="537"/>
      <c r="AK57" s="537">
        <f>SUMIFS(ResearchInput[T.PNP],ResearchInput[Institution Name],H57)</f>
        <v>140056</v>
      </c>
      <c r="AL57" s="537"/>
      <c r="AM57" s="537"/>
      <c r="AN57" s="537">
        <f>SUMIFS(ResearchInput[T.P.All],ResearchInput[Institution Name],H57)</f>
        <v>19900</v>
      </c>
      <c r="AO57" s="537"/>
      <c r="AP57" s="537"/>
      <c r="AQ57" s="586">
        <f t="shared" si="10"/>
        <v>3157044</v>
      </c>
      <c r="AR57" s="537"/>
      <c r="AS57" s="540"/>
      <c r="AT57" s="142"/>
      <c r="AU57" s="142"/>
    </row>
    <row r="58" spans="1:47" s="143" customFormat="1" ht="30" customHeight="1" x14ac:dyDescent="0.3">
      <c r="A58" s="142"/>
      <c r="B58" s="142"/>
      <c r="C58" s="142"/>
      <c r="D58" s="142"/>
      <c r="E58" s="142"/>
      <c r="F58" s="142"/>
      <c r="G58" s="142"/>
      <c r="H58" s="557" t="s">
        <v>187</v>
      </c>
      <c r="I58" s="558"/>
      <c r="J58" s="558"/>
      <c r="K58" s="558"/>
      <c r="L58" s="558"/>
      <c r="M58" s="558"/>
      <c r="N58" s="558"/>
      <c r="O58" s="558"/>
      <c r="P58" s="558"/>
      <c r="Q58" s="580">
        <f>VLOOKUP(H58,ResearchInput[],8,FALSE)</f>
        <v>13231</v>
      </c>
      <c r="R58" s="580"/>
      <c r="S58" s="588">
        <f>SUMIFS(ResearchInput[T.Fed],ResearchInput[Institution Name],H58)</f>
        <v>165946</v>
      </c>
      <c r="T58" s="532"/>
      <c r="U58" s="589"/>
      <c r="V58" s="532">
        <f>SUMIFS(ResearchInput[T.St],ResearchInput[Institution Name],H58)</f>
        <v>0</v>
      </c>
      <c r="W58" s="532"/>
      <c r="X58" s="532"/>
      <c r="Y58" s="532">
        <f>SUMIFS(ResearchInput[T.St.C&amp;G],ResearchInput[Institution Name],H58)</f>
        <v>0</v>
      </c>
      <c r="Z58" s="532"/>
      <c r="AA58" s="532"/>
      <c r="AB58" s="532">
        <f>SUMIFS(ResearchInput[T.St.All],ResearchInput[Institution Name],H58)</f>
        <v>0</v>
      </c>
      <c r="AC58" s="532"/>
      <c r="AD58" s="532"/>
      <c r="AE58" s="588">
        <f>SUMIFS(ResearchInput[T.Inst],ResearchInput[Institution Name],H58)</f>
        <v>0</v>
      </c>
      <c r="AF58" s="532"/>
      <c r="AG58" s="589"/>
      <c r="AH58" s="532">
        <f>SUMIFS(ResearchInput[T.P4P],ResearchInput[Institution Name],H58)</f>
        <v>0</v>
      </c>
      <c r="AI58" s="532"/>
      <c r="AJ58" s="532"/>
      <c r="AK58" s="532">
        <f>SUMIFS(ResearchInput[T.PNP],ResearchInput[Institution Name],H58)</f>
        <v>0</v>
      </c>
      <c r="AL58" s="532"/>
      <c r="AM58" s="532"/>
      <c r="AN58" s="532">
        <f>SUMIFS(ResearchInput[T.P.All],ResearchInput[Institution Name],H58)</f>
        <v>0</v>
      </c>
      <c r="AO58" s="532"/>
      <c r="AP58" s="532"/>
      <c r="AQ58" s="588">
        <f t="shared" si="10"/>
        <v>165946</v>
      </c>
      <c r="AR58" s="532"/>
      <c r="AS58" s="533"/>
      <c r="AT58" s="142"/>
      <c r="AU58" s="142"/>
    </row>
    <row r="59" spans="1:47" s="143" customFormat="1" ht="30" customHeight="1" x14ac:dyDescent="0.3">
      <c r="A59" s="142"/>
      <c r="B59" s="142"/>
      <c r="C59" s="142"/>
      <c r="D59" s="142"/>
      <c r="E59" s="142"/>
      <c r="F59" s="142"/>
      <c r="G59" s="142"/>
      <c r="H59" s="559" t="s">
        <v>236</v>
      </c>
      <c r="I59" s="560"/>
      <c r="J59" s="560"/>
      <c r="K59" s="560"/>
      <c r="L59" s="560"/>
      <c r="M59" s="560"/>
      <c r="N59" s="560"/>
      <c r="O59" s="560"/>
      <c r="P59" s="560"/>
      <c r="Q59" s="581">
        <f>VLOOKUP(H59,ResearchInput[],8,FALSE)</f>
        <v>3594</v>
      </c>
      <c r="R59" s="581"/>
      <c r="S59" s="586">
        <f>SUMIFS(ResearchInput[T.Fed],ResearchInput[Institution Name],H59)</f>
        <v>38058171</v>
      </c>
      <c r="T59" s="537"/>
      <c r="U59" s="587"/>
      <c r="V59" s="537">
        <f>SUMIFS(ResearchInput[T.St],ResearchInput[Institution Name],H59)</f>
        <v>50563352</v>
      </c>
      <c r="W59" s="537"/>
      <c r="X59" s="537"/>
      <c r="Y59" s="537">
        <f>SUMIFS(ResearchInput[T.St.C&amp;G],ResearchInput[Institution Name],H59)</f>
        <v>719050</v>
      </c>
      <c r="Z59" s="537"/>
      <c r="AA59" s="537"/>
      <c r="AB59" s="537">
        <f>SUMIFS(ResearchInput[T.St.All],ResearchInput[Institution Name],H59)</f>
        <v>569154</v>
      </c>
      <c r="AC59" s="537"/>
      <c r="AD59" s="537"/>
      <c r="AE59" s="586">
        <f>SUMIFS(ResearchInput[T.Inst],ResearchInput[Institution Name],H59)</f>
        <v>17977547</v>
      </c>
      <c r="AF59" s="537"/>
      <c r="AG59" s="587"/>
      <c r="AH59" s="537">
        <f>SUMIFS(ResearchInput[T.P4P],ResearchInput[Institution Name],H59)</f>
        <v>1592759</v>
      </c>
      <c r="AI59" s="537"/>
      <c r="AJ59" s="537"/>
      <c r="AK59" s="537">
        <f>SUMIFS(ResearchInput[T.PNP],ResearchInput[Institution Name],H59)</f>
        <v>2920624</v>
      </c>
      <c r="AL59" s="537"/>
      <c r="AM59" s="537"/>
      <c r="AN59" s="537">
        <f>SUMIFS(ResearchInput[T.P.All],ResearchInput[Institution Name],H59)</f>
        <v>12884346</v>
      </c>
      <c r="AO59" s="537"/>
      <c r="AP59" s="537"/>
      <c r="AQ59" s="586">
        <f t="shared" si="10"/>
        <v>125285003</v>
      </c>
      <c r="AR59" s="537"/>
      <c r="AS59" s="540"/>
      <c r="AT59" s="142"/>
      <c r="AU59" s="142"/>
    </row>
    <row r="60" spans="1:47" s="143" customFormat="1" ht="30" customHeight="1" x14ac:dyDescent="0.3">
      <c r="A60" s="142"/>
      <c r="B60" s="142"/>
      <c r="C60" s="142"/>
      <c r="D60" s="142"/>
      <c r="E60" s="142"/>
      <c r="F60" s="142"/>
      <c r="G60" s="142"/>
      <c r="H60" s="557" t="s">
        <v>193</v>
      </c>
      <c r="I60" s="558"/>
      <c r="J60" s="558"/>
      <c r="K60" s="558"/>
      <c r="L60" s="558"/>
      <c r="M60" s="558"/>
      <c r="N60" s="558"/>
      <c r="O60" s="558"/>
      <c r="P60" s="558"/>
      <c r="Q60" s="580">
        <f>VLOOKUP(H60,ResearchInput[],8,FALSE)</f>
        <v>42421</v>
      </c>
      <c r="R60" s="580"/>
      <c r="S60" s="588">
        <f>SUMIFS(ResearchInput[T.Fed],ResearchInput[Institution Name],H60)</f>
        <v>-950</v>
      </c>
      <c r="T60" s="532"/>
      <c r="U60" s="589"/>
      <c r="V60" s="532">
        <f>SUMIFS(ResearchInput[T.St],ResearchInput[Institution Name],H60)</f>
        <v>0</v>
      </c>
      <c r="W60" s="532"/>
      <c r="X60" s="532"/>
      <c r="Y60" s="532">
        <f>SUMIFS(ResearchInput[T.St.C&amp;G],ResearchInput[Institution Name],H60)</f>
        <v>0</v>
      </c>
      <c r="Z60" s="532"/>
      <c r="AA60" s="532"/>
      <c r="AB60" s="532">
        <f>SUMIFS(ResearchInput[T.St.All],ResearchInput[Institution Name],H60)</f>
        <v>0</v>
      </c>
      <c r="AC60" s="532"/>
      <c r="AD60" s="532"/>
      <c r="AE60" s="588">
        <f>SUMIFS(ResearchInput[T.Inst],ResearchInput[Institution Name],H60)</f>
        <v>505496</v>
      </c>
      <c r="AF60" s="532"/>
      <c r="AG60" s="589"/>
      <c r="AH60" s="532">
        <f>SUMIFS(ResearchInput[T.P4P],ResearchInput[Institution Name],H60)</f>
        <v>0</v>
      </c>
      <c r="AI60" s="532"/>
      <c r="AJ60" s="532"/>
      <c r="AK60" s="532">
        <f>SUMIFS(ResearchInput[T.PNP],ResearchInput[Institution Name],H60)</f>
        <v>-12</v>
      </c>
      <c r="AL60" s="532"/>
      <c r="AM60" s="532"/>
      <c r="AN60" s="532">
        <f>SUMIFS(ResearchInput[T.P.All],ResearchInput[Institution Name],H60)</f>
        <v>0</v>
      </c>
      <c r="AO60" s="532"/>
      <c r="AP60" s="532"/>
      <c r="AQ60" s="588">
        <f t="shared" si="10"/>
        <v>504534</v>
      </c>
      <c r="AR60" s="532"/>
      <c r="AS60" s="533"/>
      <c r="AT60" s="142"/>
      <c r="AU60" s="142"/>
    </row>
    <row r="61" spans="1:47" s="143" customFormat="1" ht="30" customHeight="1" x14ac:dyDescent="0.3">
      <c r="A61" s="142"/>
      <c r="B61" s="142"/>
      <c r="C61" s="142"/>
      <c r="D61" s="142"/>
      <c r="E61" s="142"/>
      <c r="F61" s="142"/>
      <c r="G61" s="142"/>
      <c r="H61" s="559" t="s">
        <v>237</v>
      </c>
      <c r="I61" s="560"/>
      <c r="J61" s="560"/>
      <c r="K61" s="560"/>
      <c r="L61" s="560"/>
      <c r="M61" s="560"/>
      <c r="N61" s="560"/>
      <c r="O61" s="560"/>
      <c r="P61" s="560"/>
      <c r="Q61" s="581">
        <f>VLOOKUP(H61,ResearchInput[],8,FALSE)</f>
        <v>3642</v>
      </c>
      <c r="R61" s="581"/>
      <c r="S61" s="586">
        <f>SUMIFS(ResearchInput[T.Fed],ResearchInput[Institution Name],H61)</f>
        <v>5336069</v>
      </c>
      <c r="T61" s="537"/>
      <c r="U61" s="587"/>
      <c r="V61" s="537">
        <f>SUMIFS(ResearchInput[T.St],ResearchInput[Institution Name],H61)</f>
        <v>325220</v>
      </c>
      <c r="W61" s="537"/>
      <c r="X61" s="537"/>
      <c r="Y61" s="537">
        <f>SUMIFS(ResearchInput[T.St.C&amp;G],ResearchInput[Institution Name],H61)</f>
        <v>0</v>
      </c>
      <c r="Z61" s="537"/>
      <c r="AA61" s="537"/>
      <c r="AB61" s="537">
        <f>SUMIFS(ResearchInput[T.St.All],ResearchInput[Institution Name],H61)</f>
        <v>0</v>
      </c>
      <c r="AC61" s="537"/>
      <c r="AD61" s="537"/>
      <c r="AE61" s="586">
        <f>SUMIFS(ResearchInput[T.Inst],ResearchInput[Institution Name],H61)</f>
        <v>843105</v>
      </c>
      <c r="AF61" s="537"/>
      <c r="AG61" s="587"/>
      <c r="AH61" s="537">
        <f>SUMIFS(ResearchInput[T.P4P],ResearchInput[Institution Name],H61)</f>
        <v>0</v>
      </c>
      <c r="AI61" s="537"/>
      <c r="AJ61" s="537"/>
      <c r="AK61" s="537">
        <f>SUMIFS(ResearchInput[T.PNP],ResearchInput[Institution Name],H61)</f>
        <v>0</v>
      </c>
      <c r="AL61" s="537"/>
      <c r="AM61" s="537"/>
      <c r="AN61" s="537">
        <f>SUMIFS(ResearchInput[T.P.All],ResearchInput[Institution Name],H61)</f>
        <v>0</v>
      </c>
      <c r="AO61" s="537"/>
      <c r="AP61" s="537"/>
      <c r="AQ61" s="586">
        <f t="shared" si="10"/>
        <v>6504394</v>
      </c>
      <c r="AR61" s="537"/>
      <c r="AS61" s="540"/>
      <c r="AT61" s="142"/>
      <c r="AU61" s="142"/>
    </row>
    <row r="62" spans="1:47" s="143" customFormat="1" ht="30" customHeight="1" x14ac:dyDescent="0.3">
      <c r="A62" s="142"/>
      <c r="B62" s="142"/>
      <c r="C62" s="142"/>
      <c r="D62" s="142"/>
      <c r="E62" s="142"/>
      <c r="F62" s="142"/>
      <c r="G62" s="142"/>
      <c r="H62" s="557" t="s">
        <v>191</v>
      </c>
      <c r="I62" s="558"/>
      <c r="J62" s="558"/>
      <c r="K62" s="558"/>
      <c r="L62" s="558"/>
      <c r="M62" s="558"/>
      <c r="N62" s="558"/>
      <c r="O62" s="558"/>
      <c r="P62" s="558"/>
      <c r="Q62" s="580">
        <f>VLOOKUP(H62,ResearchInput[],8,FALSE)</f>
        <v>3644</v>
      </c>
      <c r="R62" s="580"/>
      <c r="S62" s="588">
        <f>SUMIFS(ResearchInput[T.Fed],ResearchInput[Institution Name],H62)</f>
        <v>71176763</v>
      </c>
      <c r="T62" s="532"/>
      <c r="U62" s="589"/>
      <c r="V62" s="532">
        <f>SUMIFS(ResearchInput[T.St],ResearchInput[Institution Name],H62)</f>
        <v>36201424</v>
      </c>
      <c r="W62" s="532"/>
      <c r="X62" s="532"/>
      <c r="Y62" s="532">
        <f>SUMIFS(ResearchInput[T.St.C&amp;G],ResearchInput[Institution Name],H62)</f>
        <v>9909308</v>
      </c>
      <c r="Z62" s="532"/>
      <c r="AA62" s="532"/>
      <c r="AB62" s="532">
        <f>SUMIFS(ResearchInput[T.St.All],ResearchInput[Institution Name],H62)</f>
        <v>128529</v>
      </c>
      <c r="AC62" s="532"/>
      <c r="AD62" s="532"/>
      <c r="AE62" s="588">
        <f>SUMIFS(ResearchInput[T.Inst],ResearchInput[Institution Name],H62)</f>
        <v>128053678</v>
      </c>
      <c r="AF62" s="532"/>
      <c r="AG62" s="589"/>
      <c r="AH62" s="532">
        <f>SUMIFS(ResearchInput[T.P4P],ResearchInput[Institution Name],H62)</f>
        <v>15894405</v>
      </c>
      <c r="AI62" s="532"/>
      <c r="AJ62" s="532"/>
      <c r="AK62" s="532">
        <f>SUMIFS(ResearchInput[T.PNP],ResearchInput[Institution Name],H62)</f>
        <v>15874386</v>
      </c>
      <c r="AL62" s="532"/>
      <c r="AM62" s="532"/>
      <c r="AN62" s="532">
        <f>SUMIFS(ResearchInput[T.P.All],ResearchInput[Institution Name],H62)</f>
        <v>137312</v>
      </c>
      <c r="AO62" s="532"/>
      <c r="AP62" s="532"/>
      <c r="AQ62" s="588">
        <f>SUM(S62:AP62)</f>
        <v>277375805</v>
      </c>
      <c r="AR62" s="532"/>
      <c r="AS62" s="533"/>
      <c r="AT62" s="142"/>
      <c r="AU62" s="142"/>
    </row>
    <row r="63" spans="1:47" s="143" customFormat="1" ht="30" customHeight="1" x14ac:dyDescent="0.3">
      <c r="A63" s="142"/>
      <c r="B63" s="142"/>
      <c r="C63" s="142"/>
      <c r="D63" s="142"/>
      <c r="E63" s="142"/>
      <c r="F63" s="142"/>
      <c r="G63" s="142"/>
      <c r="H63" s="559" t="s">
        <v>192</v>
      </c>
      <c r="I63" s="560"/>
      <c r="J63" s="560"/>
      <c r="K63" s="560"/>
      <c r="L63" s="560"/>
      <c r="M63" s="560"/>
      <c r="N63" s="560"/>
      <c r="O63" s="560"/>
      <c r="P63" s="560"/>
      <c r="Q63" s="581">
        <f>VLOOKUP(H63,ResearchInput[],8,FALSE)</f>
        <v>3541</v>
      </c>
      <c r="R63" s="581"/>
      <c r="S63" s="586">
        <f>SUMIFS(ResearchInput[T.Fed],ResearchInput[Institution Name],H63)</f>
        <v>523460</v>
      </c>
      <c r="T63" s="537"/>
      <c r="U63" s="587"/>
      <c r="V63" s="537">
        <f>SUMIFS(ResearchInput[T.St],ResearchInput[Institution Name],H63)</f>
        <v>483738</v>
      </c>
      <c r="W63" s="537"/>
      <c r="X63" s="537"/>
      <c r="Y63" s="537">
        <f>SUMIFS(ResearchInput[T.St.C&amp;G],ResearchInput[Institution Name],H63)</f>
        <v>50017</v>
      </c>
      <c r="Z63" s="537"/>
      <c r="AA63" s="537"/>
      <c r="AB63" s="537">
        <f>SUMIFS(ResearchInput[T.St.All],ResearchInput[Institution Name],H63)</f>
        <v>0</v>
      </c>
      <c r="AC63" s="537"/>
      <c r="AD63" s="537"/>
      <c r="AE63" s="586">
        <f>SUMIFS(ResearchInput[T.Inst],ResearchInput[Institution Name],H63)</f>
        <v>33561</v>
      </c>
      <c r="AF63" s="537"/>
      <c r="AG63" s="587"/>
      <c r="AH63" s="537">
        <f>SUMIFS(ResearchInput[T.P4P],ResearchInput[Institution Name],H63)</f>
        <v>0</v>
      </c>
      <c r="AI63" s="537"/>
      <c r="AJ63" s="537"/>
      <c r="AK63" s="537">
        <f>SUMIFS(ResearchInput[T.PNP],ResearchInput[Institution Name],H63)</f>
        <v>110585</v>
      </c>
      <c r="AL63" s="537"/>
      <c r="AM63" s="537"/>
      <c r="AN63" s="537">
        <f>SUMIFS(ResearchInput[T.P.All],ResearchInput[Institution Name],H63)</f>
        <v>77608</v>
      </c>
      <c r="AO63" s="537"/>
      <c r="AP63" s="537"/>
      <c r="AQ63" s="586">
        <f t="shared" ref="AQ63:AQ69" si="11">SUM(S63:AP63)</f>
        <v>1278969</v>
      </c>
      <c r="AR63" s="537"/>
      <c r="AS63" s="540"/>
      <c r="AT63" s="142"/>
      <c r="AU63" s="142"/>
    </row>
    <row r="64" spans="1:47" s="143" customFormat="1" ht="30" customHeight="1" x14ac:dyDescent="0.3">
      <c r="A64" s="142"/>
      <c r="B64" s="142"/>
      <c r="C64" s="142"/>
      <c r="D64" s="142"/>
      <c r="E64" s="142"/>
      <c r="F64" s="142"/>
      <c r="G64" s="142"/>
      <c r="H64" s="557" t="s">
        <v>194</v>
      </c>
      <c r="I64" s="558"/>
      <c r="J64" s="558"/>
      <c r="K64" s="558"/>
      <c r="L64" s="558"/>
      <c r="M64" s="558"/>
      <c r="N64" s="558"/>
      <c r="O64" s="558"/>
      <c r="P64" s="558"/>
      <c r="Q64" s="580">
        <f>VLOOKUP(H64,ResearchInput[],8,FALSE)</f>
        <v>3592</v>
      </c>
      <c r="R64" s="580"/>
      <c r="S64" s="588">
        <f>SUMIFS(ResearchInput[T.Fed],ResearchInput[Institution Name],H64)</f>
        <v>680246</v>
      </c>
      <c r="T64" s="532"/>
      <c r="U64" s="589"/>
      <c r="V64" s="532">
        <f>SUMIFS(ResearchInput[T.St],ResearchInput[Institution Name],H64)</f>
        <v>190600</v>
      </c>
      <c r="W64" s="532"/>
      <c r="X64" s="532"/>
      <c r="Y64" s="532">
        <f>SUMIFS(ResearchInput[T.St.C&amp;G],ResearchInput[Institution Name],H64)</f>
        <v>0</v>
      </c>
      <c r="Z64" s="532"/>
      <c r="AA64" s="532"/>
      <c r="AB64" s="532">
        <f>SUMIFS(ResearchInput[T.St.All],ResearchInput[Institution Name],H64)</f>
        <v>0</v>
      </c>
      <c r="AC64" s="532"/>
      <c r="AD64" s="532"/>
      <c r="AE64" s="588">
        <f>SUMIFS(ResearchInput[T.Inst],ResearchInput[Institution Name],H64)</f>
        <v>267742</v>
      </c>
      <c r="AF64" s="532"/>
      <c r="AG64" s="589"/>
      <c r="AH64" s="532">
        <f>SUMIFS(ResearchInput[T.P4P],ResearchInput[Institution Name],H64)</f>
        <v>-4463</v>
      </c>
      <c r="AI64" s="532"/>
      <c r="AJ64" s="532"/>
      <c r="AK64" s="532">
        <f>SUMIFS(ResearchInput[T.PNP],ResearchInput[Institution Name],H64)</f>
        <v>279390</v>
      </c>
      <c r="AL64" s="532"/>
      <c r="AM64" s="532"/>
      <c r="AN64" s="532">
        <f>SUMIFS(ResearchInput[T.P.All],ResearchInput[Institution Name],H64)</f>
        <v>23187</v>
      </c>
      <c r="AO64" s="532"/>
      <c r="AP64" s="532"/>
      <c r="AQ64" s="588">
        <f t="shared" si="11"/>
        <v>1436702</v>
      </c>
      <c r="AR64" s="532"/>
      <c r="AS64" s="533"/>
      <c r="AT64" s="142"/>
      <c r="AU64" s="142"/>
    </row>
    <row r="65" spans="1:47" s="143" customFormat="1" ht="30" customHeight="1" x14ac:dyDescent="0.3">
      <c r="A65" s="142"/>
      <c r="B65" s="142"/>
      <c r="C65" s="142"/>
      <c r="D65" s="142"/>
      <c r="E65" s="142"/>
      <c r="F65" s="142"/>
      <c r="G65" s="142"/>
      <c r="H65" s="559" t="s">
        <v>238</v>
      </c>
      <c r="I65" s="560"/>
      <c r="J65" s="560"/>
      <c r="K65" s="560"/>
      <c r="L65" s="560"/>
      <c r="M65" s="560"/>
      <c r="N65" s="560"/>
      <c r="O65" s="560"/>
      <c r="P65" s="560"/>
      <c r="Q65" s="581">
        <f>VLOOKUP(H65,ResearchInput[],8,FALSE)</f>
        <v>3646</v>
      </c>
      <c r="R65" s="581"/>
      <c r="S65" s="586">
        <f>SUMIFS(ResearchInput[T.Fed],ResearchInput[Institution Name],H65)</f>
        <v>3454689</v>
      </c>
      <c r="T65" s="537"/>
      <c r="U65" s="587"/>
      <c r="V65" s="537">
        <f>SUMIFS(ResearchInput[T.St],ResearchInput[Institution Name],H65)</f>
        <v>559969</v>
      </c>
      <c r="W65" s="537"/>
      <c r="X65" s="537"/>
      <c r="Y65" s="537">
        <f>SUMIFS(ResearchInput[T.St.C&amp;G],ResearchInput[Institution Name],H65)</f>
        <v>12482</v>
      </c>
      <c r="Z65" s="537"/>
      <c r="AA65" s="537"/>
      <c r="AB65" s="537">
        <f>SUMIFS(ResearchInput[T.St.All],ResearchInput[Institution Name],H65)</f>
        <v>0</v>
      </c>
      <c r="AC65" s="537"/>
      <c r="AD65" s="537"/>
      <c r="AE65" s="586">
        <f>SUMIFS(ResearchInput[T.Inst],ResearchInput[Institution Name],H65)</f>
        <v>1429813</v>
      </c>
      <c r="AF65" s="537"/>
      <c r="AG65" s="587"/>
      <c r="AH65" s="537">
        <f>SUMIFS(ResearchInput[T.P4P],ResearchInput[Institution Name],H65)</f>
        <v>0</v>
      </c>
      <c r="AI65" s="537"/>
      <c r="AJ65" s="537"/>
      <c r="AK65" s="537">
        <f>SUMIFS(ResearchInput[T.PNP],ResearchInput[Institution Name],H65)</f>
        <v>1215024</v>
      </c>
      <c r="AL65" s="537"/>
      <c r="AM65" s="537"/>
      <c r="AN65" s="537">
        <f>SUMIFS(ResearchInput[T.P.All],ResearchInput[Institution Name],H65)</f>
        <v>110863</v>
      </c>
      <c r="AO65" s="537"/>
      <c r="AP65" s="537"/>
      <c r="AQ65" s="586">
        <f t="shared" si="11"/>
        <v>6782840</v>
      </c>
      <c r="AR65" s="537"/>
      <c r="AS65" s="540"/>
      <c r="AT65" s="142"/>
      <c r="AU65" s="142"/>
    </row>
    <row r="66" spans="1:47" s="143" customFormat="1" ht="30" customHeight="1" x14ac:dyDescent="0.3">
      <c r="A66" s="142"/>
      <c r="B66" s="142"/>
      <c r="C66" s="142"/>
      <c r="D66" s="142"/>
      <c r="E66" s="142"/>
      <c r="F66" s="142"/>
      <c r="G66" s="142"/>
      <c r="H66" s="557" t="s">
        <v>188</v>
      </c>
      <c r="I66" s="558"/>
      <c r="J66" s="558"/>
      <c r="K66" s="558"/>
      <c r="L66" s="558"/>
      <c r="M66" s="558"/>
      <c r="N66" s="558"/>
      <c r="O66" s="558"/>
      <c r="P66" s="558"/>
      <c r="Q66" s="580">
        <f>VLOOKUP(H66,ResearchInput[],8,FALSE)</f>
        <v>3581</v>
      </c>
      <c r="R66" s="580"/>
      <c r="S66" s="588">
        <f>SUMIFS(ResearchInput[T.Fed],ResearchInput[Institution Name],H66)</f>
        <v>3173464</v>
      </c>
      <c r="T66" s="532"/>
      <c r="U66" s="589"/>
      <c r="V66" s="532">
        <f>SUMIFS(ResearchInput[T.St],ResearchInput[Institution Name],H66)</f>
        <v>624597</v>
      </c>
      <c r="W66" s="532"/>
      <c r="X66" s="532"/>
      <c r="Y66" s="532">
        <f>SUMIFS(ResearchInput[T.St.C&amp;G],ResearchInput[Institution Name],H66)</f>
        <v>603879</v>
      </c>
      <c r="Z66" s="532"/>
      <c r="AA66" s="532"/>
      <c r="AB66" s="532">
        <f>SUMIFS(ResearchInput[T.St.All],ResearchInput[Institution Name],H66)</f>
        <v>0</v>
      </c>
      <c r="AC66" s="532"/>
      <c r="AD66" s="532"/>
      <c r="AE66" s="588">
        <f>SUMIFS(ResearchInput[T.Inst],ResearchInput[Institution Name],H66)</f>
        <v>94953</v>
      </c>
      <c r="AF66" s="532"/>
      <c r="AG66" s="589"/>
      <c r="AH66" s="532">
        <f>SUMIFS(ResearchInput[T.P4P],ResearchInput[Institution Name],H66)</f>
        <v>605247</v>
      </c>
      <c r="AI66" s="532"/>
      <c r="AJ66" s="532"/>
      <c r="AK66" s="532">
        <f>SUMIFS(ResearchInput[T.PNP],ResearchInput[Institution Name],H66)</f>
        <v>30861</v>
      </c>
      <c r="AL66" s="532"/>
      <c r="AM66" s="532"/>
      <c r="AN66" s="532">
        <f>SUMIFS(ResearchInput[T.P.All],ResearchInput[Institution Name],H66)</f>
        <v>0</v>
      </c>
      <c r="AO66" s="532"/>
      <c r="AP66" s="532"/>
      <c r="AQ66" s="588">
        <f t="shared" si="11"/>
        <v>5133001</v>
      </c>
      <c r="AR66" s="532"/>
      <c r="AS66" s="533"/>
      <c r="AT66" s="142"/>
      <c r="AU66" s="142"/>
    </row>
    <row r="67" spans="1:47" s="143" customFormat="1" ht="30" customHeight="1" x14ac:dyDescent="0.3">
      <c r="A67" s="142"/>
      <c r="B67" s="142"/>
      <c r="C67" s="142"/>
      <c r="D67" s="142"/>
      <c r="E67" s="142"/>
      <c r="F67" s="142"/>
      <c r="G67" s="142"/>
      <c r="H67" s="559" t="s">
        <v>189</v>
      </c>
      <c r="I67" s="560"/>
      <c r="J67" s="560"/>
      <c r="K67" s="560"/>
      <c r="L67" s="560"/>
      <c r="M67" s="560"/>
      <c r="N67" s="560"/>
      <c r="O67" s="560"/>
      <c r="P67" s="560"/>
      <c r="Q67" s="581">
        <f>VLOOKUP(H67,ResearchInput[],8,FALSE)</f>
        <v>3606</v>
      </c>
      <c r="R67" s="581"/>
      <c r="S67" s="586">
        <f>SUMIFS(ResearchInput[T.Fed],ResearchInput[Institution Name],H67)</f>
        <v>6256926</v>
      </c>
      <c r="T67" s="537"/>
      <c r="U67" s="587"/>
      <c r="V67" s="537">
        <f>SUMIFS(ResearchInput[T.St],ResearchInput[Institution Name],H67)</f>
        <v>0</v>
      </c>
      <c r="W67" s="537"/>
      <c r="X67" s="537"/>
      <c r="Y67" s="537">
        <f>SUMIFS(ResearchInput[T.St.C&amp;G],ResearchInput[Institution Name],H67)</f>
        <v>781965</v>
      </c>
      <c r="Z67" s="537"/>
      <c r="AA67" s="537"/>
      <c r="AB67" s="537">
        <f>SUMIFS(ResearchInput[T.St.All],ResearchInput[Institution Name],H67)</f>
        <v>0</v>
      </c>
      <c r="AC67" s="537"/>
      <c r="AD67" s="537"/>
      <c r="AE67" s="586">
        <f>SUMIFS(ResearchInput[T.Inst],ResearchInput[Institution Name],H67)</f>
        <v>21059202</v>
      </c>
      <c r="AF67" s="537"/>
      <c r="AG67" s="587"/>
      <c r="AH67" s="537">
        <f>SUMIFS(ResearchInput[T.P4P],ResearchInput[Institution Name],H67)</f>
        <v>12175</v>
      </c>
      <c r="AI67" s="537"/>
      <c r="AJ67" s="537"/>
      <c r="AK67" s="537">
        <f>SUMIFS(ResearchInput[T.PNP],ResearchInput[Institution Name],H67)</f>
        <v>464034</v>
      </c>
      <c r="AL67" s="537"/>
      <c r="AM67" s="537"/>
      <c r="AN67" s="537">
        <f>SUMIFS(ResearchInput[T.P.All],ResearchInput[Institution Name],H67)</f>
        <v>56314</v>
      </c>
      <c r="AO67" s="537"/>
      <c r="AP67" s="537"/>
      <c r="AQ67" s="586">
        <f t="shared" si="11"/>
        <v>28630616</v>
      </c>
      <c r="AR67" s="537"/>
      <c r="AS67" s="540"/>
      <c r="AT67" s="142"/>
      <c r="AU67" s="142"/>
    </row>
    <row r="68" spans="1:47" s="169" customFormat="1" ht="30" customHeight="1" x14ac:dyDescent="0.3">
      <c r="A68" s="168"/>
      <c r="B68" s="168"/>
      <c r="C68" s="168"/>
      <c r="D68" s="168"/>
      <c r="E68" s="168"/>
      <c r="F68" s="168"/>
      <c r="G68" s="168"/>
      <c r="H68" s="557" t="s">
        <v>235</v>
      </c>
      <c r="I68" s="558"/>
      <c r="J68" s="558"/>
      <c r="K68" s="558"/>
      <c r="L68" s="558"/>
      <c r="M68" s="558"/>
      <c r="N68" s="558"/>
      <c r="O68" s="558"/>
      <c r="P68" s="558"/>
      <c r="Q68" s="580">
        <f>VLOOKUP(H68,ResearchInput[],8,FALSE)</f>
        <v>3615</v>
      </c>
      <c r="R68" s="580"/>
      <c r="S68" s="588">
        <f>SUMIFS(ResearchInput[T.Fed],ResearchInput[Institution Name],H68)</f>
        <v>51058394</v>
      </c>
      <c r="T68" s="532"/>
      <c r="U68" s="589"/>
      <c r="V68" s="532">
        <f>SUMIFS(ResearchInput[T.St],ResearchInput[Institution Name],H68)</f>
        <v>62775921</v>
      </c>
      <c r="W68" s="532"/>
      <c r="X68" s="532"/>
      <c r="Y68" s="532">
        <f>SUMIFS(ResearchInput[T.St.C&amp;G],ResearchInput[Institution Name],H68)</f>
        <v>4251485</v>
      </c>
      <c r="Z68" s="532"/>
      <c r="AA68" s="532"/>
      <c r="AB68" s="532">
        <f>SUMIFS(ResearchInput[T.St.All],ResearchInput[Institution Name],H68)</f>
        <v>0</v>
      </c>
      <c r="AC68" s="532"/>
      <c r="AD68" s="532"/>
      <c r="AE68" s="588">
        <f>SUMIFS(ResearchInput[T.Inst],ResearchInput[Institution Name],H68)</f>
        <v>59136577</v>
      </c>
      <c r="AF68" s="532"/>
      <c r="AG68" s="589"/>
      <c r="AH68" s="532">
        <f>SUMIFS(ResearchInput[T.P4P],ResearchInput[Institution Name],H68)</f>
        <v>1724778</v>
      </c>
      <c r="AI68" s="532"/>
      <c r="AJ68" s="532"/>
      <c r="AK68" s="532">
        <f>SUMIFS(ResearchInput[T.PNP],ResearchInput[Institution Name],H68)</f>
        <v>4758608</v>
      </c>
      <c r="AL68" s="532"/>
      <c r="AM68" s="532"/>
      <c r="AN68" s="532">
        <f>SUMIFS(ResearchInput[T.P.All],ResearchInput[Institution Name],H68)</f>
        <v>0</v>
      </c>
      <c r="AO68" s="532"/>
      <c r="AP68" s="532"/>
      <c r="AQ68" s="588">
        <f t="shared" si="11"/>
        <v>183705763</v>
      </c>
      <c r="AR68" s="532"/>
      <c r="AS68" s="533"/>
      <c r="AT68" s="168"/>
      <c r="AU68" s="168"/>
    </row>
    <row r="69" spans="1:47" s="143" customFormat="1" ht="30" customHeight="1" thickBot="1" x14ac:dyDescent="0.35">
      <c r="A69" s="142"/>
      <c r="B69" s="142"/>
      <c r="C69" s="142"/>
      <c r="D69" s="142"/>
      <c r="E69" s="142"/>
      <c r="F69" s="142"/>
      <c r="G69" s="142"/>
      <c r="H69" s="578" t="s">
        <v>190</v>
      </c>
      <c r="I69" s="579"/>
      <c r="J69" s="579"/>
      <c r="K69" s="579"/>
      <c r="L69" s="579"/>
      <c r="M69" s="579"/>
      <c r="N69" s="579"/>
      <c r="O69" s="579"/>
      <c r="P69" s="579"/>
      <c r="Q69" s="582">
        <f>VLOOKUP(H69,ResearchInput[],8,FALSE)</f>
        <v>3625</v>
      </c>
      <c r="R69" s="582"/>
      <c r="S69" s="583">
        <f>SUMIFS(ResearchInput[T.Fed],ResearchInput[Institution Name],H69)</f>
        <v>4048925</v>
      </c>
      <c r="T69" s="584"/>
      <c r="U69" s="585"/>
      <c r="V69" s="584">
        <f>SUMIFS(ResearchInput[T.St],ResearchInput[Institution Name],H69)</f>
        <v>0</v>
      </c>
      <c r="W69" s="584"/>
      <c r="X69" s="584"/>
      <c r="Y69" s="584">
        <f>SUMIFS(ResearchInput[T.St.C&amp;G],ResearchInput[Institution Name],H69)</f>
        <v>1297105</v>
      </c>
      <c r="Z69" s="584"/>
      <c r="AA69" s="584"/>
      <c r="AB69" s="584">
        <f>SUMIFS(ResearchInput[T.St.All],ResearchInput[Institution Name],H69)</f>
        <v>0</v>
      </c>
      <c r="AC69" s="584"/>
      <c r="AD69" s="584"/>
      <c r="AE69" s="583">
        <f>SUMIFS(ResearchInput[T.Inst],ResearchInput[Institution Name],H69)</f>
        <v>1237761</v>
      </c>
      <c r="AF69" s="584"/>
      <c r="AG69" s="585"/>
      <c r="AH69" s="584">
        <f>SUMIFS(ResearchInput[T.P4P],ResearchInput[Institution Name],H69)</f>
        <v>32466</v>
      </c>
      <c r="AI69" s="584"/>
      <c r="AJ69" s="584"/>
      <c r="AK69" s="584">
        <f>SUMIFS(ResearchInput[T.PNP],ResearchInput[Institution Name],H69)</f>
        <v>261070</v>
      </c>
      <c r="AL69" s="584"/>
      <c r="AM69" s="584"/>
      <c r="AN69" s="584">
        <f>SUMIFS(ResearchInput[T.P.All],ResearchInput[Institution Name],H69)</f>
        <v>292147</v>
      </c>
      <c r="AO69" s="584"/>
      <c r="AP69" s="584"/>
      <c r="AQ69" s="583">
        <f t="shared" si="11"/>
        <v>7169474</v>
      </c>
      <c r="AR69" s="584"/>
      <c r="AS69" s="590"/>
      <c r="AT69" s="142"/>
      <c r="AU69" s="142"/>
    </row>
    <row r="70" spans="1:47" s="143" customFormat="1" ht="30" customHeight="1" thickTop="1" x14ac:dyDescent="0.3">
      <c r="A70" s="142"/>
      <c r="B70" s="142"/>
      <c r="C70" s="142"/>
      <c r="D70" s="142"/>
      <c r="E70" s="142"/>
      <c r="F70" s="142"/>
      <c r="G70" s="142"/>
      <c r="H70" s="601"/>
      <c r="I70" s="602"/>
      <c r="J70" s="602"/>
      <c r="K70" s="602"/>
      <c r="L70" s="602"/>
      <c r="M70" s="602"/>
      <c r="N70" s="602"/>
      <c r="O70" s="602"/>
      <c r="P70" s="602"/>
      <c r="Q70" s="603"/>
      <c r="R70" s="603"/>
      <c r="S70" s="593">
        <f>SUM(S34:U69)</f>
        <v>2007924285</v>
      </c>
      <c r="T70" s="341"/>
      <c r="U70" s="594"/>
      <c r="V70" s="341">
        <f>SUM(V34:X69)</f>
        <v>686288798</v>
      </c>
      <c r="W70" s="341"/>
      <c r="X70" s="341"/>
      <c r="Y70" s="341">
        <f>SUM(Y34:AA69)</f>
        <v>210464603</v>
      </c>
      <c r="Z70" s="341"/>
      <c r="AA70" s="341"/>
      <c r="AB70" s="341">
        <f>SUM(AB34:AD69)</f>
        <v>22439346</v>
      </c>
      <c r="AC70" s="341"/>
      <c r="AD70" s="341"/>
      <c r="AE70" s="593">
        <f>SUM(AE34:AG69)</f>
        <v>824058893</v>
      </c>
      <c r="AF70" s="341"/>
      <c r="AG70" s="594"/>
      <c r="AH70" s="341">
        <f>SUM(AH34:AJ69)</f>
        <v>161824160</v>
      </c>
      <c r="AI70" s="341"/>
      <c r="AJ70" s="341"/>
      <c r="AK70" s="341">
        <f>SUM(AK34:AM69)</f>
        <v>240484871</v>
      </c>
      <c r="AL70" s="341"/>
      <c r="AM70" s="341"/>
      <c r="AN70" s="341">
        <f>SUM(AN34:AP69)</f>
        <v>69757175</v>
      </c>
      <c r="AO70" s="341"/>
      <c r="AP70" s="341"/>
      <c r="AQ70" s="593">
        <f>SUM(AQ34:AS69)</f>
        <v>4223242131</v>
      </c>
      <c r="AR70" s="341"/>
      <c r="AS70" s="342"/>
      <c r="AT70" s="142"/>
      <c r="AU70" s="142"/>
    </row>
    <row r="71" spans="1:47" s="143" customFormat="1" ht="30" customHeight="1" x14ac:dyDescent="0.3">
      <c r="A71" s="142"/>
      <c r="B71" s="142"/>
      <c r="C71" s="142"/>
      <c r="D71" s="142"/>
      <c r="E71" s="142"/>
      <c r="F71" s="142"/>
      <c r="G71" s="142"/>
      <c r="H71" s="597" t="s">
        <v>812</v>
      </c>
      <c r="I71" s="597"/>
      <c r="J71" s="597"/>
      <c r="K71" s="597"/>
      <c r="L71" s="597"/>
      <c r="M71" s="597"/>
      <c r="N71" s="597"/>
      <c r="O71" s="597"/>
      <c r="P71" s="597"/>
      <c r="Q71" s="597"/>
      <c r="R71" s="597"/>
      <c r="S71" s="597"/>
      <c r="T71" s="597"/>
      <c r="U71" s="597"/>
      <c r="V71" s="597"/>
      <c r="W71" s="597"/>
      <c r="X71" s="597"/>
      <c r="Y71" s="597"/>
      <c r="Z71" s="597"/>
      <c r="AA71" s="597"/>
      <c r="AB71" s="597"/>
      <c r="AC71" s="597"/>
      <c r="AD71" s="597"/>
      <c r="AE71" s="597"/>
      <c r="AF71" s="597"/>
      <c r="AG71" s="597"/>
      <c r="AH71" s="597"/>
      <c r="AI71" s="597"/>
      <c r="AJ71" s="597"/>
      <c r="AK71" s="597"/>
      <c r="AL71" s="597"/>
      <c r="AM71" s="597"/>
      <c r="AN71" s="597"/>
      <c r="AO71" s="597"/>
      <c r="AP71" s="597"/>
      <c r="AQ71" s="597"/>
      <c r="AR71" s="597"/>
      <c r="AS71" s="597"/>
      <c r="AT71" s="142"/>
      <c r="AU71" s="142"/>
    </row>
    <row r="72" spans="1:47" s="143" customFormat="1" ht="30" customHeight="1" x14ac:dyDescent="0.3">
      <c r="A72" s="142"/>
      <c r="B72" s="142"/>
      <c r="C72" s="142"/>
      <c r="D72" s="142"/>
      <c r="E72" s="142"/>
      <c r="F72" s="142"/>
      <c r="G72" s="142"/>
      <c r="H72" s="591" t="s">
        <v>799</v>
      </c>
      <c r="I72" s="591"/>
      <c r="J72" s="591"/>
      <c r="K72" s="591"/>
      <c r="L72" s="591"/>
      <c r="M72" s="591"/>
      <c r="N72" s="591"/>
      <c r="O72" s="591"/>
      <c r="P72" s="591"/>
      <c r="Q72" s="591"/>
      <c r="R72" s="591"/>
      <c r="S72" s="591"/>
      <c r="T72" s="591"/>
      <c r="U72" s="591"/>
      <c r="V72" s="591"/>
      <c r="W72" s="591"/>
      <c r="X72" s="591"/>
      <c r="Y72" s="591"/>
      <c r="Z72" s="591"/>
      <c r="AA72" s="591"/>
      <c r="AB72" s="591"/>
      <c r="AC72" s="591"/>
      <c r="AD72" s="591"/>
      <c r="AE72" s="591"/>
      <c r="AF72" s="591"/>
      <c r="AG72" s="591"/>
      <c r="AH72" s="591"/>
      <c r="AI72" s="591"/>
      <c r="AJ72" s="591"/>
      <c r="AK72" s="591"/>
      <c r="AL72" s="591"/>
      <c r="AM72" s="591"/>
      <c r="AN72" s="591"/>
      <c r="AO72" s="591"/>
      <c r="AP72" s="591"/>
      <c r="AQ72" s="591"/>
      <c r="AR72" s="591"/>
      <c r="AS72" s="591"/>
      <c r="AT72" s="142"/>
      <c r="AU72" s="142"/>
    </row>
    <row r="73" spans="1:47" s="143" customFormat="1" ht="30" customHeight="1" x14ac:dyDescent="0.3">
      <c r="A73" s="142"/>
      <c r="B73" s="142"/>
      <c r="C73" s="142"/>
      <c r="D73" s="142"/>
      <c r="E73" s="142"/>
      <c r="F73" s="142"/>
      <c r="G73" s="142"/>
      <c r="H73" s="591" t="s">
        <v>801</v>
      </c>
      <c r="I73" s="591"/>
      <c r="J73" s="591"/>
      <c r="K73" s="591"/>
      <c r="L73" s="591"/>
      <c r="M73" s="591"/>
      <c r="N73" s="591"/>
      <c r="O73" s="591"/>
      <c r="P73" s="591"/>
      <c r="Q73" s="591"/>
      <c r="R73" s="591"/>
      <c r="S73" s="591"/>
      <c r="T73" s="591"/>
      <c r="U73" s="591"/>
      <c r="V73" s="591"/>
      <c r="W73" s="591"/>
      <c r="X73" s="591"/>
      <c r="Y73" s="591"/>
      <c r="Z73" s="591"/>
      <c r="AA73" s="591"/>
      <c r="AB73" s="591"/>
      <c r="AC73" s="591"/>
      <c r="AD73" s="591"/>
      <c r="AE73" s="591"/>
      <c r="AF73" s="591"/>
      <c r="AG73" s="591"/>
      <c r="AH73" s="591"/>
      <c r="AI73" s="591"/>
      <c r="AJ73" s="591"/>
      <c r="AK73" s="591"/>
      <c r="AL73" s="591"/>
      <c r="AM73" s="591"/>
      <c r="AN73" s="591"/>
      <c r="AO73" s="591"/>
      <c r="AP73" s="591"/>
      <c r="AQ73" s="591"/>
      <c r="AR73" s="591"/>
      <c r="AS73" s="591"/>
      <c r="AT73" s="142"/>
      <c r="AU73" s="142"/>
    </row>
    <row r="74" spans="1:47" ht="30" customHeight="1" x14ac:dyDescent="0.3">
      <c r="A74" s="155"/>
      <c r="B74" s="155"/>
      <c r="C74" s="155"/>
      <c r="D74" s="155"/>
      <c r="E74" s="155"/>
      <c r="F74" s="155"/>
      <c r="G74" s="155"/>
      <c r="H74" s="592" t="s">
        <v>771</v>
      </c>
      <c r="I74" s="592"/>
      <c r="J74" s="592"/>
      <c r="K74" s="592"/>
      <c r="L74" s="592"/>
      <c r="M74" s="592"/>
      <c r="N74" s="592"/>
      <c r="O74" s="592"/>
      <c r="P74" s="592"/>
      <c r="Q74" s="592"/>
      <c r="R74" s="592"/>
      <c r="S74" s="592"/>
      <c r="T74" s="592"/>
      <c r="U74" s="592"/>
      <c r="V74" s="592"/>
      <c r="W74" s="592"/>
      <c r="X74" s="592"/>
      <c r="Y74" s="592"/>
      <c r="Z74" s="592"/>
      <c r="AA74" s="592"/>
      <c r="AB74" s="592"/>
      <c r="AC74" s="592"/>
      <c r="AD74" s="592"/>
      <c r="AE74" s="592"/>
      <c r="AF74" s="592"/>
      <c r="AG74" s="592"/>
      <c r="AH74" s="592"/>
      <c r="AI74" s="592"/>
      <c r="AJ74" s="592"/>
      <c r="AK74" s="592"/>
      <c r="AL74" s="592"/>
      <c r="AM74" s="592"/>
      <c r="AN74" s="592"/>
      <c r="AO74" s="592"/>
      <c r="AP74" s="592"/>
      <c r="AQ74" s="592"/>
      <c r="AR74" s="592"/>
      <c r="AS74" s="592"/>
      <c r="AT74" s="142"/>
      <c r="AU74" s="155"/>
    </row>
    <row r="75" spans="1:47" ht="30" customHeight="1" x14ac:dyDescent="0.3">
      <c r="A75" s="155"/>
      <c r="B75" s="155"/>
      <c r="C75" s="155"/>
      <c r="D75" s="155"/>
      <c r="E75" s="155"/>
      <c r="F75" s="155"/>
      <c r="G75" s="155"/>
      <c r="H75" s="592" t="s">
        <v>771</v>
      </c>
      <c r="I75" s="592"/>
      <c r="J75" s="592"/>
      <c r="K75" s="592"/>
      <c r="L75" s="592"/>
      <c r="M75" s="592"/>
      <c r="N75" s="592"/>
      <c r="O75" s="592"/>
      <c r="P75" s="592"/>
      <c r="Q75" s="592"/>
      <c r="R75" s="592"/>
      <c r="S75" s="592"/>
      <c r="T75" s="592"/>
      <c r="U75" s="592"/>
      <c r="V75" s="592"/>
      <c r="W75" s="592"/>
      <c r="X75" s="592"/>
      <c r="Y75" s="592"/>
      <c r="Z75" s="592"/>
      <c r="AA75" s="592"/>
      <c r="AB75" s="592"/>
      <c r="AC75" s="592"/>
      <c r="AD75" s="592"/>
      <c r="AE75" s="592"/>
      <c r="AF75" s="592"/>
      <c r="AG75" s="592"/>
      <c r="AH75" s="592"/>
      <c r="AI75" s="592"/>
      <c r="AJ75" s="592"/>
      <c r="AK75" s="592"/>
      <c r="AL75" s="592"/>
      <c r="AM75" s="592"/>
      <c r="AN75" s="592"/>
      <c r="AO75" s="592"/>
      <c r="AP75" s="592"/>
      <c r="AQ75" s="592"/>
      <c r="AR75" s="592"/>
      <c r="AS75" s="592"/>
      <c r="AT75" s="142"/>
      <c r="AU75" s="155"/>
    </row>
    <row r="76" spans="1:47" ht="30" customHeight="1" x14ac:dyDescent="0.3">
      <c r="A76" s="155"/>
      <c r="B76" s="155"/>
      <c r="C76" s="155"/>
      <c r="D76" s="155"/>
      <c r="E76" s="155"/>
      <c r="F76" s="155"/>
      <c r="G76" s="155"/>
      <c r="H76" s="598" t="s">
        <v>802</v>
      </c>
      <c r="I76" s="598"/>
      <c r="J76" s="598"/>
      <c r="K76" s="598"/>
      <c r="L76" s="598"/>
      <c r="M76" s="598"/>
      <c r="N76" s="598"/>
      <c r="O76" s="598"/>
      <c r="P76" s="598"/>
      <c r="Q76" s="598"/>
      <c r="R76" s="598"/>
      <c r="S76" s="598"/>
      <c r="T76" s="598"/>
      <c r="U76" s="598"/>
      <c r="V76" s="598"/>
      <c r="W76" s="598"/>
      <c r="X76" s="598"/>
      <c r="Y76" s="598"/>
      <c r="Z76" s="598"/>
      <c r="AA76" s="598"/>
      <c r="AB76" s="598"/>
      <c r="AC76" s="598"/>
      <c r="AD76" s="598"/>
      <c r="AE76" s="598"/>
      <c r="AF76" s="598"/>
      <c r="AG76" s="598"/>
      <c r="AH76" s="598"/>
      <c r="AI76" s="598"/>
      <c r="AJ76" s="598"/>
      <c r="AK76" s="598"/>
      <c r="AL76" s="598"/>
      <c r="AM76" s="598"/>
      <c r="AN76" s="598"/>
      <c r="AO76" s="598"/>
      <c r="AP76" s="598"/>
      <c r="AQ76" s="598"/>
      <c r="AR76" s="598"/>
      <c r="AS76" s="598"/>
      <c r="AT76" s="142"/>
      <c r="AU76" s="155"/>
    </row>
    <row r="77" spans="1:47" s="143" customFormat="1" ht="30" customHeight="1" x14ac:dyDescent="0.3">
      <c r="A77" s="142"/>
      <c r="B77" s="142"/>
      <c r="C77" s="142"/>
      <c r="D77" s="142"/>
      <c r="E77" s="142"/>
      <c r="F77" s="142"/>
      <c r="G77" s="142"/>
      <c r="H77" s="592" t="s">
        <v>771</v>
      </c>
      <c r="I77" s="592"/>
      <c r="J77" s="592"/>
      <c r="K77" s="592"/>
      <c r="L77" s="592"/>
      <c r="M77" s="592"/>
      <c r="N77" s="592"/>
      <c r="O77" s="592"/>
      <c r="P77" s="592"/>
      <c r="Q77" s="592"/>
      <c r="R77" s="592"/>
      <c r="S77" s="592"/>
      <c r="T77" s="592"/>
      <c r="U77" s="592"/>
      <c r="V77" s="592"/>
      <c r="W77" s="592"/>
      <c r="X77" s="592"/>
      <c r="Y77" s="592"/>
      <c r="Z77" s="592"/>
      <c r="AA77" s="592"/>
      <c r="AB77" s="592"/>
      <c r="AC77" s="592"/>
      <c r="AD77" s="592"/>
      <c r="AE77" s="592"/>
      <c r="AF77" s="592"/>
      <c r="AG77" s="592"/>
      <c r="AH77" s="592"/>
      <c r="AI77" s="592"/>
      <c r="AJ77" s="592"/>
      <c r="AK77" s="592"/>
      <c r="AL77" s="592"/>
      <c r="AM77" s="592"/>
      <c r="AN77" s="592"/>
      <c r="AO77" s="592"/>
      <c r="AP77" s="592"/>
      <c r="AQ77" s="592"/>
      <c r="AR77" s="592"/>
      <c r="AS77" s="592"/>
      <c r="AT77" s="142"/>
      <c r="AU77" s="142"/>
    </row>
    <row r="78" spans="1:47" s="143" customFormat="1" ht="30" customHeight="1" x14ac:dyDescent="0.3">
      <c r="A78" s="142"/>
      <c r="B78" s="142"/>
      <c r="C78" s="142"/>
      <c r="D78" s="142"/>
      <c r="E78" s="142"/>
      <c r="F78" s="142"/>
      <c r="G78" s="142"/>
      <c r="H78" s="165"/>
      <c r="I78" s="165"/>
      <c r="J78" s="165"/>
      <c r="K78" s="165"/>
      <c r="L78" s="165"/>
      <c r="M78" s="165"/>
      <c r="N78" s="165"/>
      <c r="O78" s="165"/>
      <c r="P78" s="165"/>
      <c r="Q78" s="165"/>
      <c r="R78" s="165"/>
      <c r="S78" s="165"/>
      <c r="T78" s="165"/>
      <c r="U78" s="165"/>
      <c r="V78" s="572" t="s">
        <v>252</v>
      </c>
      <c r="W78" s="573"/>
      <c r="X78" s="573"/>
      <c r="Y78" s="573"/>
      <c r="Z78" s="573"/>
      <c r="AA78" s="573"/>
      <c r="AB78" s="573"/>
      <c r="AC78" s="573"/>
      <c r="AD78" s="574"/>
      <c r="AE78" s="166"/>
      <c r="AF78" s="166"/>
      <c r="AG78" s="166"/>
      <c r="AH78" s="572" t="s">
        <v>246</v>
      </c>
      <c r="AI78" s="573"/>
      <c r="AJ78" s="573"/>
      <c r="AK78" s="573"/>
      <c r="AL78" s="573"/>
      <c r="AM78" s="573"/>
      <c r="AN78" s="573"/>
      <c r="AO78" s="573"/>
      <c r="AP78" s="574"/>
      <c r="AQ78" s="167"/>
      <c r="AR78" s="167"/>
      <c r="AS78" s="167"/>
      <c r="AT78" s="142"/>
      <c r="AU78" s="142"/>
    </row>
    <row r="79" spans="1:47" s="143" customFormat="1" ht="30" customHeight="1" x14ac:dyDescent="0.3">
      <c r="A79" s="142"/>
      <c r="B79" s="142"/>
      <c r="C79" s="142"/>
      <c r="D79" s="142"/>
      <c r="E79" s="142"/>
      <c r="F79" s="142"/>
      <c r="G79" s="142"/>
      <c r="H79" s="568" t="s">
        <v>232</v>
      </c>
      <c r="I79" s="569"/>
      <c r="J79" s="569"/>
      <c r="K79" s="569"/>
      <c r="L79" s="569"/>
      <c r="M79" s="569"/>
      <c r="N79" s="569"/>
      <c r="O79" s="569"/>
      <c r="P79" s="569"/>
      <c r="Q79" s="564" t="s">
        <v>229</v>
      </c>
      <c r="R79" s="564"/>
      <c r="S79" s="564" t="s">
        <v>243</v>
      </c>
      <c r="T79" s="564"/>
      <c r="U79" s="564"/>
      <c r="V79" s="575" t="s">
        <v>803</v>
      </c>
      <c r="W79" s="575"/>
      <c r="X79" s="575"/>
      <c r="Y79" s="564" t="s">
        <v>256</v>
      </c>
      <c r="Z79" s="564"/>
      <c r="AA79" s="564"/>
      <c r="AB79" s="564" t="s">
        <v>250</v>
      </c>
      <c r="AC79" s="564"/>
      <c r="AD79" s="564"/>
      <c r="AE79" s="564" t="s">
        <v>253</v>
      </c>
      <c r="AF79" s="564"/>
      <c r="AG79" s="564"/>
      <c r="AH79" s="564" t="s">
        <v>248</v>
      </c>
      <c r="AI79" s="564"/>
      <c r="AJ79" s="564"/>
      <c r="AK79" s="564" t="s">
        <v>249</v>
      </c>
      <c r="AL79" s="564"/>
      <c r="AM79" s="564"/>
      <c r="AN79" s="564" t="s">
        <v>250</v>
      </c>
      <c r="AO79" s="564"/>
      <c r="AP79" s="564"/>
      <c r="AQ79" s="564" t="s">
        <v>247</v>
      </c>
      <c r="AR79" s="564"/>
      <c r="AS79" s="566"/>
      <c r="AT79" s="142"/>
      <c r="AU79" s="142"/>
    </row>
    <row r="80" spans="1:47" s="143" customFormat="1" ht="30" customHeight="1" x14ac:dyDescent="0.3">
      <c r="A80" s="142"/>
      <c r="B80" s="142"/>
      <c r="C80" s="142"/>
      <c r="D80" s="142"/>
      <c r="E80" s="142"/>
      <c r="F80" s="142"/>
      <c r="G80" s="142"/>
      <c r="H80" s="570"/>
      <c r="I80" s="571"/>
      <c r="J80" s="571"/>
      <c r="K80" s="571"/>
      <c r="L80" s="571"/>
      <c r="M80" s="571"/>
      <c r="N80" s="571"/>
      <c r="O80" s="571"/>
      <c r="P80" s="571"/>
      <c r="Q80" s="565"/>
      <c r="R80" s="565"/>
      <c r="S80" s="565"/>
      <c r="T80" s="565"/>
      <c r="U80" s="565"/>
      <c r="V80" s="576"/>
      <c r="W80" s="576"/>
      <c r="X80" s="576"/>
      <c r="Y80" s="565"/>
      <c r="Z80" s="565"/>
      <c r="AA80" s="565"/>
      <c r="AB80" s="565"/>
      <c r="AC80" s="565"/>
      <c r="AD80" s="565"/>
      <c r="AE80" s="565"/>
      <c r="AF80" s="565"/>
      <c r="AG80" s="565"/>
      <c r="AH80" s="565"/>
      <c r="AI80" s="565"/>
      <c r="AJ80" s="565"/>
      <c r="AK80" s="565"/>
      <c r="AL80" s="565"/>
      <c r="AM80" s="565"/>
      <c r="AN80" s="565"/>
      <c r="AO80" s="565"/>
      <c r="AP80" s="565"/>
      <c r="AQ80" s="565"/>
      <c r="AR80" s="565"/>
      <c r="AS80" s="567"/>
      <c r="AT80" s="142"/>
      <c r="AU80" s="142"/>
    </row>
    <row r="81" spans="1:47" s="143" customFormat="1" ht="30" customHeight="1" x14ac:dyDescent="0.3">
      <c r="A81" s="142"/>
      <c r="B81" s="142"/>
      <c r="C81" s="142"/>
      <c r="D81" s="142"/>
      <c r="E81" s="142"/>
      <c r="F81" s="142"/>
      <c r="G81" s="142"/>
      <c r="H81" s="557" t="s">
        <v>172</v>
      </c>
      <c r="I81" s="558"/>
      <c r="J81" s="558"/>
      <c r="K81" s="558"/>
      <c r="L81" s="558"/>
      <c r="M81" s="558"/>
      <c r="N81" s="558"/>
      <c r="O81" s="558"/>
      <c r="P81" s="558"/>
      <c r="Q81" s="580">
        <f>VLOOKUP(H81,ResearchInput[],8,FALSE)</f>
        <v>3632</v>
      </c>
      <c r="R81" s="580"/>
      <c r="S81" s="588">
        <f>SUMIFS(ResearchInput[T.Fed],ResearchInput[Institution Name],H81)</f>
        <v>140708425</v>
      </c>
      <c r="T81" s="532"/>
      <c r="U81" s="589"/>
      <c r="V81" s="532">
        <f>SUMIFS(ResearchInput[T.St],ResearchInput[Institution Name],H81)</f>
        <v>17820392</v>
      </c>
      <c r="W81" s="532"/>
      <c r="X81" s="532"/>
      <c r="Y81" s="532">
        <f>SUMIFS(ResearchInput[T.St.C&amp;G],ResearchInput[Institution Name],H81)</f>
        <v>22436526</v>
      </c>
      <c r="Z81" s="532"/>
      <c r="AA81" s="532"/>
      <c r="AB81" s="532">
        <f>SUMIFS(ResearchInput[T.St.All],ResearchInput[Institution Name],H81)</f>
        <v>29450</v>
      </c>
      <c r="AC81" s="532"/>
      <c r="AD81" s="532"/>
      <c r="AE81" s="588">
        <f>SUMIFS(ResearchInput[T.Inst],ResearchInput[Institution Name],H81)</f>
        <v>115671877</v>
      </c>
      <c r="AF81" s="532"/>
      <c r="AG81" s="589"/>
      <c r="AH81" s="532">
        <f>SUMIFS(ResearchInput[T.P4P],ResearchInput[Institution Name],H81)</f>
        <v>14689013</v>
      </c>
      <c r="AI81" s="532"/>
      <c r="AJ81" s="532"/>
      <c r="AK81" s="532">
        <f>SUMIFS(ResearchInput[T.PNP],ResearchInput[Institution Name],H81)</f>
        <v>50945451</v>
      </c>
      <c r="AL81" s="532"/>
      <c r="AM81" s="532"/>
      <c r="AN81" s="532">
        <f>SUMIFS(ResearchInput[T.P.All],ResearchInput[Institution Name],H81)</f>
        <v>318211</v>
      </c>
      <c r="AO81" s="532"/>
      <c r="AP81" s="532"/>
      <c r="AQ81" s="588">
        <f>SUM(S81:AP81)</f>
        <v>362619345</v>
      </c>
      <c r="AR81" s="532"/>
      <c r="AS81" s="533"/>
      <c r="AT81" s="142"/>
      <c r="AU81" s="142"/>
    </row>
    <row r="82" spans="1:47" s="143" customFormat="1" ht="30" customHeight="1" x14ac:dyDescent="0.3">
      <c r="A82" s="142"/>
      <c r="B82" s="142"/>
      <c r="C82" s="142"/>
      <c r="D82" s="142"/>
      <c r="E82" s="142"/>
      <c r="F82" s="142"/>
      <c r="G82" s="142"/>
      <c r="H82" s="559" t="s">
        <v>543</v>
      </c>
      <c r="I82" s="560"/>
      <c r="J82" s="560"/>
      <c r="K82" s="560"/>
      <c r="L82" s="560"/>
      <c r="M82" s="560"/>
      <c r="N82" s="560"/>
      <c r="O82" s="560"/>
      <c r="P82" s="560"/>
      <c r="Q82" s="581">
        <f>VLOOKUP(H82,ResearchInput[],8,FALSE)</f>
        <v>708</v>
      </c>
      <c r="R82" s="581"/>
      <c r="S82" s="586">
        <f>SUMIFS(ResearchInput[T.Fed],ResearchInput[Institution Name],H82)</f>
        <v>10534931</v>
      </c>
      <c r="T82" s="537"/>
      <c r="U82" s="587"/>
      <c r="V82" s="537">
        <f>SUMIFS(ResearchInput[T.St],ResearchInput[Institution Name],H82)</f>
        <v>0</v>
      </c>
      <c r="W82" s="537"/>
      <c r="X82" s="537"/>
      <c r="Y82" s="537">
        <f>SUMIFS(ResearchInput[T.St.C&amp;G],ResearchInput[Institution Name],H82)</f>
        <v>0</v>
      </c>
      <c r="Z82" s="537"/>
      <c r="AA82" s="537"/>
      <c r="AB82" s="537">
        <f>SUMIFS(ResearchInput[T.St.All],ResearchInput[Institution Name],H82)</f>
        <v>0</v>
      </c>
      <c r="AC82" s="537"/>
      <c r="AD82" s="537"/>
      <c r="AE82" s="586">
        <f>SUMIFS(ResearchInput[T.Inst],ResearchInput[Institution Name],H82)</f>
        <v>31555</v>
      </c>
      <c r="AF82" s="537"/>
      <c r="AG82" s="587"/>
      <c r="AH82" s="537">
        <f>SUMIFS(ResearchInput[T.P4P],ResearchInput[Institution Name],H82)</f>
        <v>354820</v>
      </c>
      <c r="AI82" s="537"/>
      <c r="AJ82" s="537"/>
      <c r="AK82" s="537">
        <f>SUMIFS(ResearchInput[T.PNP],ResearchInput[Institution Name],H82)</f>
        <v>7685</v>
      </c>
      <c r="AL82" s="537"/>
      <c r="AM82" s="537"/>
      <c r="AN82" s="537">
        <f>SUMIFS(ResearchInput[T.P.All],ResearchInput[Institution Name],H82)</f>
        <v>0</v>
      </c>
      <c r="AO82" s="537"/>
      <c r="AP82" s="537"/>
      <c r="AQ82" s="586">
        <f t="shared" ref="AQ82:AQ89" si="12">SUM(S82:AP82)</f>
        <v>10928991</v>
      </c>
      <c r="AR82" s="537"/>
      <c r="AS82" s="540"/>
      <c r="AT82" s="142"/>
      <c r="AU82" s="142"/>
    </row>
    <row r="83" spans="1:47" s="143" customFormat="1" ht="30" customHeight="1" x14ac:dyDescent="0.3">
      <c r="A83" s="142"/>
      <c r="B83" s="142"/>
      <c r="C83" s="142"/>
      <c r="D83" s="142"/>
      <c r="E83" s="142"/>
      <c r="F83" s="142"/>
      <c r="G83" s="142"/>
      <c r="H83" s="557" t="s">
        <v>221</v>
      </c>
      <c r="I83" s="558"/>
      <c r="J83" s="558"/>
      <c r="K83" s="558"/>
      <c r="L83" s="558"/>
      <c r="M83" s="558"/>
      <c r="N83" s="558"/>
      <c r="O83" s="558"/>
      <c r="P83" s="558"/>
      <c r="Q83" s="580">
        <f>VLOOKUP(H83,ResearchInput[],8,FALSE)</f>
        <v>556</v>
      </c>
      <c r="R83" s="580"/>
      <c r="S83" s="588">
        <f>SUMIFS(ResearchInput[T.Fed],ResearchInput[Institution Name],H83)</f>
        <v>126643616</v>
      </c>
      <c r="T83" s="532"/>
      <c r="U83" s="589"/>
      <c r="V83" s="532">
        <f>SUMIFS(ResearchInput[T.St],ResearchInput[Institution Name],H83)</f>
        <v>106786210</v>
      </c>
      <c r="W83" s="532"/>
      <c r="X83" s="532"/>
      <c r="Y83" s="532">
        <f>SUMIFS(ResearchInput[T.St.C&amp;G],ResearchInput[Institution Name],H83)</f>
        <v>2506335</v>
      </c>
      <c r="Z83" s="532"/>
      <c r="AA83" s="532"/>
      <c r="AB83" s="532">
        <f>SUMIFS(ResearchInput[T.St.All],ResearchInput[Institution Name],H83)</f>
        <v>1161466</v>
      </c>
      <c r="AC83" s="532"/>
      <c r="AD83" s="532"/>
      <c r="AE83" s="588">
        <f>SUMIFS(ResearchInput[T.Inst],ResearchInput[Institution Name],H83)</f>
        <v>68576661</v>
      </c>
      <c r="AF83" s="532"/>
      <c r="AG83" s="589"/>
      <c r="AH83" s="532">
        <f>SUMIFS(ResearchInput[T.P4P],ResearchInput[Institution Name],H83)</f>
        <v>8567630</v>
      </c>
      <c r="AI83" s="532"/>
      <c r="AJ83" s="532"/>
      <c r="AK83" s="532">
        <f>SUMIFS(ResearchInput[T.PNP],ResearchInput[Institution Name],H83)</f>
        <v>9350528</v>
      </c>
      <c r="AL83" s="532"/>
      <c r="AM83" s="532"/>
      <c r="AN83" s="532">
        <f>SUMIFS(ResearchInput[T.P.All],ResearchInput[Institution Name],H83)</f>
        <v>492072</v>
      </c>
      <c r="AO83" s="532"/>
      <c r="AP83" s="532"/>
      <c r="AQ83" s="588">
        <f t="shared" si="12"/>
        <v>324084518</v>
      </c>
      <c r="AR83" s="532"/>
      <c r="AS83" s="533"/>
      <c r="AT83" s="142"/>
      <c r="AU83" s="142"/>
    </row>
    <row r="84" spans="1:47" s="143" customFormat="1" ht="30" customHeight="1" x14ac:dyDescent="0.3">
      <c r="A84" s="142"/>
      <c r="B84" s="142"/>
      <c r="C84" s="142"/>
      <c r="D84" s="142"/>
      <c r="E84" s="142"/>
      <c r="F84" s="142"/>
      <c r="G84" s="142"/>
      <c r="H84" s="559" t="s">
        <v>518</v>
      </c>
      <c r="I84" s="560"/>
      <c r="J84" s="560"/>
      <c r="K84" s="560"/>
      <c r="L84" s="560"/>
      <c r="M84" s="560"/>
      <c r="N84" s="560"/>
      <c r="O84" s="560"/>
      <c r="P84" s="560"/>
      <c r="Q84" s="581">
        <f>VLOOKUP(H84,ResearchInput[],8,FALSE)</f>
        <v>555</v>
      </c>
      <c r="R84" s="581"/>
      <c r="S84" s="586">
        <f>SUMIFS(ResearchInput[T.Fed],ResearchInput[Institution Name],H84)</f>
        <v>699195</v>
      </c>
      <c r="T84" s="537"/>
      <c r="U84" s="587"/>
      <c r="V84" s="537">
        <f>SUMIFS(ResearchInput[T.St],ResearchInput[Institution Name],H84)</f>
        <v>289976</v>
      </c>
      <c r="W84" s="537"/>
      <c r="X84" s="537"/>
      <c r="Y84" s="537">
        <f>SUMIFS(ResearchInput[T.St.C&amp;G],ResearchInput[Institution Name],H84)</f>
        <v>842944</v>
      </c>
      <c r="Z84" s="537"/>
      <c r="AA84" s="537"/>
      <c r="AB84" s="537">
        <f>SUMIFS(ResearchInput[T.St.All],ResearchInput[Institution Name],H84)</f>
        <v>44147</v>
      </c>
      <c r="AC84" s="537"/>
      <c r="AD84" s="537"/>
      <c r="AE84" s="586">
        <f>SUMIFS(ResearchInput[T.Inst],ResearchInput[Institution Name],H84)</f>
        <v>299568</v>
      </c>
      <c r="AF84" s="537"/>
      <c r="AG84" s="587"/>
      <c r="AH84" s="537">
        <f>SUMIFS(ResearchInput[T.P4P],ResearchInput[Institution Name],H84)</f>
        <v>724713</v>
      </c>
      <c r="AI84" s="537"/>
      <c r="AJ84" s="537"/>
      <c r="AK84" s="537">
        <f>SUMIFS(ResearchInput[T.PNP],ResearchInput[Institution Name],H84)</f>
        <v>1015783</v>
      </c>
      <c r="AL84" s="537"/>
      <c r="AM84" s="537"/>
      <c r="AN84" s="537">
        <f>SUMIFS(ResearchInput[T.P.All],ResearchInput[Institution Name],H84)</f>
        <v>540105</v>
      </c>
      <c r="AO84" s="537"/>
      <c r="AP84" s="537"/>
      <c r="AQ84" s="586">
        <f t="shared" si="12"/>
        <v>4456431</v>
      </c>
      <c r="AR84" s="537"/>
      <c r="AS84" s="540"/>
      <c r="AT84" s="142"/>
      <c r="AU84" s="142"/>
    </row>
    <row r="85" spans="1:47" s="143" customFormat="1" ht="30" customHeight="1" x14ac:dyDescent="0.3">
      <c r="A85" s="142"/>
      <c r="B85" s="142"/>
      <c r="C85" s="142"/>
      <c r="D85" s="142"/>
      <c r="E85" s="142"/>
      <c r="F85" s="142"/>
      <c r="G85" s="142"/>
      <c r="H85" s="557" t="s">
        <v>222</v>
      </c>
      <c r="I85" s="558"/>
      <c r="J85" s="558"/>
      <c r="K85" s="558"/>
      <c r="L85" s="558"/>
      <c r="M85" s="558"/>
      <c r="N85" s="558"/>
      <c r="O85" s="558"/>
      <c r="P85" s="558"/>
      <c r="Q85" s="580">
        <f>VLOOKUP(H85,ResearchInput[],8,FALSE)</f>
        <v>712</v>
      </c>
      <c r="R85" s="580"/>
      <c r="S85" s="588">
        <f>SUMIFS(ResearchInput[T.Fed],ResearchInput[Institution Name],H85)</f>
        <v>127703480</v>
      </c>
      <c r="T85" s="532"/>
      <c r="U85" s="589"/>
      <c r="V85" s="532">
        <f>SUMIFS(ResearchInput[T.St],ResearchInput[Institution Name],H85)</f>
        <v>34254081</v>
      </c>
      <c r="W85" s="532"/>
      <c r="X85" s="532"/>
      <c r="Y85" s="532">
        <f>SUMIFS(ResearchInput[T.St.C&amp;G],ResearchInput[Institution Name],H85)</f>
        <v>20161504</v>
      </c>
      <c r="Z85" s="532"/>
      <c r="AA85" s="532"/>
      <c r="AB85" s="532">
        <f>SUMIFS(ResearchInput[T.St.All],ResearchInput[Institution Name],H85)</f>
        <v>17251381</v>
      </c>
      <c r="AC85" s="532"/>
      <c r="AD85" s="532"/>
      <c r="AE85" s="588">
        <f>SUMIFS(ResearchInput[T.Inst],ResearchInput[Institution Name],H85)</f>
        <v>54930362</v>
      </c>
      <c r="AF85" s="532"/>
      <c r="AG85" s="589"/>
      <c r="AH85" s="532">
        <f>SUMIFS(ResearchInput[T.P4P],ResearchInput[Institution Name],H85)</f>
        <v>23573045</v>
      </c>
      <c r="AI85" s="532"/>
      <c r="AJ85" s="532"/>
      <c r="AK85" s="532">
        <f>SUMIFS(ResearchInput[T.PNP],ResearchInput[Institution Name],H85)</f>
        <v>20972352</v>
      </c>
      <c r="AL85" s="532"/>
      <c r="AM85" s="532"/>
      <c r="AN85" s="532">
        <f>SUMIFS(ResearchInput[T.P.All],ResearchInput[Institution Name],H85)</f>
        <v>1229129</v>
      </c>
      <c r="AO85" s="532"/>
      <c r="AP85" s="532"/>
      <c r="AQ85" s="588">
        <f t="shared" si="12"/>
        <v>300075334</v>
      </c>
      <c r="AR85" s="532"/>
      <c r="AS85" s="533"/>
      <c r="AT85" s="142"/>
      <c r="AU85" s="142"/>
    </row>
    <row r="86" spans="1:47" s="143" customFormat="1" ht="30" customHeight="1" x14ac:dyDescent="0.3">
      <c r="A86" s="142"/>
      <c r="B86" s="142"/>
      <c r="C86" s="142"/>
      <c r="D86" s="142"/>
      <c r="E86" s="142"/>
      <c r="F86" s="142"/>
      <c r="G86" s="142"/>
      <c r="H86" s="559" t="s">
        <v>532</v>
      </c>
      <c r="I86" s="560"/>
      <c r="J86" s="560"/>
      <c r="K86" s="560"/>
      <c r="L86" s="560"/>
      <c r="M86" s="560"/>
      <c r="N86" s="560"/>
      <c r="O86" s="560"/>
      <c r="P86" s="560"/>
      <c r="Q86" s="581">
        <f>VLOOKUP(H86,ResearchInput[],8,FALSE)</f>
        <v>727</v>
      </c>
      <c r="R86" s="581"/>
      <c r="S86" s="586">
        <f>SUMIFS(ResearchInput[T.Fed],ResearchInput[Institution Name],H86)</f>
        <v>25187148</v>
      </c>
      <c r="T86" s="537"/>
      <c r="U86" s="587"/>
      <c r="V86" s="537">
        <f>SUMIFS(ResearchInput[T.St],ResearchInput[Institution Name],H86)</f>
        <v>15747880</v>
      </c>
      <c r="W86" s="537"/>
      <c r="X86" s="537"/>
      <c r="Y86" s="537">
        <f>SUMIFS(ResearchInput[T.St.C&amp;G],ResearchInput[Institution Name],H86)</f>
        <v>64239596</v>
      </c>
      <c r="Z86" s="537"/>
      <c r="AA86" s="537"/>
      <c r="AB86" s="537">
        <f>SUMIFS(ResearchInput[T.St.All],ResearchInput[Institution Name],H86)</f>
        <v>2314828</v>
      </c>
      <c r="AC86" s="537"/>
      <c r="AD86" s="537"/>
      <c r="AE86" s="586">
        <f>SUMIFS(ResearchInput[T.Inst],ResearchInput[Institution Name],H86)</f>
        <v>20195902</v>
      </c>
      <c r="AF86" s="537"/>
      <c r="AG86" s="587"/>
      <c r="AH86" s="537">
        <f>SUMIFS(ResearchInput[T.P4P],ResearchInput[Institution Name],H86)</f>
        <v>2812369</v>
      </c>
      <c r="AI86" s="537"/>
      <c r="AJ86" s="537"/>
      <c r="AK86" s="537">
        <f>SUMIFS(ResearchInput[T.PNP],ResearchInput[Institution Name],H86)</f>
        <v>540746</v>
      </c>
      <c r="AL86" s="537"/>
      <c r="AM86" s="537"/>
      <c r="AN86" s="537">
        <f>SUMIFS(ResearchInput[T.P.All],ResearchInput[Institution Name],H86)</f>
        <v>720898</v>
      </c>
      <c r="AO86" s="537"/>
      <c r="AP86" s="537"/>
      <c r="AQ86" s="586">
        <f t="shared" si="12"/>
        <v>131759367</v>
      </c>
      <c r="AR86" s="537"/>
      <c r="AS86" s="540"/>
      <c r="AT86" s="142"/>
      <c r="AU86" s="142"/>
    </row>
    <row r="87" spans="1:47" s="143" customFormat="1" ht="30" customHeight="1" x14ac:dyDescent="0.3">
      <c r="A87" s="142"/>
      <c r="B87" s="142"/>
      <c r="C87" s="142"/>
      <c r="D87" s="142"/>
      <c r="E87" s="142"/>
      <c r="F87" s="142"/>
      <c r="G87" s="142"/>
      <c r="H87" s="557" t="s">
        <v>524</v>
      </c>
      <c r="I87" s="558"/>
      <c r="J87" s="558"/>
      <c r="K87" s="558"/>
      <c r="L87" s="558"/>
      <c r="M87" s="558"/>
      <c r="N87" s="558"/>
      <c r="O87" s="558"/>
      <c r="P87" s="558"/>
      <c r="Q87" s="580">
        <f>VLOOKUP(H87,ResearchInput[],8,FALSE)</f>
        <v>716</v>
      </c>
      <c r="R87" s="580"/>
      <c r="S87" s="588">
        <f>SUMIFS(ResearchInput[T.Fed],ResearchInput[Institution Name],H87)</f>
        <v>0</v>
      </c>
      <c r="T87" s="532"/>
      <c r="U87" s="589"/>
      <c r="V87" s="532">
        <f>SUMIFS(ResearchInput[T.St],ResearchInput[Institution Name],H87)</f>
        <v>0</v>
      </c>
      <c r="W87" s="532"/>
      <c r="X87" s="532"/>
      <c r="Y87" s="532">
        <f>SUMIFS(ResearchInput[T.St.C&amp;G],ResearchInput[Institution Name],H87)</f>
        <v>0</v>
      </c>
      <c r="Z87" s="532"/>
      <c r="AA87" s="532"/>
      <c r="AB87" s="532">
        <f>SUMIFS(ResearchInput[T.St.All],ResearchInput[Institution Name],H87)</f>
        <v>0</v>
      </c>
      <c r="AC87" s="532"/>
      <c r="AD87" s="532"/>
      <c r="AE87" s="588">
        <f>SUMIFS(ResearchInput[T.Inst],ResearchInput[Institution Name],H87)</f>
        <v>0</v>
      </c>
      <c r="AF87" s="532"/>
      <c r="AG87" s="589"/>
      <c r="AH87" s="532">
        <f>SUMIFS(ResearchInput[T.P4P],ResearchInput[Institution Name],H87)</f>
        <v>0</v>
      </c>
      <c r="AI87" s="532"/>
      <c r="AJ87" s="532"/>
      <c r="AK87" s="532">
        <f>SUMIFS(ResearchInput[T.PNP],ResearchInput[Institution Name],H87)</f>
        <v>0</v>
      </c>
      <c r="AL87" s="532"/>
      <c r="AM87" s="532"/>
      <c r="AN87" s="532">
        <f>SUMIFS(ResearchInput[T.P.All],ResearchInput[Institution Name],H87)</f>
        <v>0</v>
      </c>
      <c r="AO87" s="532"/>
      <c r="AP87" s="532"/>
      <c r="AQ87" s="588">
        <f t="shared" si="12"/>
        <v>0</v>
      </c>
      <c r="AR87" s="532"/>
      <c r="AS87" s="533"/>
      <c r="AT87" s="142"/>
      <c r="AU87" s="142"/>
    </row>
    <row r="88" spans="1:47" s="143" customFormat="1" ht="30" customHeight="1" x14ac:dyDescent="0.3">
      <c r="A88" s="142"/>
      <c r="B88" s="142"/>
      <c r="C88" s="142"/>
      <c r="D88" s="142"/>
      <c r="E88" s="142"/>
      <c r="F88" s="142"/>
      <c r="G88" s="142"/>
      <c r="H88" s="559" t="s">
        <v>528</v>
      </c>
      <c r="I88" s="560"/>
      <c r="J88" s="560"/>
      <c r="K88" s="560"/>
      <c r="L88" s="560"/>
      <c r="M88" s="560"/>
      <c r="N88" s="560"/>
      <c r="O88" s="560"/>
      <c r="P88" s="560"/>
      <c r="Q88" s="581">
        <f>VLOOKUP(H88,ResearchInput[],8,FALSE)</f>
        <v>576</v>
      </c>
      <c r="R88" s="581"/>
      <c r="S88" s="586">
        <f>SUMIFS(ResearchInput[T.Fed],ResearchInput[Institution Name],H88)</f>
        <v>2102763</v>
      </c>
      <c r="T88" s="537"/>
      <c r="U88" s="587"/>
      <c r="V88" s="537">
        <f>SUMIFS(ResearchInput[T.St],ResearchInput[Institution Name],H88)</f>
        <v>1026359</v>
      </c>
      <c r="W88" s="537"/>
      <c r="X88" s="537"/>
      <c r="Y88" s="537">
        <f>SUMIFS(ResearchInput[T.St.C&amp;G],ResearchInput[Institution Name],H88)</f>
        <v>0</v>
      </c>
      <c r="Z88" s="537"/>
      <c r="AA88" s="537"/>
      <c r="AB88" s="537">
        <f>SUMIFS(ResearchInput[T.St.All],ResearchInput[Institution Name],H88)</f>
        <v>220</v>
      </c>
      <c r="AC88" s="537"/>
      <c r="AD88" s="537"/>
      <c r="AE88" s="586">
        <f>SUMIFS(ResearchInput[T.Inst],ResearchInput[Institution Name],H88)</f>
        <v>3005</v>
      </c>
      <c r="AF88" s="537"/>
      <c r="AG88" s="587"/>
      <c r="AH88" s="537">
        <f>SUMIFS(ResearchInput[T.P4P],ResearchInput[Institution Name],H88)</f>
        <v>0</v>
      </c>
      <c r="AI88" s="537"/>
      <c r="AJ88" s="537"/>
      <c r="AK88" s="537">
        <f>SUMIFS(ResearchInput[T.PNP],ResearchInput[Institution Name],H88)</f>
        <v>175064</v>
      </c>
      <c r="AL88" s="537"/>
      <c r="AM88" s="537"/>
      <c r="AN88" s="537">
        <f>SUMIFS(ResearchInput[T.P.All],ResearchInput[Institution Name],H88)</f>
        <v>0</v>
      </c>
      <c r="AO88" s="537"/>
      <c r="AP88" s="537"/>
      <c r="AQ88" s="586">
        <f t="shared" si="12"/>
        <v>3307411</v>
      </c>
      <c r="AR88" s="537"/>
      <c r="AS88" s="540"/>
      <c r="AT88" s="142"/>
      <c r="AU88" s="142"/>
    </row>
    <row r="89" spans="1:47" s="143" customFormat="1" ht="30" customHeight="1" x14ac:dyDescent="0.3">
      <c r="A89" s="142"/>
      <c r="B89" s="142"/>
      <c r="C89" s="142"/>
      <c r="D89" s="142"/>
      <c r="E89" s="142"/>
      <c r="F89" s="142"/>
      <c r="G89" s="142"/>
      <c r="H89" s="557" t="s">
        <v>535</v>
      </c>
      <c r="I89" s="558"/>
      <c r="J89" s="558"/>
      <c r="K89" s="558"/>
      <c r="L89" s="558"/>
      <c r="M89" s="558"/>
      <c r="N89" s="558"/>
      <c r="O89" s="558"/>
      <c r="P89" s="558"/>
      <c r="Q89" s="580">
        <f>VLOOKUP(H89,ResearchInput[],8,FALSE)</f>
        <v>557</v>
      </c>
      <c r="R89" s="580"/>
      <c r="S89" s="588">
        <f>SUMIFS(ResearchInput[T.Fed],ResearchInput[Institution Name],H89)</f>
        <v>3258959</v>
      </c>
      <c r="T89" s="532"/>
      <c r="U89" s="589"/>
      <c r="V89" s="532">
        <f>SUMIFS(ResearchInput[T.St],ResearchInput[Institution Name],H89)</f>
        <v>0</v>
      </c>
      <c r="W89" s="532"/>
      <c r="X89" s="532"/>
      <c r="Y89" s="532">
        <f>SUMIFS(ResearchInput[T.St.C&amp;G],ResearchInput[Institution Name],H89)</f>
        <v>0</v>
      </c>
      <c r="Z89" s="532"/>
      <c r="AA89" s="532"/>
      <c r="AB89" s="532">
        <f>SUMIFS(ResearchInput[T.St.All],ResearchInput[Institution Name],H89)</f>
        <v>0</v>
      </c>
      <c r="AC89" s="532"/>
      <c r="AD89" s="532"/>
      <c r="AE89" s="588">
        <f>SUMIFS(ResearchInput[T.Inst],ResearchInput[Institution Name],H89)</f>
        <v>0</v>
      </c>
      <c r="AF89" s="532"/>
      <c r="AG89" s="589"/>
      <c r="AH89" s="532">
        <f>SUMIFS(ResearchInput[T.P4P],ResearchInput[Institution Name],H89)</f>
        <v>0</v>
      </c>
      <c r="AI89" s="532"/>
      <c r="AJ89" s="532"/>
      <c r="AK89" s="532">
        <f>SUMIFS(ResearchInput[T.PNP],ResearchInput[Institution Name],H89)</f>
        <v>0</v>
      </c>
      <c r="AL89" s="532"/>
      <c r="AM89" s="532"/>
      <c r="AN89" s="532">
        <f>SUMIFS(ResearchInput[T.P.All],ResearchInput[Institution Name],H89)</f>
        <v>0</v>
      </c>
      <c r="AO89" s="532"/>
      <c r="AP89" s="532"/>
      <c r="AQ89" s="588">
        <f t="shared" si="12"/>
        <v>3258959</v>
      </c>
      <c r="AR89" s="532"/>
      <c r="AS89" s="533"/>
      <c r="AT89" s="142"/>
      <c r="AU89" s="142"/>
    </row>
    <row r="90" spans="1:47" s="143" customFormat="1" ht="30" customHeight="1" thickBot="1" x14ac:dyDescent="0.35">
      <c r="A90" s="142"/>
      <c r="B90" s="142"/>
      <c r="C90" s="142"/>
      <c r="D90" s="142"/>
      <c r="E90" s="142"/>
      <c r="F90" s="142"/>
      <c r="G90" s="142"/>
      <c r="H90" s="559" t="s">
        <v>539</v>
      </c>
      <c r="I90" s="560"/>
      <c r="J90" s="560"/>
      <c r="K90" s="560"/>
      <c r="L90" s="560"/>
      <c r="M90" s="560"/>
      <c r="N90" s="560"/>
      <c r="O90" s="560"/>
      <c r="P90" s="560"/>
      <c r="Q90" s="581">
        <f>VLOOKUP(H90,ResearchInput[],8,FALSE)</f>
        <v>575</v>
      </c>
      <c r="R90" s="581"/>
      <c r="S90" s="586">
        <f>SUMIFS(ResearchInput[T.Fed],ResearchInput[Institution Name],H90)</f>
        <v>0</v>
      </c>
      <c r="T90" s="537"/>
      <c r="U90" s="587"/>
      <c r="V90" s="537">
        <f>SUMIFS(ResearchInput[T.St],ResearchInput[Institution Name],H90)</f>
        <v>0</v>
      </c>
      <c r="W90" s="537"/>
      <c r="X90" s="537"/>
      <c r="Y90" s="537">
        <f>SUMIFS(ResearchInput[T.St.C&amp;G],ResearchInput[Institution Name],H90)</f>
        <v>0</v>
      </c>
      <c r="Z90" s="537"/>
      <c r="AA90" s="537"/>
      <c r="AB90" s="537">
        <f>SUMIFS(ResearchInput[T.St.All],ResearchInput[Institution Name],H90)</f>
        <v>0</v>
      </c>
      <c r="AC90" s="537"/>
      <c r="AD90" s="537"/>
      <c r="AE90" s="586">
        <f>SUMIFS(ResearchInput[T.Inst],ResearchInput[Institution Name],H90)</f>
        <v>0</v>
      </c>
      <c r="AF90" s="537"/>
      <c r="AG90" s="587"/>
      <c r="AH90" s="537">
        <f>SUMIFS(ResearchInput[T.P4P],ResearchInput[Institution Name],H90)</f>
        <v>0</v>
      </c>
      <c r="AI90" s="537"/>
      <c r="AJ90" s="537"/>
      <c r="AK90" s="537">
        <f>SUMIFS(ResearchInput[T.PNP],ResearchInput[Institution Name],H90)</f>
        <v>0</v>
      </c>
      <c r="AL90" s="537"/>
      <c r="AM90" s="537"/>
      <c r="AN90" s="537">
        <f>SUMIFS(ResearchInput[T.P.All],ResearchInput[Institution Name],H90)</f>
        <v>0</v>
      </c>
      <c r="AO90" s="537"/>
      <c r="AP90" s="537"/>
      <c r="AQ90" s="586">
        <f>SUM(S90:AP90)</f>
        <v>0</v>
      </c>
      <c r="AR90" s="537"/>
      <c r="AS90" s="540"/>
      <c r="AT90" s="142"/>
      <c r="AU90" s="142"/>
    </row>
    <row r="91" spans="1:47" ht="30" customHeight="1" thickTop="1" x14ac:dyDescent="0.25">
      <c r="A91" s="155"/>
      <c r="B91" s="155"/>
      <c r="C91" s="155"/>
      <c r="D91" s="155"/>
      <c r="E91" s="155"/>
      <c r="F91" s="155"/>
      <c r="G91" s="155"/>
      <c r="H91" s="601"/>
      <c r="I91" s="602"/>
      <c r="J91" s="602"/>
      <c r="K91" s="602"/>
      <c r="L91" s="602"/>
      <c r="M91" s="602"/>
      <c r="N91" s="602"/>
      <c r="O91" s="602"/>
      <c r="P91" s="602"/>
      <c r="Q91" s="603"/>
      <c r="R91" s="603"/>
      <c r="S91" s="593">
        <f>SUM(S81:U90)</f>
        <v>436838517</v>
      </c>
      <c r="T91" s="341"/>
      <c r="U91" s="594"/>
      <c r="V91" s="341">
        <f>SUM(V81:X90)</f>
        <v>175924898</v>
      </c>
      <c r="W91" s="341"/>
      <c r="X91" s="341"/>
      <c r="Y91" s="341">
        <f>SUM(Y81:AA90)</f>
        <v>110186905</v>
      </c>
      <c r="Z91" s="341"/>
      <c r="AA91" s="341"/>
      <c r="AB91" s="341">
        <f>SUM(AB81:AD90)</f>
        <v>20801492</v>
      </c>
      <c r="AC91" s="341"/>
      <c r="AD91" s="341"/>
      <c r="AE91" s="593">
        <f>SUM(AE81:AG90)</f>
        <v>259708930</v>
      </c>
      <c r="AF91" s="341"/>
      <c r="AG91" s="594"/>
      <c r="AH91" s="341">
        <f>SUM(AH81:AJ90)</f>
        <v>50721590</v>
      </c>
      <c r="AI91" s="341"/>
      <c r="AJ91" s="341"/>
      <c r="AK91" s="341">
        <f>SUM(AK81:AM90)</f>
        <v>83007609</v>
      </c>
      <c r="AL91" s="341"/>
      <c r="AM91" s="341"/>
      <c r="AN91" s="341">
        <f>SUM(AN81:AP90)</f>
        <v>3300415</v>
      </c>
      <c r="AO91" s="341"/>
      <c r="AP91" s="341"/>
      <c r="AQ91" s="593">
        <f>SUM(AQ81:AS90)</f>
        <v>1140490356</v>
      </c>
      <c r="AR91" s="341"/>
      <c r="AS91" s="342"/>
      <c r="AT91" s="155"/>
      <c r="AU91" s="155"/>
    </row>
    <row r="92" spans="1:47" ht="30" customHeight="1" x14ac:dyDescent="0.3">
      <c r="A92" s="155"/>
      <c r="B92" s="155"/>
      <c r="C92" s="155"/>
      <c r="D92" s="155"/>
      <c r="E92" s="155"/>
      <c r="F92" s="155"/>
      <c r="G92" s="155"/>
      <c r="H92" s="142"/>
      <c r="I92" s="142"/>
      <c r="J92" s="142"/>
      <c r="K92" s="142"/>
      <c r="L92" s="142"/>
      <c r="M92" s="142"/>
      <c r="N92" s="142"/>
      <c r="O92" s="142"/>
      <c r="P92" s="142"/>
      <c r="Q92" s="142"/>
      <c r="R92" s="142"/>
      <c r="S92" s="142"/>
      <c r="T92" s="142"/>
      <c r="U92" s="142"/>
      <c r="V92" s="142"/>
      <c r="W92" s="142"/>
      <c r="X92" s="142"/>
      <c r="Y92" s="142"/>
      <c r="Z92" s="142"/>
      <c r="AA92" s="142"/>
      <c r="AB92" s="142"/>
      <c r="AC92" s="142"/>
      <c r="AD92" s="142"/>
      <c r="AE92" s="142"/>
      <c r="AF92" s="142"/>
      <c r="AG92" s="142"/>
      <c r="AH92" s="142"/>
      <c r="AI92" s="142"/>
      <c r="AJ92" s="142"/>
      <c r="AK92" s="142"/>
      <c r="AL92" s="142"/>
      <c r="AM92" s="142"/>
      <c r="AN92" s="142"/>
      <c r="AO92" s="142"/>
      <c r="AP92" s="142"/>
      <c r="AQ92" s="142"/>
      <c r="AR92" s="142"/>
      <c r="AS92" s="142"/>
      <c r="AT92" s="155"/>
      <c r="AU92" s="155"/>
    </row>
    <row r="93" spans="1:47" ht="30" customHeight="1" x14ac:dyDescent="0.25">
      <c r="A93" s="155"/>
      <c r="B93" s="155"/>
      <c r="C93" s="155"/>
      <c r="D93" s="155"/>
      <c r="E93" s="155"/>
      <c r="F93" s="155"/>
      <c r="G93" s="155"/>
      <c r="H93" s="155"/>
      <c r="I93" s="155"/>
      <c r="J93" s="155"/>
      <c r="K93" s="155"/>
      <c r="L93" s="155"/>
      <c r="M93" s="155"/>
      <c r="N93" s="155"/>
      <c r="O93" s="155"/>
      <c r="P93" s="155"/>
      <c r="Q93" s="155"/>
      <c r="R93" s="155"/>
      <c r="S93" s="155"/>
      <c r="T93" s="155"/>
      <c r="U93" s="155"/>
      <c r="V93" s="155"/>
      <c r="W93" s="155"/>
      <c r="X93" s="155"/>
      <c r="Y93" s="155"/>
      <c r="Z93" s="155"/>
      <c r="AA93" s="155"/>
      <c r="AB93" s="155"/>
      <c r="AC93" s="155"/>
      <c r="AD93" s="155"/>
      <c r="AE93" s="155"/>
      <c r="AF93" s="155"/>
      <c r="AG93" s="155"/>
      <c r="AH93" s="155"/>
      <c r="AI93" s="155"/>
      <c r="AJ93" s="155"/>
      <c r="AK93" s="155"/>
      <c r="AL93" s="155"/>
      <c r="AM93" s="155"/>
      <c r="AN93" s="155"/>
      <c r="AO93" s="155"/>
      <c r="AP93" s="155"/>
      <c r="AQ93" s="155"/>
      <c r="AR93" s="155"/>
      <c r="AS93" s="155"/>
      <c r="AT93" s="155"/>
      <c r="AU93" s="155"/>
    </row>
  </sheetData>
  <sheetProtection algorithmName="SHA-512" hashValue="tc6muKzfq7+tMiz5ngR05Jl1S6qEh7Bmi0bALefA+4NlJhYLphk0WUyjitfNXPW13GZDe/8LfZyJ9Ir/hGjmIA==" saltValue="o1YE4ceEqceUCplAn2p80Q==" spinCount="100000" sheet="1" objects="1" scenarios="1" formatCells="0" formatColumns="0" formatRows="0"/>
  <mergeCells count="748">
    <mergeCell ref="AK70:AM70"/>
    <mergeCell ref="AN70:AP70"/>
    <mergeCell ref="AN25:AP25"/>
    <mergeCell ref="AQ25:AS25"/>
    <mergeCell ref="H70:P70"/>
    <mergeCell ref="Q70:R70"/>
    <mergeCell ref="S70:U70"/>
    <mergeCell ref="V70:X70"/>
    <mergeCell ref="Y70:AA70"/>
    <mergeCell ref="AB70:AD70"/>
    <mergeCell ref="AE70:AG70"/>
    <mergeCell ref="AH70:AJ70"/>
    <mergeCell ref="AQ69:AS69"/>
    <mergeCell ref="AQ59:AS59"/>
    <mergeCell ref="AQ60:AS60"/>
    <mergeCell ref="AQ61:AS61"/>
    <mergeCell ref="AQ62:AS62"/>
    <mergeCell ref="AQ63:AS63"/>
    <mergeCell ref="AQ64:AS64"/>
    <mergeCell ref="AQ53:AS53"/>
    <mergeCell ref="AQ54:AS54"/>
    <mergeCell ref="AQ55:AS55"/>
    <mergeCell ref="AQ56:AS56"/>
    <mergeCell ref="AQ57:AS57"/>
    <mergeCell ref="AE91:AG91"/>
    <mergeCell ref="AH91:AJ91"/>
    <mergeCell ref="AK91:AM91"/>
    <mergeCell ref="AN91:AP91"/>
    <mergeCell ref="AQ91:AS91"/>
    <mergeCell ref="H25:P25"/>
    <mergeCell ref="Q25:R25"/>
    <mergeCell ref="S25:U25"/>
    <mergeCell ref="V25:X25"/>
    <mergeCell ref="Y25:AA25"/>
    <mergeCell ref="H89:P89"/>
    <mergeCell ref="Q89:R89"/>
    <mergeCell ref="AN89:AP89"/>
    <mergeCell ref="AQ89:AS89"/>
    <mergeCell ref="H90:P90"/>
    <mergeCell ref="Q90:R90"/>
    <mergeCell ref="S90:U90"/>
    <mergeCell ref="V90:X90"/>
    <mergeCell ref="Y90:AA90"/>
    <mergeCell ref="AB90:AD90"/>
    <mergeCell ref="AE90:AG90"/>
    <mergeCell ref="AH90:AJ90"/>
    <mergeCell ref="AK88:AM88"/>
    <mergeCell ref="AN88:AP88"/>
    <mergeCell ref="H1:AS3"/>
    <mergeCell ref="H91:P91"/>
    <mergeCell ref="Q91:R91"/>
    <mergeCell ref="S91:U91"/>
    <mergeCell ref="V91:X91"/>
    <mergeCell ref="Y91:AA91"/>
    <mergeCell ref="AB91:AD91"/>
    <mergeCell ref="Q85:R85"/>
    <mergeCell ref="H86:P86"/>
    <mergeCell ref="Q86:R86"/>
    <mergeCell ref="H87:P87"/>
    <mergeCell ref="Q87:R87"/>
    <mergeCell ref="H88:P88"/>
    <mergeCell ref="Q88:R88"/>
    <mergeCell ref="AK90:AM90"/>
    <mergeCell ref="AN90:AP90"/>
    <mergeCell ref="AQ90:AS90"/>
    <mergeCell ref="H82:P82"/>
    <mergeCell ref="Q82:R82"/>
    <mergeCell ref="H83:P83"/>
    <mergeCell ref="Q83:R83"/>
    <mergeCell ref="H84:P84"/>
    <mergeCell ref="Q84:R84"/>
    <mergeCell ref="H85:P85"/>
    <mergeCell ref="AQ88:AS88"/>
    <mergeCell ref="S89:U89"/>
    <mergeCell ref="V89:X89"/>
    <mergeCell ref="Y89:AA89"/>
    <mergeCell ref="AB89:AD89"/>
    <mergeCell ref="AE89:AG89"/>
    <mergeCell ref="AH89:AJ89"/>
    <mergeCell ref="AK89:AM89"/>
    <mergeCell ref="S88:U88"/>
    <mergeCell ref="V88:X88"/>
    <mergeCell ref="Y88:AA88"/>
    <mergeCell ref="AB88:AD88"/>
    <mergeCell ref="AE88:AG88"/>
    <mergeCell ref="AH88:AJ88"/>
    <mergeCell ref="S87:U87"/>
    <mergeCell ref="V87:X87"/>
    <mergeCell ref="Y87:AA87"/>
    <mergeCell ref="AB87:AD87"/>
    <mergeCell ref="AE87:AG87"/>
    <mergeCell ref="AH87:AJ87"/>
    <mergeCell ref="AK87:AM87"/>
    <mergeCell ref="AN87:AP87"/>
    <mergeCell ref="AQ87:AS87"/>
    <mergeCell ref="S86:U86"/>
    <mergeCell ref="V86:X86"/>
    <mergeCell ref="Y86:AA86"/>
    <mergeCell ref="AB86:AD86"/>
    <mergeCell ref="AE86:AG86"/>
    <mergeCell ref="AH86:AJ86"/>
    <mergeCell ref="AK86:AM86"/>
    <mergeCell ref="AN86:AP86"/>
    <mergeCell ref="AQ86:AS86"/>
    <mergeCell ref="AK84:AM84"/>
    <mergeCell ref="AN84:AP84"/>
    <mergeCell ref="AQ84:AS84"/>
    <mergeCell ref="S85:U85"/>
    <mergeCell ref="V85:X85"/>
    <mergeCell ref="Y85:AA85"/>
    <mergeCell ref="AB85:AD85"/>
    <mergeCell ref="AE85:AG85"/>
    <mergeCell ref="AH85:AJ85"/>
    <mergeCell ref="AK85:AM85"/>
    <mergeCell ref="S84:U84"/>
    <mergeCell ref="V84:X84"/>
    <mergeCell ref="Y84:AA84"/>
    <mergeCell ref="AB84:AD84"/>
    <mergeCell ref="AE84:AG84"/>
    <mergeCell ref="AH84:AJ84"/>
    <mergeCell ref="AN85:AP85"/>
    <mergeCell ref="AQ85:AS85"/>
    <mergeCell ref="AQ82:AS82"/>
    <mergeCell ref="S83:U83"/>
    <mergeCell ref="V83:X83"/>
    <mergeCell ref="Y83:AA83"/>
    <mergeCell ref="AB83:AD83"/>
    <mergeCell ref="AE83:AG83"/>
    <mergeCell ref="AH83:AJ83"/>
    <mergeCell ref="AK83:AM83"/>
    <mergeCell ref="AN83:AP83"/>
    <mergeCell ref="AQ83:AS83"/>
    <mergeCell ref="H76:AS76"/>
    <mergeCell ref="H77:AS77"/>
    <mergeCell ref="S82:U82"/>
    <mergeCell ref="V82:X82"/>
    <mergeCell ref="Y82:AA82"/>
    <mergeCell ref="AB82:AD82"/>
    <mergeCell ref="AE82:AG82"/>
    <mergeCell ref="AH82:AJ82"/>
    <mergeCell ref="AK82:AM82"/>
    <mergeCell ref="AN82:AP82"/>
    <mergeCell ref="AB81:AD81"/>
    <mergeCell ref="AE81:AG81"/>
    <mergeCell ref="AH81:AJ81"/>
    <mergeCell ref="AK81:AM81"/>
    <mergeCell ref="AN81:AP81"/>
    <mergeCell ref="AQ81:AS81"/>
    <mergeCell ref="AE79:AG80"/>
    <mergeCell ref="AH79:AJ80"/>
    <mergeCell ref="AK79:AM80"/>
    <mergeCell ref="AN79:AP80"/>
    <mergeCell ref="AQ79:AS80"/>
    <mergeCell ref="H81:P81"/>
    <mergeCell ref="Q81:R81"/>
    <mergeCell ref="S81:U81"/>
    <mergeCell ref="H73:AS73"/>
    <mergeCell ref="H74:AS74"/>
    <mergeCell ref="H30:AS30"/>
    <mergeCell ref="H28:AS28"/>
    <mergeCell ref="H7:AS7"/>
    <mergeCell ref="H75:AS75"/>
    <mergeCell ref="AB25:AD25"/>
    <mergeCell ref="AE25:AG25"/>
    <mergeCell ref="AH25:AJ25"/>
    <mergeCell ref="AK25:AM25"/>
    <mergeCell ref="H26:AS26"/>
    <mergeCell ref="H27:AS27"/>
    <mergeCell ref="H29:AS29"/>
    <mergeCell ref="H71:AS71"/>
    <mergeCell ref="H72:AS72"/>
    <mergeCell ref="AN32:AP33"/>
    <mergeCell ref="AQ32:AS33"/>
    <mergeCell ref="AQ70:AS70"/>
    <mergeCell ref="V31:AD31"/>
    <mergeCell ref="AH31:AP31"/>
    <mergeCell ref="AQ65:AS65"/>
    <mergeCell ref="AQ66:AS66"/>
    <mergeCell ref="AQ67:AS67"/>
    <mergeCell ref="AQ68:AS68"/>
    <mergeCell ref="V81:X81"/>
    <mergeCell ref="Y81:AA81"/>
    <mergeCell ref="V78:AD78"/>
    <mergeCell ref="AH78:AP78"/>
    <mergeCell ref="H79:P80"/>
    <mergeCell ref="Q79:R80"/>
    <mergeCell ref="S79:U80"/>
    <mergeCell ref="V79:X80"/>
    <mergeCell ref="Y79:AA80"/>
    <mergeCell ref="AB79:AD80"/>
    <mergeCell ref="H32:P33"/>
    <mergeCell ref="Q32:R33"/>
    <mergeCell ref="S32:U33"/>
    <mergeCell ref="V32:X33"/>
    <mergeCell ref="Y32:AA33"/>
    <mergeCell ref="AB32:AD33"/>
    <mergeCell ref="AE32:AG33"/>
    <mergeCell ref="AH32:AJ33"/>
    <mergeCell ref="AK32:AM33"/>
    <mergeCell ref="AQ58:AS58"/>
    <mergeCell ref="AQ47:AS47"/>
    <mergeCell ref="AQ48:AS48"/>
    <mergeCell ref="AQ49:AS49"/>
    <mergeCell ref="AQ50:AS50"/>
    <mergeCell ref="AQ51:AS51"/>
    <mergeCell ref="AQ52:AS52"/>
    <mergeCell ref="AQ41:AS41"/>
    <mergeCell ref="AQ42:AS42"/>
    <mergeCell ref="AQ43:AS43"/>
    <mergeCell ref="AQ44:AS44"/>
    <mergeCell ref="AQ45:AS45"/>
    <mergeCell ref="AQ46:AS46"/>
    <mergeCell ref="AQ35:AS35"/>
    <mergeCell ref="AQ36:AS36"/>
    <mergeCell ref="AQ37:AS37"/>
    <mergeCell ref="AQ38:AS38"/>
    <mergeCell ref="AQ39:AS39"/>
    <mergeCell ref="AQ40:AS40"/>
    <mergeCell ref="Q64:R64"/>
    <mergeCell ref="Q65:R65"/>
    <mergeCell ref="Q66:R66"/>
    <mergeCell ref="Q58:R58"/>
    <mergeCell ref="Q59:R59"/>
    <mergeCell ref="Q60:R60"/>
    <mergeCell ref="Q61:R61"/>
    <mergeCell ref="Q62:R62"/>
    <mergeCell ref="Q63:R63"/>
    <mergeCell ref="Q52:R52"/>
    <mergeCell ref="Q53:R53"/>
    <mergeCell ref="Q54:R54"/>
    <mergeCell ref="Q55:R55"/>
    <mergeCell ref="Q56:R56"/>
    <mergeCell ref="Q57:R57"/>
    <mergeCell ref="Q46:R46"/>
    <mergeCell ref="Q47:R47"/>
    <mergeCell ref="Q48:R48"/>
    <mergeCell ref="H66:P66"/>
    <mergeCell ref="H67:P67"/>
    <mergeCell ref="H68:P68"/>
    <mergeCell ref="H69:P69"/>
    <mergeCell ref="H63:P63"/>
    <mergeCell ref="H64:P64"/>
    <mergeCell ref="H65:P65"/>
    <mergeCell ref="H45:P45"/>
    <mergeCell ref="H46:P46"/>
    <mergeCell ref="H47:P47"/>
    <mergeCell ref="H60:P60"/>
    <mergeCell ref="H61:P61"/>
    <mergeCell ref="H62:P62"/>
    <mergeCell ref="H54:P54"/>
    <mergeCell ref="H55:P55"/>
    <mergeCell ref="H56:P56"/>
    <mergeCell ref="H57:P57"/>
    <mergeCell ref="H58:P58"/>
    <mergeCell ref="H59:P59"/>
    <mergeCell ref="H48:P48"/>
    <mergeCell ref="H49:P49"/>
    <mergeCell ref="H50:P50"/>
    <mergeCell ref="H51:P51"/>
    <mergeCell ref="H52:P52"/>
    <mergeCell ref="Q67:R67"/>
    <mergeCell ref="Q68:R68"/>
    <mergeCell ref="Q69:R69"/>
    <mergeCell ref="Q49:R49"/>
    <mergeCell ref="Q50:R50"/>
    <mergeCell ref="Q51:R51"/>
    <mergeCell ref="Q34:R34"/>
    <mergeCell ref="Q35:R35"/>
    <mergeCell ref="Q36:R36"/>
    <mergeCell ref="Q37:R37"/>
    <mergeCell ref="Q38:R38"/>
    <mergeCell ref="Q39:R39"/>
    <mergeCell ref="Q40:R40"/>
    <mergeCell ref="Q41:R41"/>
    <mergeCell ref="Q42:R42"/>
    <mergeCell ref="Q43:R43"/>
    <mergeCell ref="Q44:R44"/>
    <mergeCell ref="Q45:R45"/>
    <mergeCell ref="H53:P53"/>
    <mergeCell ref="H42:P42"/>
    <mergeCell ref="H43:P43"/>
    <mergeCell ref="H44:P44"/>
    <mergeCell ref="AK69:AM69"/>
    <mergeCell ref="AN69:AP69"/>
    <mergeCell ref="H34:P34"/>
    <mergeCell ref="H35:P35"/>
    <mergeCell ref="H36:P36"/>
    <mergeCell ref="H37:P37"/>
    <mergeCell ref="H38:P38"/>
    <mergeCell ref="H39:P39"/>
    <mergeCell ref="H40:P40"/>
    <mergeCell ref="H41:P41"/>
    <mergeCell ref="S69:U69"/>
    <mergeCell ref="V69:X69"/>
    <mergeCell ref="Y69:AA69"/>
    <mergeCell ref="AB69:AD69"/>
    <mergeCell ref="AE69:AG69"/>
    <mergeCell ref="AH69:AJ69"/>
    <mergeCell ref="AK67:AM67"/>
    <mergeCell ref="AN67:AP67"/>
    <mergeCell ref="S68:U68"/>
    <mergeCell ref="V68:X68"/>
    <mergeCell ref="Y68:AA68"/>
    <mergeCell ref="AB68:AD68"/>
    <mergeCell ref="AE68:AG68"/>
    <mergeCell ref="AH68:AJ68"/>
    <mergeCell ref="AK68:AM68"/>
    <mergeCell ref="AN68:AP68"/>
    <mergeCell ref="S67:U67"/>
    <mergeCell ref="V67:X67"/>
    <mergeCell ref="Y67:AA67"/>
    <mergeCell ref="AB67:AD67"/>
    <mergeCell ref="AE67:AG67"/>
    <mergeCell ref="AH67:AJ67"/>
    <mergeCell ref="AK65:AM65"/>
    <mergeCell ref="AN65:AP65"/>
    <mergeCell ref="S66:U66"/>
    <mergeCell ref="V66:X66"/>
    <mergeCell ref="Y66:AA66"/>
    <mergeCell ref="AB66:AD66"/>
    <mergeCell ref="AE66:AG66"/>
    <mergeCell ref="AH66:AJ66"/>
    <mergeCell ref="AK66:AM66"/>
    <mergeCell ref="AN66:AP66"/>
    <mergeCell ref="S65:U65"/>
    <mergeCell ref="V65:X65"/>
    <mergeCell ref="Y65:AA65"/>
    <mergeCell ref="AB65:AD65"/>
    <mergeCell ref="AE65:AG65"/>
    <mergeCell ref="AH65:AJ65"/>
    <mergeCell ref="AK63:AM63"/>
    <mergeCell ref="AN63:AP63"/>
    <mergeCell ref="S64:U64"/>
    <mergeCell ref="V64:X64"/>
    <mergeCell ref="Y64:AA64"/>
    <mergeCell ref="AB64:AD64"/>
    <mergeCell ref="AE64:AG64"/>
    <mergeCell ref="AH64:AJ64"/>
    <mergeCell ref="AK64:AM64"/>
    <mergeCell ref="AN64:AP64"/>
    <mergeCell ref="S63:U63"/>
    <mergeCell ref="V63:X63"/>
    <mergeCell ref="Y63:AA63"/>
    <mergeCell ref="AB63:AD63"/>
    <mergeCell ref="AE63:AG63"/>
    <mergeCell ref="AH63:AJ63"/>
    <mergeCell ref="AK61:AM61"/>
    <mergeCell ref="AN61:AP61"/>
    <mergeCell ref="S62:U62"/>
    <mergeCell ref="V62:X62"/>
    <mergeCell ref="Y62:AA62"/>
    <mergeCell ref="AB62:AD62"/>
    <mergeCell ref="AE62:AG62"/>
    <mergeCell ref="AH62:AJ62"/>
    <mergeCell ref="AK62:AM62"/>
    <mergeCell ref="AN62:AP62"/>
    <mergeCell ref="S61:U61"/>
    <mergeCell ref="V61:X61"/>
    <mergeCell ref="Y61:AA61"/>
    <mergeCell ref="AB61:AD61"/>
    <mergeCell ref="AE61:AG61"/>
    <mergeCell ref="AH61:AJ61"/>
    <mergeCell ref="AK59:AM59"/>
    <mergeCell ref="AN59:AP59"/>
    <mergeCell ref="S60:U60"/>
    <mergeCell ref="V60:X60"/>
    <mergeCell ref="Y60:AA60"/>
    <mergeCell ref="AB60:AD60"/>
    <mergeCell ref="AE60:AG60"/>
    <mergeCell ref="AH60:AJ60"/>
    <mergeCell ref="AK60:AM60"/>
    <mergeCell ref="AN60:AP60"/>
    <mergeCell ref="S59:U59"/>
    <mergeCell ref="V59:X59"/>
    <mergeCell ref="Y59:AA59"/>
    <mergeCell ref="AB59:AD59"/>
    <mergeCell ref="AE59:AG59"/>
    <mergeCell ref="AH59:AJ59"/>
    <mergeCell ref="AB58:AD58"/>
    <mergeCell ref="AE58:AG58"/>
    <mergeCell ref="AH58:AJ58"/>
    <mergeCell ref="AK58:AM58"/>
    <mergeCell ref="AN58:AP58"/>
    <mergeCell ref="S57:U57"/>
    <mergeCell ref="V57:X57"/>
    <mergeCell ref="Y57:AA57"/>
    <mergeCell ref="AB57:AD57"/>
    <mergeCell ref="AE57:AG57"/>
    <mergeCell ref="AH57:AJ57"/>
    <mergeCell ref="AK57:AM57"/>
    <mergeCell ref="AN57:AP57"/>
    <mergeCell ref="S58:U58"/>
    <mergeCell ref="V58:X58"/>
    <mergeCell ref="Y58:AA58"/>
    <mergeCell ref="AK55:AM55"/>
    <mergeCell ref="AN55:AP55"/>
    <mergeCell ref="S56:U56"/>
    <mergeCell ref="V56:X56"/>
    <mergeCell ref="Y56:AA56"/>
    <mergeCell ref="AB56:AD56"/>
    <mergeCell ref="AE56:AG56"/>
    <mergeCell ref="AH56:AJ56"/>
    <mergeCell ref="AK56:AM56"/>
    <mergeCell ref="AN56:AP56"/>
    <mergeCell ref="S55:U55"/>
    <mergeCell ref="V55:X55"/>
    <mergeCell ref="Y55:AA55"/>
    <mergeCell ref="AB55:AD55"/>
    <mergeCell ref="AE55:AG55"/>
    <mergeCell ref="AH55:AJ55"/>
    <mergeCell ref="AK53:AM53"/>
    <mergeCell ref="AN53:AP53"/>
    <mergeCell ref="S54:U54"/>
    <mergeCell ref="V54:X54"/>
    <mergeCell ref="Y54:AA54"/>
    <mergeCell ref="AB54:AD54"/>
    <mergeCell ref="AE54:AG54"/>
    <mergeCell ref="AH54:AJ54"/>
    <mergeCell ref="AK54:AM54"/>
    <mergeCell ref="AN54:AP54"/>
    <mergeCell ref="S53:U53"/>
    <mergeCell ref="V53:X53"/>
    <mergeCell ref="Y53:AA53"/>
    <mergeCell ref="AB53:AD53"/>
    <mergeCell ref="AE53:AG53"/>
    <mergeCell ref="AH53:AJ53"/>
    <mergeCell ref="AK51:AM51"/>
    <mergeCell ref="AN51:AP51"/>
    <mergeCell ref="S52:U52"/>
    <mergeCell ref="V52:X52"/>
    <mergeCell ref="Y52:AA52"/>
    <mergeCell ref="AB52:AD52"/>
    <mergeCell ref="AE52:AG52"/>
    <mergeCell ref="AH52:AJ52"/>
    <mergeCell ref="AK52:AM52"/>
    <mergeCell ref="AN52:AP52"/>
    <mergeCell ref="S51:U51"/>
    <mergeCell ref="V51:X51"/>
    <mergeCell ref="Y51:AA51"/>
    <mergeCell ref="AB51:AD51"/>
    <mergeCell ref="AE51:AG51"/>
    <mergeCell ref="AH51:AJ51"/>
    <mergeCell ref="AK49:AM49"/>
    <mergeCell ref="AN49:AP49"/>
    <mergeCell ref="S50:U50"/>
    <mergeCell ref="V50:X50"/>
    <mergeCell ref="Y50:AA50"/>
    <mergeCell ref="AB50:AD50"/>
    <mergeCell ref="AE50:AG50"/>
    <mergeCell ref="AH50:AJ50"/>
    <mergeCell ref="AK50:AM50"/>
    <mergeCell ref="AN50:AP50"/>
    <mergeCell ref="S49:U49"/>
    <mergeCell ref="V49:X49"/>
    <mergeCell ref="Y49:AA49"/>
    <mergeCell ref="AB49:AD49"/>
    <mergeCell ref="AE49:AG49"/>
    <mergeCell ref="AH49:AJ49"/>
    <mergeCell ref="AK47:AM47"/>
    <mergeCell ref="AN47:AP47"/>
    <mergeCell ref="S48:U48"/>
    <mergeCell ref="V48:X48"/>
    <mergeCell ref="Y48:AA48"/>
    <mergeCell ref="AB48:AD48"/>
    <mergeCell ref="AE48:AG48"/>
    <mergeCell ref="AH48:AJ48"/>
    <mergeCell ref="AK48:AM48"/>
    <mergeCell ref="AN48:AP48"/>
    <mergeCell ref="S47:U47"/>
    <mergeCell ref="V47:X47"/>
    <mergeCell ref="Y47:AA47"/>
    <mergeCell ref="AB47:AD47"/>
    <mergeCell ref="AE47:AG47"/>
    <mergeCell ref="AH47:AJ47"/>
    <mergeCell ref="AK45:AM45"/>
    <mergeCell ref="AN45:AP45"/>
    <mergeCell ref="S46:U46"/>
    <mergeCell ref="V46:X46"/>
    <mergeCell ref="Y46:AA46"/>
    <mergeCell ref="AB46:AD46"/>
    <mergeCell ref="AE46:AG46"/>
    <mergeCell ref="AH46:AJ46"/>
    <mergeCell ref="AK46:AM46"/>
    <mergeCell ref="AN46:AP46"/>
    <mergeCell ref="S45:U45"/>
    <mergeCell ref="V45:X45"/>
    <mergeCell ref="Y45:AA45"/>
    <mergeCell ref="AB45:AD45"/>
    <mergeCell ref="AE45:AG45"/>
    <mergeCell ref="AH45:AJ45"/>
    <mergeCell ref="AK43:AM43"/>
    <mergeCell ref="AN43:AP43"/>
    <mergeCell ref="S44:U44"/>
    <mergeCell ref="V44:X44"/>
    <mergeCell ref="Y44:AA44"/>
    <mergeCell ref="AB44:AD44"/>
    <mergeCell ref="AE44:AG44"/>
    <mergeCell ref="AH44:AJ44"/>
    <mergeCell ref="AK44:AM44"/>
    <mergeCell ref="AN44:AP44"/>
    <mergeCell ref="S43:U43"/>
    <mergeCell ref="V43:X43"/>
    <mergeCell ref="Y43:AA43"/>
    <mergeCell ref="AB43:AD43"/>
    <mergeCell ref="AE43:AG43"/>
    <mergeCell ref="AH43:AJ43"/>
    <mergeCell ref="AK41:AM41"/>
    <mergeCell ref="AN41:AP41"/>
    <mergeCell ref="S42:U42"/>
    <mergeCell ref="V42:X42"/>
    <mergeCell ref="Y42:AA42"/>
    <mergeCell ref="AB42:AD42"/>
    <mergeCell ref="AE42:AG42"/>
    <mergeCell ref="AH42:AJ42"/>
    <mergeCell ref="AK42:AM42"/>
    <mergeCell ref="AN42:AP42"/>
    <mergeCell ref="S41:U41"/>
    <mergeCell ref="V41:X41"/>
    <mergeCell ref="Y41:AA41"/>
    <mergeCell ref="AB41:AD41"/>
    <mergeCell ref="AE41:AG41"/>
    <mergeCell ref="AH41:AJ41"/>
    <mergeCell ref="AK39:AM39"/>
    <mergeCell ref="AN39:AP39"/>
    <mergeCell ref="S40:U40"/>
    <mergeCell ref="V40:X40"/>
    <mergeCell ref="Y40:AA40"/>
    <mergeCell ref="AB40:AD40"/>
    <mergeCell ref="AE40:AG40"/>
    <mergeCell ref="AH40:AJ40"/>
    <mergeCell ref="AK40:AM40"/>
    <mergeCell ref="AN40:AP40"/>
    <mergeCell ref="S39:U39"/>
    <mergeCell ref="V39:X39"/>
    <mergeCell ref="Y39:AA39"/>
    <mergeCell ref="AB39:AD39"/>
    <mergeCell ref="AE39:AG39"/>
    <mergeCell ref="AH39:AJ39"/>
    <mergeCell ref="AK37:AM37"/>
    <mergeCell ref="AN37:AP37"/>
    <mergeCell ref="S38:U38"/>
    <mergeCell ref="V38:X38"/>
    <mergeCell ref="Y38:AA38"/>
    <mergeCell ref="AB38:AD38"/>
    <mergeCell ref="AE38:AG38"/>
    <mergeCell ref="AH38:AJ38"/>
    <mergeCell ref="AK38:AM38"/>
    <mergeCell ref="AN38:AP38"/>
    <mergeCell ref="S37:U37"/>
    <mergeCell ref="V37:X37"/>
    <mergeCell ref="Y37:AA37"/>
    <mergeCell ref="AB37:AD37"/>
    <mergeCell ref="AE37:AG37"/>
    <mergeCell ref="AH37:AJ37"/>
    <mergeCell ref="AK35:AM35"/>
    <mergeCell ref="AN35:AP35"/>
    <mergeCell ref="S36:U36"/>
    <mergeCell ref="V36:X36"/>
    <mergeCell ref="Y36:AA36"/>
    <mergeCell ref="AB36:AD36"/>
    <mergeCell ref="AE36:AG36"/>
    <mergeCell ref="AH36:AJ36"/>
    <mergeCell ref="AK36:AM36"/>
    <mergeCell ref="AN36:AP36"/>
    <mergeCell ref="S35:U35"/>
    <mergeCell ref="V35:X35"/>
    <mergeCell ref="Y35:AA35"/>
    <mergeCell ref="AB35:AD35"/>
    <mergeCell ref="AE35:AG35"/>
    <mergeCell ref="AH35:AJ35"/>
    <mergeCell ref="V24:X24"/>
    <mergeCell ref="Y24:AA24"/>
    <mergeCell ref="AB24:AD24"/>
    <mergeCell ref="AE24:AG24"/>
    <mergeCell ref="AH24:AJ24"/>
    <mergeCell ref="AK24:AM24"/>
    <mergeCell ref="AN24:AP24"/>
    <mergeCell ref="AQ24:AS24"/>
    <mergeCell ref="S34:U34"/>
    <mergeCell ref="V34:X34"/>
    <mergeCell ref="Y34:AA34"/>
    <mergeCell ref="AB34:AD34"/>
    <mergeCell ref="AE34:AG34"/>
    <mergeCell ref="AH34:AJ34"/>
    <mergeCell ref="AK34:AM34"/>
    <mergeCell ref="AN34:AP34"/>
    <mergeCell ref="AQ34:AS34"/>
    <mergeCell ref="AK22:AM22"/>
    <mergeCell ref="AN22:AP22"/>
    <mergeCell ref="AQ22:AS22"/>
    <mergeCell ref="S23:U23"/>
    <mergeCell ref="V23:X23"/>
    <mergeCell ref="Y23:AA23"/>
    <mergeCell ref="AB23:AD23"/>
    <mergeCell ref="AE23:AG23"/>
    <mergeCell ref="AH23:AJ23"/>
    <mergeCell ref="AK23:AM23"/>
    <mergeCell ref="S22:U22"/>
    <mergeCell ref="V22:X22"/>
    <mergeCell ref="Y22:AA22"/>
    <mergeCell ref="AB22:AD22"/>
    <mergeCell ref="AE22:AG22"/>
    <mergeCell ref="AH22:AJ22"/>
    <mergeCell ref="AN23:AP23"/>
    <mergeCell ref="AQ23:AS23"/>
    <mergeCell ref="AE20:AG20"/>
    <mergeCell ref="AH20:AJ20"/>
    <mergeCell ref="AK20:AM20"/>
    <mergeCell ref="AN20:AP20"/>
    <mergeCell ref="AQ20:AS20"/>
    <mergeCell ref="S21:U21"/>
    <mergeCell ref="V21:X21"/>
    <mergeCell ref="Y21:AA21"/>
    <mergeCell ref="AB21:AD21"/>
    <mergeCell ref="AE21:AG21"/>
    <mergeCell ref="AH21:AJ21"/>
    <mergeCell ref="AK21:AM21"/>
    <mergeCell ref="AN21:AP21"/>
    <mergeCell ref="AQ21:AS21"/>
    <mergeCell ref="AK18:AM18"/>
    <mergeCell ref="AN18:AP18"/>
    <mergeCell ref="AQ18:AS18"/>
    <mergeCell ref="S19:U19"/>
    <mergeCell ref="V19:X19"/>
    <mergeCell ref="Y19:AA19"/>
    <mergeCell ref="AB19:AD19"/>
    <mergeCell ref="AE19:AG19"/>
    <mergeCell ref="AH19:AJ19"/>
    <mergeCell ref="AK19:AM19"/>
    <mergeCell ref="S18:U18"/>
    <mergeCell ref="V18:X18"/>
    <mergeCell ref="Y18:AA18"/>
    <mergeCell ref="AB18:AD18"/>
    <mergeCell ref="AE18:AG18"/>
    <mergeCell ref="AH18:AJ18"/>
    <mergeCell ref="AN19:AP19"/>
    <mergeCell ref="AQ19:AS19"/>
    <mergeCell ref="AH16:AJ16"/>
    <mergeCell ref="AK16:AM16"/>
    <mergeCell ref="AN16:AP16"/>
    <mergeCell ref="AQ16:AS16"/>
    <mergeCell ref="S17:U17"/>
    <mergeCell ref="V17:X17"/>
    <mergeCell ref="Y17:AA17"/>
    <mergeCell ref="AB17:AD17"/>
    <mergeCell ref="AE17:AG17"/>
    <mergeCell ref="AH17:AJ17"/>
    <mergeCell ref="AK17:AM17"/>
    <mergeCell ref="AN17:AP17"/>
    <mergeCell ref="AQ17:AS17"/>
    <mergeCell ref="AH14:AJ14"/>
    <mergeCell ref="AK14:AM14"/>
    <mergeCell ref="AN14:AP14"/>
    <mergeCell ref="AQ14:AS14"/>
    <mergeCell ref="S15:U15"/>
    <mergeCell ref="V15:X15"/>
    <mergeCell ref="Y15:AA15"/>
    <mergeCell ref="AB15:AD15"/>
    <mergeCell ref="AE15:AG15"/>
    <mergeCell ref="AH15:AJ15"/>
    <mergeCell ref="AK15:AM15"/>
    <mergeCell ref="AN15:AP15"/>
    <mergeCell ref="AQ15:AS15"/>
    <mergeCell ref="AH12:AJ12"/>
    <mergeCell ref="AK12:AM12"/>
    <mergeCell ref="AN12:AP12"/>
    <mergeCell ref="AQ12:AS12"/>
    <mergeCell ref="S13:U13"/>
    <mergeCell ref="V13:X13"/>
    <mergeCell ref="Y13:AA13"/>
    <mergeCell ref="AB13:AD13"/>
    <mergeCell ref="AE13:AG13"/>
    <mergeCell ref="AH13:AJ13"/>
    <mergeCell ref="AK13:AM13"/>
    <mergeCell ref="AN13:AP13"/>
    <mergeCell ref="AQ13:AS13"/>
    <mergeCell ref="AE11:AG11"/>
    <mergeCell ref="S12:U12"/>
    <mergeCell ref="V12:X12"/>
    <mergeCell ref="Y12:AA12"/>
    <mergeCell ref="AB12:AD12"/>
    <mergeCell ref="Q18:R18"/>
    <mergeCell ref="Q19:R19"/>
    <mergeCell ref="Q20:R20"/>
    <mergeCell ref="Q21:R21"/>
    <mergeCell ref="AE12:AG12"/>
    <mergeCell ref="S14:U14"/>
    <mergeCell ref="V14:X14"/>
    <mergeCell ref="Y14:AA14"/>
    <mergeCell ref="AB14:AD14"/>
    <mergeCell ref="AE14:AG14"/>
    <mergeCell ref="S16:U16"/>
    <mergeCell ref="V16:X16"/>
    <mergeCell ref="Y16:AA16"/>
    <mergeCell ref="AB16:AD16"/>
    <mergeCell ref="AE16:AG16"/>
    <mergeCell ref="S20:U20"/>
    <mergeCell ref="V20:X20"/>
    <mergeCell ref="Y20:AA20"/>
    <mergeCell ref="AB20:AD20"/>
    <mergeCell ref="AB11:AD11"/>
    <mergeCell ref="H22:P22"/>
    <mergeCell ref="H23:P23"/>
    <mergeCell ref="H24:P24"/>
    <mergeCell ref="Q11:R11"/>
    <mergeCell ref="Q12:R12"/>
    <mergeCell ref="Q13:R13"/>
    <mergeCell ref="Q14:R14"/>
    <mergeCell ref="Q15:R15"/>
    <mergeCell ref="Q16:R16"/>
    <mergeCell ref="Q17:R17"/>
    <mergeCell ref="H13:P13"/>
    <mergeCell ref="H14:P14"/>
    <mergeCell ref="H15:P15"/>
    <mergeCell ref="H16:P16"/>
    <mergeCell ref="H17:P17"/>
    <mergeCell ref="H18:P18"/>
    <mergeCell ref="H19:P19"/>
    <mergeCell ref="H20:P20"/>
    <mergeCell ref="H21:P21"/>
    <mergeCell ref="Q24:R24"/>
    <mergeCell ref="Q22:R22"/>
    <mergeCell ref="Q23:R23"/>
    <mergeCell ref="S24:U24"/>
    <mergeCell ref="H4:AS4"/>
    <mergeCell ref="H6:AS6"/>
    <mergeCell ref="H11:P11"/>
    <mergeCell ref="H12:P12"/>
    <mergeCell ref="AH11:AJ11"/>
    <mergeCell ref="AK11:AM11"/>
    <mergeCell ref="AN11:AP11"/>
    <mergeCell ref="AQ11:AS11"/>
    <mergeCell ref="AK9:AM10"/>
    <mergeCell ref="AN9:AP10"/>
    <mergeCell ref="AQ9:AS10"/>
    <mergeCell ref="H9:P10"/>
    <mergeCell ref="Q9:R10"/>
    <mergeCell ref="V8:AD8"/>
    <mergeCell ref="AH8:AP8"/>
    <mergeCell ref="S9:U10"/>
    <mergeCell ref="V9:X10"/>
    <mergeCell ref="Y9:AA10"/>
    <mergeCell ref="AB9:AD10"/>
    <mergeCell ref="AE9:AG10"/>
    <mergeCell ref="AH9:AJ10"/>
    <mergeCell ref="S11:U11"/>
    <mergeCell ref="V11:X11"/>
    <mergeCell ref="Y11:AA11"/>
  </mergeCell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DC9DD2-AC81-4E2E-83A4-8B86A470B404}">
  <sheetPr codeName="Sheet2">
    <tabColor theme="5"/>
    <pageSetUpPr fitToPage="1"/>
  </sheetPr>
  <dimension ref="A1:AB79"/>
  <sheetViews>
    <sheetView zoomScale="80" zoomScaleNormal="80" zoomScaleSheetLayoutView="70" workbookViewId="0"/>
  </sheetViews>
  <sheetFormatPr defaultColWidth="8.90625" defaultRowHeight="13.8" x14ac:dyDescent="0.25"/>
  <cols>
    <col min="1" max="29" width="6.6328125" style="156" customWidth="1"/>
    <col min="30" max="16384" width="8.90625" style="156"/>
  </cols>
  <sheetData>
    <row r="1" spans="1:28" ht="30" customHeight="1" x14ac:dyDescent="0.25">
      <c r="A1" s="155"/>
      <c r="B1" s="155"/>
      <c r="C1" s="155"/>
      <c r="D1" s="155"/>
      <c r="E1" s="155"/>
      <c r="F1" s="155"/>
      <c r="G1" s="155"/>
      <c r="H1" s="616" t="s">
        <v>231</v>
      </c>
      <c r="I1" s="616"/>
      <c r="J1" s="616"/>
      <c r="K1" s="616"/>
      <c r="L1" s="616"/>
      <c r="M1" s="616"/>
      <c r="N1" s="616"/>
      <c r="O1" s="616"/>
      <c r="P1" s="616"/>
      <c r="Q1" s="616"/>
      <c r="R1" s="616"/>
      <c r="S1" s="616"/>
      <c r="T1" s="616"/>
      <c r="U1" s="616"/>
      <c r="V1" s="616"/>
      <c r="W1" s="616"/>
      <c r="X1" s="616"/>
      <c r="Y1" s="616"/>
      <c r="Z1" s="616"/>
      <c r="AA1" s="616"/>
      <c r="AB1" s="155"/>
    </row>
    <row r="2" spans="1:28" ht="30" customHeight="1" x14ac:dyDescent="0.25">
      <c r="A2" s="155"/>
      <c r="B2" s="155"/>
      <c r="C2" s="155"/>
      <c r="D2" s="155"/>
      <c r="E2" s="155"/>
      <c r="F2" s="155"/>
      <c r="G2" s="155"/>
      <c r="H2" s="616"/>
      <c r="I2" s="616"/>
      <c r="J2" s="616"/>
      <c r="K2" s="616"/>
      <c r="L2" s="616"/>
      <c r="M2" s="616"/>
      <c r="N2" s="616"/>
      <c r="O2" s="616"/>
      <c r="P2" s="616"/>
      <c r="Q2" s="616"/>
      <c r="R2" s="616"/>
      <c r="S2" s="616"/>
      <c r="T2" s="616"/>
      <c r="U2" s="616"/>
      <c r="V2" s="616"/>
      <c r="W2" s="616"/>
      <c r="X2" s="616"/>
      <c r="Y2" s="616"/>
      <c r="Z2" s="616"/>
      <c r="AA2" s="616"/>
      <c r="AB2" s="155"/>
    </row>
    <row r="3" spans="1:28" ht="30" customHeight="1" x14ac:dyDescent="0.25">
      <c r="A3" s="155"/>
      <c r="B3" s="155"/>
      <c r="C3" s="155"/>
      <c r="D3" s="155"/>
      <c r="E3" s="155"/>
      <c r="F3" s="155"/>
      <c r="G3" s="155"/>
      <c r="H3" s="617" t="s">
        <v>233</v>
      </c>
      <c r="I3" s="617"/>
      <c r="J3" s="617"/>
      <c r="K3" s="617"/>
      <c r="L3" s="617"/>
      <c r="M3" s="617"/>
      <c r="N3" s="617"/>
      <c r="O3" s="617"/>
      <c r="P3" s="617"/>
      <c r="Q3" s="617"/>
      <c r="R3" s="617"/>
      <c r="S3" s="617"/>
      <c r="T3" s="617"/>
      <c r="U3" s="617"/>
      <c r="V3" s="617"/>
      <c r="W3" s="617"/>
      <c r="X3" s="617"/>
      <c r="Y3" s="617"/>
      <c r="Z3" s="617"/>
      <c r="AA3" s="617"/>
      <c r="AB3" s="155"/>
    </row>
    <row r="4" spans="1:28" ht="30" customHeight="1" x14ac:dyDescent="0.25">
      <c r="A4" s="155"/>
      <c r="B4" s="155"/>
      <c r="C4" s="155"/>
      <c r="D4" s="155"/>
      <c r="E4" s="155"/>
      <c r="F4" s="155"/>
      <c r="G4" s="155"/>
      <c r="H4" s="604"/>
      <c r="I4" s="604"/>
      <c r="J4" s="604"/>
      <c r="K4" s="604"/>
      <c r="L4" s="604"/>
      <c r="M4" s="604"/>
      <c r="N4" s="604"/>
      <c r="O4" s="604"/>
      <c r="P4" s="604"/>
      <c r="Q4" s="604"/>
      <c r="R4" s="604"/>
      <c r="S4" s="604"/>
      <c r="T4" s="604"/>
      <c r="U4" s="604"/>
      <c r="V4" s="604"/>
      <c r="W4" s="604"/>
      <c r="X4" s="604"/>
      <c r="Y4" s="604"/>
      <c r="Z4" s="604"/>
      <c r="AA4" s="604"/>
      <c r="AB4" s="155"/>
    </row>
    <row r="5" spans="1:28" ht="30" customHeight="1" x14ac:dyDescent="0.25">
      <c r="A5" s="155"/>
      <c r="B5" s="155"/>
      <c r="C5" s="155"/>
      <c r="D5" s="155"/>
      <c r="E5" s="155"/>
      <c r="F5" s="155"/>
      <c r="G5" s="155"/>
      <c r="H5" s="624" t="s">
        <v>786</v>
      </c>
      <c r="I5" s="625"/>
      <c r="J5" s="625"/>
      <c r="K5" s="625"/>
      <c r="L5" s="625"/>
      <c r="M5" s="625"/>
      <c r="N5" s="625"/>
      <c r="O5" s="625"/>
      <c r="P5" s="625"/>
      <c r="Q5" s="628" t="s">
        <v>785</v>
      </c>
      <c r="R5" s="629"/>
      <c r="S5" s="628" t="s">
        <v>784</v>
      </c>
      <c r="T5" s="629"/>
      <c r="U5" s="629"/>
      <c r="V5" s="628" t="s">
        <v>782</v>
      </c>
      <c r="W5" s="628"/>
      <c r="X5" s="628"/>
      <c r="Y5" s="628" t="s">
        <v>783</v>
      </c>
      <c r="Z5" s="628"/>
      <c r="AA5" s="632"/>
      <c r="AB5" s="155"/>
    </row>
    <row r="6" spans="1:28" ht="30" customHeight="1" x14ac:dyDescent="0.25">
      <c r="A6" s="155"/>
      <c r="B6" s="155"/>
      <c r="C6" s="155"/>
      <c r="D6" s="155"/>
      <c r="E6" s="155"/>
      <c r="F6" s="155"/>
      <c r="G6" s="155"/>
      <c r="H6" s="626"/>
      <c r="I6" s="627"/>
      <c r="J6" s="627"/>
      <c r="K6" s="627"/>
      <c r="L6" s="627"/>
      <c r="M6" s="627"/>
      <c r="N6" s="627"/>
      <c r="O6" s="627"/>
      <c r="P6" s="627"/>
      <c r="Q6" s="630"/>
      <c r="R6" s="630"/>
      <c r="S6" s="630"/>
      <c r="T6" s="630"/>
      <c r="U6" s="630"/>
      <c r="V6" s="631"/>
      <c r="W6" s="631"/>
      <c r="X6" s="631"/>
      <c r="Y6" s="631"/>
      <c r="Z6" s="631"/>
      <c r="AA6" s="633"/>
      <c r="AB6" s="155"/>
    </row>
    <row r="7" spans="1:28" s="171" customFormat="1" ht="30" customHeight="1" x14ac:dyDescent="0.25">
      <c r="A7" s="170"/>
      <c r="B7" s="170"/>
      <c r="C7" s="170"/>
      <c r="D7" s="170"/>
      <c r="E7" s="170"/>
      <c r="F7" s="170"/>
      <c r="G7" s="170"/>
      <c r="H7" s="621" t="s">
        <v>197</v>
      </c>
      <c r="I7" s="622"/>
      <c r="J7" s="622"/>
      <c r="K7" s="622"/>
      <c r="L7" s="622"/>
      <c r="M7" s="622"/>
      <c r="N7" s="622"/>
      <c r="O7" s="622"/>
      <c r="P7" s="622"/>
      <c r="Q7" s="634">
        <v>3656</v>
      </c>
      <c r="R7" s="634"/>
      <c r="S7" s="623">
        <f>SUMIF(ResearchInput[Institution Name],H7,ResearchInput[T.501])</f>
        <v>0</v>
      </c>
      <c r="T7" s="623"/>
      <c r="U7" s="623"/>
      <c r="V7" s="562">
        <f>SUMIF(ResearchInput[Institution Name],H7,ResearchInput[S.M.Res])</f>
        <v>170781117</v>
      </c>
      <c r="W7" s="562"/>
      <c r="X7" s="562"/>
      <c r="Y7" s="562">
        <f>SUMIF(ResearchInput[Institution Name],H7,ResearchInput[S.M.NetE&amp;G])</f>
        <v>698960889</v>
      </c>
      <c r="Z7" s="562"/>
      <c r="AA7" s="563"/>
      <c r="AB7" s="170"/>
    </row>
    <row r="8" spans="1:28" s="171" customFormat="1" ht="30" customHeight="1" x14ac:dyDescent="0.25">
      <c r="A8" s="170"/>
      <c r="B8" s="170"/>
      <c r="C8" s="170"/>
      <c r="D8" s="170"/>
      <c r="E8" s="170"/>
      <c r="F8" s="170"/>
      <c r="G8" s="170"/>
      <c r="H8" s="605" t="s">
        <v>208</v>
      </c>
      <c r="I8" s="459"/>
      <c r="J8" s="459"/>
      <c r="K8" s="459"/>
      <c r="L8" s="459"/>
      <c r="M8" s="459"/>
      <c r="N8" s="459"/>
      <c r="O8" s="459"/>
      <c r="P8" s="459"/>
      <c r="Q8" s="613">
        <v>3658</v>
      </c>
      <c r="R8" s="613"/>
      <c r="S8" s="612">
        <f>SUMIF(ResearchInput[Institution Name],H8,ResearchInput[T.501])</f>
        <v>0</v>
      </c>
      <c r="T8" s="612"/>
      <c r="U8" s="612"/>
      <c r="V8" s="537">
        <f>SUMIF(ResearchInput[Institution Name],H8,ResearchInput[S.M.Res])</f>
        <v>1044059492</v>
      </c>
      <c r="W8" s="537"/>
      <c r="X8" s="537"/>
      <c r="Y8" s="537">
        <f>SUMIF(ResearchInput[Institution Name],H8,ResearchInput[S.M.NetE&amp;G])</f>
        <v>3366081151</v>
      </c>
      <c r="Z8" s="537"/>
      <c r="AA8" s="540"/>
      <c r="AB8" s="170"/>
    </row>
    <row r="9" spans="1:28" s="171" customFormat="1" ht="30" customHeight="1" x14ac:dyDescent="0.25">
      <c r="A9" s="170"/>
      <c r="B9" s="170"/>
      <c r="C9" s="170"/>
      <c r="D9" s="170"/>
      <c r="E9" s="170"/>
      <c r="F9" s="170"/>
      <c r="G9" s="170"/>
      <c r="H9" s="606" t="s">
        <v>220</v>
      </c>
      <c r="I9" s="607"/>
      <c r="J9" s="607"/>
      <c r="K9" s="607"/>
      <c r="L9" s="607"/>
      <c r="M9" s="607"/>
      <c r="N9" s="607"/>
      <c r="O9" s="607"/>
      <c r="P9" s="607"/>
      <c r="Q9" s="614">
        <v>9741</v>
      </c>
      <c r="R9" s="614"/>
      <c r="S9" s="610">
        <f>SUMIF(ResearchInput[Institution Name],H9,ResearchInput[T.501])</f>
        <v>0</v>
      </c>
      <c r="T9" s="610"/>
      <c r="U9" s="610"/>
      <c r="V9" s="532">
        <f>SUMIF(ResearchInput[Institution Name],H9,ResearchInput[S.M.Res])</f>
        <v>160908091</v>
      </c>
      <c r="W9" s="532"/>
      <c r="X9" s="532"/>
      <c r="Y9" s="532">
        <f>SUMIF(ResearchInput[Institution Name],H9,ResearchInput[S.M.NetE&amp;G])</f>
        <v>727964975</v>
      </c>
      <c r="Z9" s="532"/>
      <c r="AA9" s="533"/>
      <c r="AB9" s="170"/>
    </row>
    <row r="10" spans="1:28" s="171" customFormat="1" ht="30" customHeight="1" x14ac:dyDescent="0.25">
      <c r="A10" s="170"/>
      <c r="B10" s="170"/>
      <c r="C10" s="170"/>
      <c r="D10" s="170"/>
      <c r="E10" s="170"/>
      <c r="F10" s="170"/>
      <c r="G10" s="170"/>
      <c r="H10" s="605" t="s">
        <v>223</v>
      </c>
      <c r="I10" s="459"/>
      <c r="J10" s="459"/>
      <c r="K10" s="459"/>
      <c r="L10" s="459"/>
      <c r="M10" s="459"/>
      <c r="N10" s="459"/>
      <c r="O10" s="459"/>
      <c r="P10" s="459"/>
      <c r="Q10" s="613">
        <v>3661</v>
      </c>
      <c r="R10" s="613"/>
      <c r="S10" s="612">
        <f>SUMIF(ResearchInput[Institution Name],H10,ResearchInput[T.501])</f>
        <v>0</v>
      </c>
      <c r="T10" s="612"/>
      <c r="U10" s="612"/>
      <c r="V10" s="537">
        <f>SUMIF(ResearchInput[Institution Name],H10,ResearchInput[S.M.Res])</f>
        <v>134863680</v>
      </c>
      <c r="W10" s="537"/>
      <c r="X10" s="537"/>
      <c r="Y10" s="537">
        <f>SUMIF(ResearchInput[Institution Name],H10,ResearchInput[S.M.NetE&amp;G])</f>
        <v>447559919</v>
      </c>
      <c r="Z10" s="537"/>
      <c r="AA10" s="540"/>
      <c r="AB10" s="170"/>
    </row>
    <row r="11" spans="1:28" s="171" customFormat="1" ht="30" customHeight="1" x14ac:dyDescent="0.25">
      <c r="A11" s="170"/>
      <c r="B11" s="170"/>
      <c r="C11" s="170"/>
      <c r="D11" s="170"/>
      <c r="E11" s="170"/>
      <c r="F11" s="170"/>
      <c r="G11" s="170"/>
      <c r="H11" s="606" t="s">
        <v>761</v>
      </c>
      <c r="I11" s="607"/>
      <c r="J11" s="607"/>
      <c r="K11" s="607"/>
      <c r="L11" s="607"/>
      <c r="M11" s="607"/>
      <c r="N11" s="607"/>
      <c r="O11" s="607"/>
      <c r="P11" s="607"/>
      <c r="Q11" s="614">
        <v>3599</v>
      </c>
      <c r="R11" s="614"/>
      <c r="S11" s="610">
        <f>SUMIF(ResearchInput[Institution Name],H11,ResearchInput[T.501])</f>
        <v>0</v>
      </c>
      <c r="T11" s="610"/>
      <c r="U11" s="610"/>
      <c r="V11" s="532">
        <f>SUMIF(ResearchInput[Institution Name],H11,ResearchInput[S.M.Res])</f>
        <v>67218503</v>
      </c>
      <c r="W11" s="532"/>
      <c r="X11" s="532"/>
      <c r="Y11" s="532">
        <f>SUMIF(ResearchInput[Institution Name],H11,ResearchInput[S.M.NetE&amp;G])</f>
        <v>497602840</v>
      </c>
      <c r="Z11" s="532"/>
      <c r="AA11" s="533"/>
      <c r="AB11" s="170"/>
    </row>
    <row r="12" spans="1:28" s="171" customFormat="1" ht="30" customHeight="1" x14ac:dyDescent="0.25">
      <c r="A12" s="170"/>
      <c r="B12" s="170"/>
      <c r="C12" s="170"/>
      <c r="D12" s="170"/>
      <c r="E12" s="170"/>
      <c r="F12" s="170"/>
      <c r="G12" s="170"/>
      <c r="H12" s="605" t="s">
        <v>169</v>
      </c>
      <c r="I12" s="459"/>
      <c r="J12" s="459"/>
      <c r="K12" s="459"/>
      <c r="L12" s="459"/>
      <c r="M12" s="459"/>
      <c r="N12" s="459"/>
      <c r="O12" s="459"/>
      <c r="P12" s="459"/>
      <c r="Q12" s="613">
        <v>9930</v>
      </c>
      <c r="R12" s="613"/>
      <c r="S12" s="612">
        <f>SUMIF(ResearchInput[Institution Name],H12,ResearchInput[T.501])</f>
        <v>0</v>
      </c>
      <c r="T12" s="612"/>
      <c r="U12" s="612"/>
      <c r="V12" s="537">
        <f>SUMIF(ResearchInput[Institution Name],H12,ResearchInput[S.M.Res])</f>
        <v>2787335</v>
      </c>
      <c r="W12" s="537"/>
      <c r="X12" s="537"/>
      <c r="Y12" s="537">
        <f>SUMIF(ResearchInput[Institution Name],H12,ResearchInput[S.M.NetE&amp;G])</f>
        <v>81984916</v>
      </c>
      <c r="Z12" s="537"/>
      <c r="AA12" s="540"/>
      <c r="AB12" s="170"/>
    </row>
    <row r="13" spans="1:28" s="171" customFormat="1" ht="30" customHeight="1" x14ac:dyDescent="0.25">
      <c r="A13" s="170"/>
      <c r="B13" s="170"/>
      <c r="C13" s="170"/>
      <c r="D13" s="170"/>
      <c r="E13" s="170"/>
      <c r="F13" s="170"/>
      <c r="G13" s="170"/>
      <c r="H13" s="606" t="s">
        <v>170</v>
      </c>
      <c r="I13" s="607"/>
      <c r="J13" s="607"/>
      <c r="K13" s="607"/>
      <c r="L13" s="607"/>
      <c r="M13" s="607"/>
      <c r="N13" s="607"/>
      <c r="O13" s="607"/>
      <c r="P13" s="607"/>
      <c r="Q13" s="614">
        <v>10115</v>
      </c>
      <c r="R13" s="614"/>
      <c r="S13" s="610">
        <f>SUMIF(ResearchInput[Institution Name],H13,ResearchInput[T.501])</f>
        <v>0</v>
      </c>
      <c r="T13" s="610"/>
      <c r="U13" s="610"/>
      <c r="V13" s="532">
        <f>SUMIF(ResearchInput[Institution Name],H13,ResearchInput[S.M.Res])</f>
        <v>164677139</v>
      </c>
      <c r="W13" s="532"/>
      <c r="X13" s="532"/>
      <c r="Y13" s="532">
        <f>SUMIF(ResearchInput[Institution Name],H13,ResearchInput[S.M.NetE&amp;G])</f>
        <v>651410376</v>
      </c>
      <c r="Z13" s="532"/>
      <c r="AA13" s="533"/>
      <c r="AB13" s="170"/>
    </row>
    <row r="14" spans="1:28" s="171" customFormat="1" ht="30" customHeight="1" x14ac:dyDescent="0.25">
      <c r="A14" s="170"/>
      <c r="B14" s="170"/>
      <c r="C14" s="170"/>
      <c r="D14" s="170"/>
      <c r="E14" s="170"/>
      <c r="F14" s="170"/>
      <c r="G14" s="170"/>
      <c r="H14" s="605" t="s">
        <v>171</v>
      </c>
      <c r="I14" s="459"/>
      <c r="J14" s="459"/>
      <c r="K14" s="459"/>
      <c r="L14" s="459"/>
      <c r="M14" s="459"/>
      <c r="N14" s="459"/>
      <c r="O14" s="459"/>
      <c r="P14" s="459"/>
      <c r="Q14" s="613">
        <v>11163</v>
      </c>
      <c r="R14" s="613"/>
      <c r="S14" s="612">
        <f>SUMIF(ResearchInput[Institution Name],H14,ResearchInput[T.501])</f>
        <v>0</v>
      </c>
      <c r="T14" s="612"/>
      <c r="U14" s="612"/>
      <c r="V14" s="537">
        <f>SUMIF(ResearchInput[Institution Name],H14,ResearchInput[S.M.Res])</f>
        <v>5329483</v>
      </c>
      <c r="W14" s="537"/>
      <c r="X14" s="537"/>
      <c r="Y14" s="537">
        <f>SUMIF(ResearchInput[Institution Name],H14,ResearchInput[S.M.NetE&amp;G])</f>
        <v>175034507</v>
      </c>
      <c r="Z14" s="537"/>
      <c r="AA14" s="540"/>
      <c r="AB14" s="170"/>
    </row>
    <row r="15" spans="1:28" s="171" customFormat="1" ht="30" customHeight="1" x14ac:dyDescent="0.25">
      <c r="A15" s="170"/>
      <c r="B15" s="170"/>
      <c r="C15" s="170"/>
      <c r="D15" s="170"/>
      <c r="E15" s="170"/>
      <c r="F15" s="170"/>
      <c r="G15" s="170"/>
      <c r="H15" s="606" t="s">
        <v>195</v>
      </c>
      <c r="I15" s="607"/>
      <c r="J15" s="607"/>
      <c r="K15" s="607"/>
      <c r="L15" s="607"/>
      <c r="M15" s="607"/>
      <c r="N15" s="607"/>
      <c r="O15" s="607"/>
      <c r="P15" s="607"/>
      <c r="Q15" s="614">
        <v>3624</v>
      </c>
      <c r="R15" s="614"/>
      <c r="S15" s="610">
        <f>SUMIF(ResearchInput[Institution Name],H15,ResearchInput[T.501])</f>
        <v>0</v>
      </c>
      <c r="T15" s="610"/>
      <c r="U15" s="610"/>
      <c r="V15" s="532">
        <f>SUMIF(ResearchInput[Institution Name],H15,ResearchInput[S.M.Res])</f>
        <v>5276899</v>
      </c>
      <c r="W15" s="532"/>
      <c r="X15" s="532"/>
      <c r="Y15" s="532">
        <f>SUMIF(ResearchInput[Institution Name],H15,ResearchInput[S.M.NetE&amp;G])</f>
        <v>169244470</v>
      </c>
      <c r="Z15" s="532"/>
      <c r="AA15" s="533"/>
      <c r="AB15" s="170"/>
    </row>
    <row r="16" spans="1:28" s="171" customFormat="1" ht="30" customHeight="1" x14ac:dyDescent="0.25">
      <c r="A16" s="170"/>
      <c r="B16" s="170"/>
      <c r="C16" s="170"/>
      <c r="D16" s="170"/>
      <c r="E16" s="170"/>
      <c r="F16" s="170"/>
      <c r="G16" s="170"/>
      <c r="H16" s="605" t="s">
        <v>172</v>
      </c>
      <c r="I16" s="459"/>
      <c r="J16" s="459"/>
      <c r="K16" s="459"/>
      <c r="L16" s="459"/>
      <c r="M16" s="459"/>
      <c r="N16" s="459"/>
      <c r="O16" s="459"/>
      <c r="P16" s="459"/>
      <c r="Q16" s="613">
        <v>3632</v>
      </c>
      <c r="R16" s="613"/>
      <c r="S16" s="612">
        <f>SUMIF(ResearchInput[Institution Name],H16,ResearchInput[T.501])</f>
        <v>22514865</v>
      </c>
      <c r="T16" s="612"/>
      <c r="U16" s="612"/>
      <c r="V16" s="537">
        <f>SUMIF(ResearchInput[Institution Name],H16,ResearchInput[S.M.Res])</f>
        <v>335057031</v>
      </c>
      <c r="W16" s="537"/>
      <c r="X16" s="537"/>
      <c r="Y16" s="537">
        <f>SUMIF(ResearchInput[Institution Name],H16,ResearchInput[S.M.NetE&amp;G])</f>
        <v>2008267827</v>
      </c>
      <c r="Z16" s="537"/>
      <c r="AA16" s="540"/>
      <c r="AB16" s="170"/>
    </row>
    <row r="17" spans="1:28" s="171" customFormat="1" ht="30" customHeight="1" x14ac:dyDescent="0.25">
      <c r="A17" s="170"/>
      <c r="B17" s="170"/>
      <c r="C17" s="170"/>
      <c r="D17" s="170"/>
      <c r="E17" s="170"/>
      <c r="F17" s="170"/>
      <c r="G17" s="170"/>
      <c r="H17" s="606" t="s">
        <v>173</v>
      </c>
      <c r="I17" s="607"/>
      <c r="J17" s="607"/>
      <c r="K17" s="607"/>
      <c r="L17" s="607"/>
      <c r="M17" s="607"/>
      <c r="N17" s="607"/>
      <c r="O17" s="607"/>
      <c r="P17" s="607"/>
      <c r="Q17" s="614">
        <v>10298</v>
      </c>
      <c r="R17" s="614"/>
      <c r="S17" s="610">
        <f>SUMIF(ResearchInput[Institution Name],H17,ResearchInput[T.501])</f>
        <v>0</v>
      </c>
      <c r="T17" s="610"/>
      <c r="U17" s="610"/>
      <c r="V17" s="532">
        <f>SUMIF(ResearchInput[Institution Name],H17,ResearchInput[S.M.Res])</f>
        <v>14203680</v>
      </c>
      <c r="W17" s="532"/>
      <c r="X17" s="532"/>
      <c r="Y17" s="532">
        <f>SUMIF(ResearchInput[Institution Name],H17,ResearchInput[S.M.NetE&amp;G])</f>
        <v>85675064</v>
      </c>
      <c r="Z17" s="532"/>
      <c r="AA17" s="533"/>
      <c r="AB17" s="170"/>
    </row>
    <row r="18" spans="1:28" s="171" customFormat="1" ht="30" customHeight="1" x14ac:dyDescent="0.25">
      <c r="A18" s="170"/>
      <c r="B18" s="170"/>
      <c r="C18" s="170"/>
      <c r="D18" s="170"/>
      <c r="E18" s="170"/>
      <c r="F18" s="170"/>
      <c r="G18" s="170"/>
      <c r="H18" s="605" t="s">
        <v>174</v>
      </c>
      <c r="I18" s="459"/>
      <c r="J18" s="459"/>
      <c r="K18" s="459"/>
      <c r="L18" s="459"/>
      <c r="M18" s="459"/>
      <c r="N18" s="459"/>
      <c r="O18" s="459"/>
      <c r="P18" s="459"/>
      <c r="Q18" s="613">
        <v>3630</v>
      </c>
      <c r="R18" s="613"/>
      <c r="S18" s="612">
        <f>SUMIF(ResearchInput[Institution Name],H18,ResearchInput[T.501])</f>
        <v>0</v>
      </c>
      <c r="T18" s="612"/>
      <c r="U18" s="612"/>
      <c r="V18" s="537">
        <f>SUMIF(ResearchInput[Institution Name],H18,ResearchInput[S.M.Res])</f>
        <v>42730100</v>
      </c>
      <c r="W18" s="537"/>
      <c r="X18" s="537"/>
      <c r="Y18" s="537">
        <f>SUMIF(ResearchInput[Institution Name],H18,ResearchInput[S.M.NetE&amp;G])</f>
        <v>272309679</v>
      </c>
      <c r="Z18" s="537"/>
      <c r="AA18" s="540"/>
      <c r="AB18" s="170"/>
    </row>
    <row r="19" spans="1:28" s="171" customFormat="1" ht="30" customHeight="1" x14ac:dyDescent="0.25">
      <c r="A19" s="170"/>
      <c r="B19" s="170"/>
      <c r="C19" s="170"/>
      <c r="D19" s="170"/>
      <c r="E19" s="170"/>
      <c r="F19" s="170"/>
      <c r="G19" s="170"/>
      <c r="H19" s="606" t="s">
        <v>175</v>
      </c>
      <c r="I19" s="607"/>
      <c r="J19" s="607"/>
      <c r="K19" s="607"/>
      <c r="L19" s="607"/>
      <c r="M19" s="607"/>
      <c r="N19" s="607"/>
      <c r="O19" s="607"/>
      <c r="P19" s="607"/>
      <c r="Q19" s="614">
        <v>3631</v>
      </c>
      <c r="R19" s="614"/>
      <c r="S19" s="610">
        <f>SUMIF(ResearchInput[Institution Name],H19,ResearchInput[T.501])</f>
        <v>0</v>
      </c>
      <c r="T19" s="610"/>
      <c r="U19" s="610"/>
      <c r="V19" s="532">
        <f>SUMIF(ResearchInput[Institution Name],H19,ResearchInput[S.M.Res])</f>
        <v>23178672</v>
      </c>
      <c r="W19" s="532"/>
      <c r="X19" s="532"/>
      <c r="Y19" s="532">
        <f>SUMIF(ResearchInput[Institution Name],H19,ResearchInput[S.M.NetE&amp;G])</f>
        <v>216413464</v>
      </c>
      <c r="Z19" s="532"/>
      <c r="AA19" s="533"/>
      <c r="AB19" s="170"/>
    </row>
    <row r="20" spans="1:28" s="171" customFormat="1" ht="30" customHeight="1" x14ac:dyDescent="0.25">
      <c r="A20" s="170"/>
      <c r="B20" s="170"/>
      <c r="C20" s="170"/>
      <c r="D20" s="170"/>
      <c r="E20" s="170"/>
      <c r="F20" s="170"/>
      <c r="G20" s="170"/>
      <c r="H20" s="605" t="s">
        <v>182</v>
      </c>
      <c r="I20" s="459"/>
      <c r="J20" s="459"/>
      <c r="K20" s="459"/>
      <c r="L20" s="459"/>
      <c r="M20" s="459"/>
      <c r="N20" s="459"/>
      <c r="O20" s="459"/>
      <c r="P20" s="459"/>
      <c r="Q20" s="613">
        <v>42295</v>
      </c>
      <c r="R20" s="613"/>
      <c r="S20" s="612">
        <f>SUMIF(ResearchInput[Institution Name],H20,ResearchInput[T.501])</f>
        <v>0</v>
      </c>
      <c r="T20" s="612"/>
      <c r="U20" s="612"/>
      <c r="V20" s="537">
        <f>SUMIF(ResearchInput[Institution Name],H20,ResearchInput[S.M.Res])</f>
        <v>1766137</v>
      </c>
      <c r="W20" s="537"/>
      <c r="X20" s="537"/>
      <c r="Y20" s="537">
        <f>SUMIF(ResearchInput[Institution Name],H20,ResearchInput[S.M.NetE&amp;G])</f>
        <v>49975722</v>
      </c>
      <c r="Z20" s="537"/>
      <c r="AA20" s="540"/>
      <c r="AB20" s="170"/>
    </row>
    <row r="21" spans="1:28" s="171" customFormat="1" ht="30" customHeight="1" x14ac:dyDescent="0.25">
      <c r="A21" s="170"/>
      <c r="B21" s="170"/>
      <c r="C21" s="170"/>
      <c r="D21" s="170"/>
      <c r="E21" s="170"/>
      <c r="F21" s="170"/>
      <c r="G21" s="170"/>
      <c r="H21" s="606" t="s">
        <v>176</v>
      </c>
      <c r="I21" s="607"/>
      <c r="J21" s="607"/>
      <c r="K21" s="607"/>
      <c r="L21" s="607"/>
      <c r="M21" s="607"/>
      <c r="N21" s="607"/>
      <c r="O21" s="607"/>
      <c r="P21" s="607"/>
      <c r="Q21" s="614">
        <v>11161</v>
      </c>
      <c r="R21" s="614"/>
      <c r="S21" s="610">
        <f>SUMIF(ResearchInput[Institution Name],H21,ResearchInput[T.501])</f>
        <v>0</v>
      </c>
      <c r="T21" s="610"/>
      <c r="U21" s="610"/>
      <c r="V21" s="532">
        <f>SUMIF(ResearchInput[Institution Name],H21,ResearchInput[S.M.Res])</f>
        <v>45478751</v>
      </c>
      <c r="W21" s="532"/>
      <c r="X21" s="532"/>
      <c r="Y21" s="532">
        <f>SUMIF(ResearchInput[Institution Name],H21,ResearchInput[S.M.NetE&amp;G])</f>
        <v>221917571</v>
      </c>
      <c r="Z21" s="532"/>
      <c r="AA21" s="533"/>
      <c r="AB21" s="170"/>
    </row>
    <row r="22" spans="1:28" s="171" customFormat="1" ht="30" customHeight="1" x14ac:dyDescent="0.25">
      <c r="A22" s="170"/>
      <c r="B22" s="170"/>
      <c r="C22" s="170"/>
      <c r="D22" s="170"/>
      <c r="E22" s="170"/>
      <c r="F22" s="170"/>
      <c r="G22" s="170"/>
      <c r="H22" s="605" t="s">
        <v>177</v>
      </c>
      <c r="I22" s="459"/>
      <c r="J22" s="459"/>
      <c r="K22" s="459"/>
      <c r="L22" s="459"/>
      <c r="M22" s="459"/>
      <c r="N22" s="459"/>
      <c r="O22" s="459"/>
      <c r="P22" s="459"/>
      <c r="Q22" s="613">
        <v>3639</v>
      </c>
      <c r="R22" s="613"/>
      <c r="S22" s="612">
        <f>SUMIF(ResearchInput[Institution Name],H22,ResearchInput[T.501])</f>
        <v>0</v>
      </c>
      <c r="T22" s="612"/>
      <c r="U22" s="612"/>
      <c r="V22" s="537">
        <f>SUMIF(ResearchInput[Institution Name],H22,ResearchInput[S.M.Res])</f>
        <v>32635863</v>
      </c>
      <c r="W22" s="537"/>
      <c r="X22" s="537"/>
      <c r="Y22" s="537">
        <f>SUMIF(ResearchInput[Institution Name],H22,ResearchInput[S.M.NetE&amp;G])</f>
        <v>154365724</v>
      </c>
      <c r="Z22" s="537"/>
      <c r="AA22" s="540"/>
      <c r="AB22" s="170"/>
    </row>
    <row r="23" spans="1:28" s="171" customFormat="1" ht="30" customHeight="1" x14ac:dyDescent="0.25">
      <c r="A23" s="170"/>
      <c r="B23" s="170"/>
      <c r="C23" s="170"/>
      <c r="D23" s="170"/>
      <c r="E23" s="170"/>
      <c r="F23" s="170"/>
      <c r="G23" s="170"/>
      <c r="H23" s="606" t="s">
        <v>183</v>
      </c>
      <c r="I23" s="607"/>
      <c r="J23" s="607"/>
      <c r="K23" s="607"/>
      <c r="L23" s="607"/>
      <c r="M23" s="607"/>
      <c r="N23" s="607"/>
      <c r="O23" s="607"/>
      <c r="P23" s="607"/>
      <c r="Q23" s="614">
        <v>42485</v>
      </c>
      <c r="R23" s="614"/>
      <c r="S23" s="610">
        <f>SUMIF(ResearchInput[Institution Name],H23,ResearchInput[T.501])</f>
        <v>0</v>
      </c>
      <c r="T23" s="610"/>
      <c r="U23" s="610"/>
      <c r="V23" s="532">
        <f>SUMIF(ResearchInput[Institution Name],H23,ResearchInput[S.M.Res])</f>
        <v>4829083</v>
      </c>
      <c r="W23" s="532"/>
      <c r="X23" s="532"/>
      <c r="Y23" s="532">
        <f>SUMIF(ResearchInput[Institution Name],H23,ResearchInput[S.M.NetE&amp;G])</f>
        <v>107699150</v>
      </c>
      <c r="Z23" s="532"/>
      <c r="AA23" s="533"/>
      <c r="AB23" s="170"/>
    </row>
    <row r="24" spans="1:28" s="171" customFormat="1" ht="30" customHeight="1" x14ac:dyDescent="0.25">
      <c r="A24" s="170"/>
      <c r="B24" s="170"/>
      <c r="C24" s="170"/>
      <c r="D24" s="170"/>
      <c r="E24" s="170"/>
      <c r="F24" s="170"/>
      <c r="G24" s="170"/>
      <c r="H24" s="605" t="s">
        <v>178</v>
      </c>
      <c r="I24" s="459"/>
      <c r="J24" s="459"/>
      <c r="K24" s="459"/>
      <c r="L24" s="459"/>
      <c r="M24" s="459"/>
      <c r="N24" s="459"/>
      <c r="O24" s="459"/>
      <c r="P24" s="459"/>
      <c r="Q24" s="613">
        <v>9651</v>
      </c>
      <c r="R24" s="613"/>
      <c r="S24" s="612">
        <f>SUMIF(ResearchInput[Institution Name],H24,ResearchInput[T.501])</f>
        <v>0</v>
      </c>
      <c r="T24" s="612"/>
      <c r="U24" s="612"/>
      <c r="V24" s="537">
        <f>SUMIF(ResearchInput[Institution Name],H24,ResearchInput[S.M.Res])</f>
        <v>10022862</v>
      </c>
      <c r="W24" s="537"/>
      <c r="X24" s="537"/>
      <c r="Y24" s="537">
        <f>SUMIF(ResearchInput[Institution Name],H24,ResearchInput[S.M.NetE&amp;G])</f>
        <v>152080266</v>
      </c>
      <c r="Z24" s="537"/>
      <c r="AA24" s="540"/>
      <c r="AB24" s="170"/>
    </row>
    <row r="25" spans="1:28" s="171" customFormat="1" ht="30" customHeight="1" x14ac:dyDescent="0.25">
      <c r="A25" s="170"/>
      <c r="B25" s="170"/>
      <c r="C25" s="170"/>
      <c r="D25" s="170"/>
      <c r="E25" s="170"/>
      <c r="F25" s="170"/>
      <c r="G25" s="170"/>
      <c r="H25" s="606" t="s">
        <v>179</v>
      </c>
      <c r="I25" s="607"/>
      <c r="J25" s="607"/>
      <c r="K25" s="607"/>
      <c r="L25" s="607"/>
      <c r="M25" s="607"/>
      <c r="N25" s="607"/>
      <c r="O25" s="607"/>
      <c r="P25" s="607"/>
      <c r="Q25" s="614">
        <v>3665</v>
      </c>
      <c r="R25" s="614"/>
      <c r="S25" s="610">
        <f>SUMIF(ResearchInput[Institution Name],H25,ResearchInput[T.501])</f>
        <v>0</v>
      </c>
      <c r="T25" s="610"/>
      <c r="U25" s="610"/>
      <c r="V25" s="532">
        <f>SUMIF(ResearchInput[Institution Name],H25,ResearchInput[S.M.Res])</f>
        <v>13116147</v>
      </c>
      <c r="W25" s="532"/>
      <c r="X25" s="532"/>
      <c r="Y25" s="532">
        <f>SUMIF(ResearchInput[Institution Name],H25,ResearchInput[S.M.NetE&amp;G])</f>
        <v>145783716</v>
      </c>
      <c r="Z25" s="532"/>
      <c r="AA25" s="533"/>
      <c r="AB25" s="170"/>
    </row>
    <row r="26" spans="1:28" s="171" customFormat="1" ht="30" customHeight="1" x14ac:dyDescent="0.25">
      <c r="A26" s="170"/>
      <c r="B26" s="170"/>
      <c r="C26" s="170"/>
      <c r="D26" s="170"/>
      <c r="E26" s="170"/>
      <c r="F26" s="170"/>
      <c r="G26" s="170"/>
      <c r="H26" s="605" t="s">
        <v>180</v>
      </c>
      <c r="I26" s="459"/>
      <c r="J26" s="459"/>
      <c r="K26" s="459"/>
      <c r="L26" s="459"/>
      <c r="M26" s="459"/>
      <c r="N26" s="459"/>
      <c r="O26" s="459"/>
      <c r="P26" s="459"/>
      <c r="Q26" s="613">
        <v>3565</v>
      </c>
      <c r="R26" s="613"/>
      <c r="S26" s="612">
        <f>SUMIF(ResearchInput[Institution Name],H26,ResearchInput[T.501])</f>
        <v>0</v>
      </c>
      <c r="T26" s="612"/>
      <c r="U26" s="612"/>
      <c r="V26" s="537">
        <f>SUMIF(ResearchInput[Institution Name],H26,ResearchInput[S.M.Res])</f>
        <v>6614449</v>
      </c>
      <c r="W26" s="537"/>
      <c r="X26" s="537"/>
      <c r="Y26" s="537">
        <f>SUMIF(ResearchInput[Institution Name],H26,ResearchInput[S.M.NetE&amp;G])</f>
        <v>165256970</v>
      </c>
      <c r="Z26" s="537"/>
      <c r="AA26" s="540"/>
      <c r="AB26" s="170"/>
    </row>
    <row r="27" spans="1:28" s="171" customFormat="1" ht="30" customHeight="1" x14ac:dyDescent="0.25">
      <c r="A27" s="170"/>
      <c r="B27" s="170"/>
      <c r="C27" s="170"/>
      <c r="D27" s="170"/>
      <c r="E27" s="170"/>
      <c r="F27" s="170"/>
      <c r="G27" s="170"/>
      <c r="H27" s="606" t="s">
        <v>181</v>
      </c>
      <c r="I27" s="607"/>
      <c r="J27" s="607"/>
      <c r="K27" s="607"/>
      <c r="L27" s="607"/>
      <c r="M27" s="607"/>
      <c r="N27" s="607"/>
      <c r="O27" s="607"/>
      <c r="P27" s="607"/>
      <c r="Q27" s="614">
        <v>29269</v>
      </c>
      <c r="R27" s="614"/>
      <c r="S27" s="610">
        <f>SUMIF(ResearchInput[Institution Name],H27,ResearchInput[T.501])</f>
        <v>0</v>
      </c>
      <c r="T27" s="610"/>
      <c r="U27" s="610"/>
      <c r="V27" s="532">
        <f>SUMIF(ResearchInput[Institution Name],H27,ResearchInput[S.M.Res])</f>
        <v>117301</v>
      </c>
      <c r="W27" s="532"/>
      <c r="X27" s="532"/>
      <c r="Y27" s="532">
        <f>SUMIF(ResearchInput[Institution Name],H27,ResearchInput[S.M.NetE&amp;G])</f>
        <v>51098957</v>
      </c>
      <c r="Z27" s="532"/>
      <c r="AA27" s="533"/>
      <c r="AB27" s="170"/>
    </row>
    <row r="28" spans="1:28" s="171" customFormat="1" ht="30" customHeight="1" x14ac:dyDescent="0.25">
      <c r="A28" s="170"/>
      <c r="B28" s="170"/>
      <c r="C28" s="170"/>
      <c r="D28" s="170"/>
      <c r="E28" s="170"/>
      <c r="F28" s="170"/>
      <c r="G28" s="170"/>
      <c r="H28" s="605" t="s">
        <v>184</v>
      </c>
      <c r="I28" s="459"/>
      <c r="J28" s="459"/>
      <c r="K28" s="459"/>
      <c r="L28" s="459"/>
      <c r="M28" s="459"/>
      <c r="N28" s="459"/>
      <c r="O28" s="459"/>
      <c r="P28" s="459"/>
      <c r="Q28" s="613">
        <v>3652</v>
      </c>
      <c r="R28" s="613"/>
      <c r="S28" s="612">
        <f>SUMIF(ResearchInput[Institution Name],H28,ResearchInput[T.501])</f>
        <v>0</v>
      </c>
      <c r="T28" s="612"/>
      <c r="U28" s="612"/>
      <c r="V28" s="537">
        <f>SUMIF(ResearchInput[Institution Name],H28,ResearchInput[S.M.Res])</f>
        <v>208941861</v>
      </c>
      <c r="W28" s="537"/>
      <c r="X28" s="537"/>
      <c r="Y28" s="537">
        <f>SUMIF(ResearchInput[Institution Name],H28,ResearchInput[S.M.NetE&amp;G])</f>
        <v>1151340065</v>
      </c>
      <c r="Z28" s="537"/>
      <c r="AA28" s="540"/>
      <c r="AB28" s="170"/>
    </row>
    <row r="29" spans="1:28" s="171" customFormat="1" ht="30" customHeight="1" x14ac:dyDescent="0.25">
      <c r="A29" s="170"/>
      <c r="B29" s="170"/>
      <c r="C29" s="170"/>
      <c r="D29" s="170"/>
      <c r="E29" s="170"/>
      <c r="F29" s="170"/>
      <c r="G29" s="170"/>
      <c r="H29" s="606" t="s">
        <v>185</v>
      </c>
      <c r="I29" s="607"/>
      <c r="J29" s="607"/>
      <c r="K29" s="607"/>
      <c r="L29" s="607"/>
      <c r="M29" s="607"/>
      <c r="N29" s="607"/>
      <c r="O29" s="607"/>
      <c r="P29" s="607"/>
      <c r="Q29" s="614">
        <v>11711</v>
      </c>
      <c r="R29" s="614"/>
      <c r="S29" s="610">
        <f>SUMIF(ResearchInput[Institution Name],H29,ResearchInput[T.501])</f>
        <v>0</v>
      </c>
      <c r="T29" s="610"/>
      <c r="U29" s="610"/>
      <c r="V29" s="532">
        <f>SUMIF(ResearchInput[Institution Name],H29,ResearchInput[S.M.Res])</f>
        <v>4149342</v>
      </c>
      <c r="W29" s="532"/>
      <c r="X29" s="532"/>
      <c r="Y29" s="532">
        <f>SUMIF(ResearchInput[Institution Name],H29,ResearchInput[S.M.NetE&amp;G])</f>
        <v>130592579</v>
      </c>
      <c r="Z29" s="532"/>
      <c r="AA29" s="533"/>
      <c r="AB29" s="170"/>
    </row>
    <row r="30" spans="1:28" s="171" customFormat="1" ht="30" customHeight="1" x14ac:dyDescent="0.25">
      <c r="A30" s="170"/>
      <c r="B30" s="170"/>
      <c r="C30" s="170"/>
      <c r="D30" s="170"/>
      <c r="E30" s="170"/>
      <c r="F30" s="170"/>
      <c r="G30" s="170"/>
      <c r="H30" s="605" t="s">
        <v>186</v>
      </c>
      <c r="I30" s="459"/>
      <c r="J30" s="459"/>
      <c r="K30" s="459"/>
      <c r="L30" s="459"/>
      <c r="M30" s="459"/>
      <c r="N30" s="459"/>
      <c r="O30" s="459"/>
      <c r="P30" s="459"/>
      <c r="Q30" s="613">
        <v>12826</v>
      </c>
      <c r="R30" s="613"/>
      <c r="S30" s="612">
        <f>SUMIF(ResearchInput[Institution Name],H30,ResearchInput[T.501])</f>
        <v>0</v>
      </c>
      <c r="T30" s="612"/>
      <c r="U30" s="612"/>
      <c r="V30" s="537">
        <f>SUMIF(ResearchInput[Institution Name],H30,ResearchInput[S.M.Res])</f>
        <v>3483985</v>
      </c>
      <c r="W30" s="537"/>
      <c r="X30" s="537"/>
      <c r="Y30" s="537">
        <f>SUMIF(ResearchInput[Institution Name],H30,ResearchInput[S.M.NetE&amp;G])</f>
        <v>162805909</v>
      </c>
      <c r="Z30" s="537"/>
      <c r="AA30" s="540"/>
      <c r="AB30" s="170"/>
    </row>
    <row r="31" spans="1:28" s="171" customFormat="1" ht="30" customHeight="1" x14ac:dyDescent="0.25">
      <c r="A31" s="170"/>
      <c r="B31" s="170"/>
      <c r="C31" s="170"/>
      <c r="D31" s="170"/>
      <c r="E31" s="170"/>
      <c r="F31" s="170"/>
      <c r="G31" s="170"/>
      <c r="H31" s="606" t="s">
        <v>187</v>
      </c>
      <c r="I31" s="607"/>
      <c r="J31" s="607"/>
      <c r="K31" s="607"/>
      <c r="L31" s="607"/>
      <c r="M31" s="607"/>
      <c r="N31" s="607"/>
      <c r="O31" s="607"/>
      <c r="P31" s="607"/>
      <c r="Q31" s="614">
        <v>13231</v>
      </c>
      <c r="R31" s="614"/>
      <c r="S31" s="610">
        <f>SUMIF(ResearchInput[Institution Name],H31,ResearchInput[T.501])</f>
        <v>0</v>
      </c>
      <c r="T31" s="610"/>
      <c r="U31" s="610"/>
      <c r="V31" s="532">
        <f>SUMIF(ResearchInput[Institution Name],H31,ResearchInput[S.M.Res])</f>
        <v>358352</v>
      </c>
      <c r="W31" s="532"/>
      <c r="X31" s="532"/>
      <c r="Y31" s="532">
        <f>SUMIF(ResearchInput[Institution Name],H31,ResearchInput[S.M.NetE&amp;G])</f>
        <v>40122226</v>
      </c>
      <c r="Z31" s="532"/>
      <c r="AA31" s="533"/>
      <c r="AB31" s="170"/>
    </row>
    <row r="32" spans="1:28" s="171" customFormat="1" ht="30" customHeight="1" x14ac:dyDescent="0.25">
      <c r="A32" s="170"/>
      <c r="B32" s="170"/>
      <c r="C32" s="170"/>
      <c r="D32" s="170"/>
      <c r="E32" s="170"/>
      <c r="F32" s="170"/>
      <c r="G32" s="170"/>
      <c r="H32" s="605" t="s">
        <v>236</v>
      </c>
      <c r="I32" s="459"/>
      <c r="J32" s="459"/>
      <c r="K32" s="459"/>
      <c r="L32" s="459"/>
      <c r="M32" s="459"/>
      <c r="N32" s="459"/>
      <c r="O32" s="459"/>
      <c r="P32" s="459"/>
      <c r="Q32" s="613">
        <v>3594</v>
      </c>
      <c r="R32" s="613"/>
      <c r="S32" s="612">
        <f>SUMIF(ResearchInput[Institution Name],H32,ResearchInput[T.501])</f>
        <v>0</v>
      </c>
      <c r="T32" s="612"/>
      <c r="U32" s="612"/>
      <c r="V32" s="537">
        <f>SUMIF(ResearchInput[Institution Name],H32,ResearchInput[S.M.Res])</f>
        <v>116265748</v>
      </c>
      <c r="W32" s="537"/>
      <c r="X32" s="537"/>
      <c r="Y32" s="537">
        <f>SUMIF(ResearchInput[Institution Name],H32,ResearchInput[S.M.NetE&amp;G])</f>
        <v>819978113</v>
      </c>
      <c r="Z32" s="537"/>
      <c r="AA32" s="540"/>
      <c r="AB32" s="170"/>
    </row>
    <row r="33" spans="1:28" s="171" customFormat="1" ht="30" customHeight="1" x14ac:dyDescent="0.25">
      <c r="A33" s="170"/>
      <c r="B33" s="170"/>
      <c r="C33" s="170"/>
      <c r="D33" s="170"/>
      <c r="E33" s="170"/>
      <c r="F33" s="170"/>
      <c r="G33" s="170"/>
      <c r="H33" s="606" t="s">
        <v>193</v>
      </c>
      <c r="I33" s="607"/>
      <c r="J33" s="607"/>
      <c r="K33" s="607"/>
      <c r="L33" s="607"/>
      <c r="M33" s="607"/>
      <c r="N33" s="607"/>
      <c r="O33" s="607"/>
      <c r="P33" s="607"/>
      <c r="Q33" s="614">
        <v>42421</v>
      </c>
      <c r="R33" s="614"/>
      <c r="S33" s="610">
        <f>SUMIF(ResearchInput[Institution Name],H33,ResearchInput[T.501])</f>
        <v>0</v>
      </c>
      <c r="T33" s="610"/>
      <c r="U33" s="610"/>
      <c r="V33" s="532">
        <f>SUMIF(ResearchInput[Institution Name],H33,ResearchInput[S.M.Res])</f>
        <v>585620</v>
      </c>
      <c r="W33" s="532"/>
      <c r="X33" s="532"/>
      <c r="Y33" s="532">
        <f>SUMIF(ResearchInput[Institution Name],H33,ResearchInput[S.M.NetE&amp;G])</f>
        <v>74344295</v>
      </c>
      <c r="Z33" s="532"/>
      <c r="AA33" s="533"/>
      <c r="AB33" s="170"/>
    </row>
    <row r="34" spans="1:28" s="171" customFormat="1" ht="30" customHeight="1" x14ac:dyDescent="0.25">
      <c r="A34" s="170"/>
      <c r="B34" s="170"/>
      <c r="C34" s="170"/>
      <c r="D34" s="170"/>
      <c r="E34" s="170"/>
      <c r="F34" s="170"/>
      <c r="G34" s="170"/>
      <c r="H34" s="605" t="s">
        <v>237</v>
      </c>
      <c r="I34" s="459"/>
      <c r="J34" s="459"/>
      <c r="K34" s="459"/>
      <c r="L34" s="459"/>
      <c r="M34" s="459"/>
      <c r="N34" s="459"/>
      <c r="O34" s="459"/>
      <c r="P34" s="459"/>
      <c r="Q34" s="613">
        <v>3642</v>
      </c>
      <c r="R34" s="613"/>
      <c r="S34" s="612">
        <f>SUMIF(ResearchInput[Institution Name],H34,ResearchInput[T.501])</f>
        <v>0</v>
      </c>
      <c r="T34" s="612"/>
      <c r="U34" s="612"/>
      <c r="V34" s="537">
        <f>SUMIF(ResearchInput[Institution Name],H34,ResearchInput[S.M.Res])</f>
        <v>6504394</v>
      </c>
      <c r="W34" s="537"/>
      <c r="X34" s="537"/>
      <c r="Y34" s="537">
        <f>SUMIF(ResearchInput[Institution Name],H34,ResearchInput[S.M.NetE&amp;G])</f>
        <v>213243460</v>
      </c>
      <c r="Z34" s="537"/>
      <c r="AA34" s="540"/>
      <c r="AB34" s="170"/>
    </row>
    <row r="35" spans="1:28" s="171" customFormat="1" ht="30" customHeight="1" x14ac:dyDescent="0.25">
      <c r="A35" s="170"/>
      <c r="B35" s="170"/>
      <c r="C35" s="170"/>
      <c r="D35" s="170"/>
      <c r="E35" s="170"/>
      <c r="F35" s="170"/>
      <c r="G35" s="170"/>
      <c r="H35" s="606" t="s">
        <v>191</v>
      </c>
      <c r="I35" s="607"/>
      <c r="J35" s="607"/>
      <c r="K35" s="607"/>
      <c r="L35" s="607"/>
      <c r="M35" s="607"/>
      <c r="N35" s="607"/>
      <c r="O35" s="607"/>
      <c r="P35" s="607"/>
      <c r="Q35" s="614">
        <v>3644</v>
      </c>
      <c r="R35" s="614"/>
      <c r="S35" s="610">
        <f>SUMIF(ResearchInput[Institution Name],H35,ResearchInput[T.501])</f>
        <v>0</v>
      </c>
      <c r="T35" s="610"/>
      <c r="U35" s="610"/>
      <c r="V35" s="532">
        <f>SUMIF(ResearchInput[Institution Name],H35,ResearchInput[S.M.Res])</f>
        <v>260096487</v>
      </c>
      <c r="W35" s="532"/>
      <c r="X35" s="532"/>
      <c r="Y35" s="532">
        <f>SUMIF(ResearchInput[Institution Name],H35,ResearchInput[S.M.NetE&amp;G])</f>
        <v>949809837</v>
      </c>
      <c r="Z35" s="532"/>
      <c r="AA35" s="533"/>
      <c r="AB35" s="170"/>
    </row>
    <row r="36" spans="1:28" s="171" customFormat="1" ht="30" customHeight="1" x14ac:dyDescent="0.25">
      <c r="A36" s="170"/>
      <c r="B36" s="170"/>
      <c r="C36" s="170"/>
      <c r="D36" s="170"/>
      <c r="E36" s="170"/>
      <c r="F36" s="170"/>
      <c r="G36" s="170"/>
      <c r="H36" s="605" t="s">
        <v>192</v>
      </c>
      <c r="I36" s="459"/>
      <c r="J36" s="459"/>
      <c r="K36" s="459"/>
      <c r="L36" s="459"/>
      <c r="M36" s="459"/>
      <c r="N36" s="459"/>
      <c r="O36" s="459"/>
      <c r="P36" s="459"/>
      <c r="Q36" s="613">
        <v>3541</v>
      </c>
      <c r="R36" s="613"/>
      <c r="S36" s="612">
        <f>SUMIF(ResearchInput[Institution Name],H36,ResearchInput[T.501])</f>
        <v>0</v>
      </c>
      <c r="T36" s="612"/>
      <c r="U36" s="612"/>
      <c r="V36" s="537">
        <f>SUMIF(ResearchInput[Institution Name],H36,ResearchInput[S.M.Res])</f>
        <v>1512896</v>
      </c>
      <c r="W36" s="537"/>
      <c r="X36" s="537"/>
      <c r="Y36" s="537">
        <f>SUMIF(ResearchInput[Institution Name],H36,ResearchInput[S.M.NetE&amp;G])</f>
        <v>120725278</v>
      </c>
      <c r="Z36" s="537"/>
      <c r="AA36" s="540"/>
      <c r="AB36" s="170"/>
    </row>
    <row r="37" spans="1:28" s="171" customFormat="1" ht="30" customHeight="1" x14ac:dyDescent="0.25">
      <c r="A37" s="170"/>
      <c r="B37" s="170"/>
      <c r="C37" s="170"/>
      <c r="D37" s="170"/>
      <c r="E37" s="170"/>
      <c r="F37" s="170"/>
      <c r="G37" s="170"/>
      <c r="H37" s="606" t="s">
        <v>194</v>
      </c>
      <c r="I37" s="607"/>
      <c r="J37" s="607"/>
      <c r="K37" s="607"/>
      <c r="L37" s="607"/>
      <c r="M37" s="607"/>
      <c r="N37" s="607"/>
      <c r="O37" s="607"/>
      <c r="P37" s="607"/>
      <c r="Q37" s="614">
        <v>3592</v>
      </c>
      <c r="R37" s="614"/>
      <c r="S37" s="610">
        <f>SUMIF(ResearchInput[Institution Name],H37,ResearchInput[T.501])</f>
        <v>0</v>
      </c>
      <c r="T37" s="610"/>
      <c r="U37" s="610"/>
      <c r="V37" s="532">
        <f>SUMIF(ResearchInput[Institution Name],H37,ResearchInput[S.M.Res])</f>
        <v>1410155</v>
      </c>
      <c r="W37" s="532"/>
      <c r="X37" s="532"/>
      <c r="Y37" s="532">
        <f>SUMIF(ResearchInput[Institution Name],H37,ResearchInput[S.M.NetE&amp;G])</f>
        <v>81136543</v>
      </c>
      <c r="Z37" s="532"/>
      <c r="AA37" s="533"/>
      <c r="AB37" s="170"/>
    </row>
    <row r="38" spans="1:28" s="171" customFormat="1" ht="30" customHeight="1" x14ac:dyDescent="0.25">
      <c r="A38" s="170"/>
      <c r="B38" s="170"/>
      <c r="C38" s="170"/>
      <c r="D38" s="170"/>
      <c r="E38" s="170"/>
      <c r="F38" s="170"/>
      <c r="G38" s="170"/>
      <c r="H38" s="605" t="s">
        <v>238</v>
      </c>
      <c r="I38" s="459"/>
      <c r="J38" s="459"/>
      <c r="K38" s="459"/>
      <c r="L38" s="459"/>
      <c r="M38" s="459"/>
      <c r="N38" s="459"/>
      <c r="O38" s="459"/>
      <c r="P38" s="459"/>
      <c r="Q38" s="613">
        <v>3646</v>
      </c>
      <c r="R38" s="613"/>
      <c r="S38" s="612">
        <f>SUMIF(ResearchInput[Institution Name],H38,ResearchInput[T.501])</f>
        <v>0</v>
      </c>
      <c r="T38" s="612"/>
      <c r="U38" s="612"/>
      <c r="V38" s="537">
        <f>SUMIF(ResearchInput[Institution Name],H38,ResearchInput[S.M.Res])</f>
        <v>7132091</v>
      </c>
      <c r="W38" s="537"/>
      <c r="X38" s="537"/>
      <c r="Y38" s="537">
        <f>SUMIF(ResearchInput[Institution Name],H38,ResearchInput[S.M.NetE&amp;G])</f>
        <v>214439749</v>
      </c>
      <c r="Z38" s="537"/>
      <c r="AA38" s="540"/>
      <c r="AB38" s="170"/>
    </row>
    <row r="39" spans="1:28" s="171" customFormat="1" ht="30" customHeight="1" x14ac:dyDescent="0.25">
      <c r="A39" s="170"/>
      <c r="B39" s="170"/>
      <c r="C39" s="170"/>
      <c r="D39" s="170"/>
      <c r="E39" s="170"/>
      <c r="F39" s="170"/>
      <c r="G39" s="170"/>
      <c r="H39" s="606" t="s">
        <v>188</v>
      </c>
      <c r="I39" s="607"/>
      <c r="J39" s="607"/>
      <c r="K39" s="607"/>
      <c r="L39" s="607"/>
      <c r="M39" s="607"/>
      <c r="N39" s="607"/>
      <c r="O39" s="607"/>
      <c r="P39" s="607"/>
      <c r="Q39" s="614">
        <v>3581</v>
      </c>
      <c r="R39" s="614"/>
      <c r="S39" s="610">
        <f>SUMIF(ResearchInput[Institution Name],H39,ResearchInput[T.501])</f>
        <v>0</v>
      </c>
      <c r="T39" s="610"/>
      <c r="U39" s="610"/>
      <c r="V39" s="532">
        <f>SUMIF(ResearchInput[Institution Name],H39,ResearchInput[S.M.Res])</f>
        <v>10229560</v>
      </c>
      <c r="W39" s="532"/>
      <c r="X39" s="532"/>
      <c r="Y39" s="532">
        <f>SUMIF(ResearchInput[Institution Name],H39,ResearchInput[S.M.NetE&amp;G])</f>
        <v>197760619</v>
      </c>
      <c r="Z39" s="532"/>
      <c r="AA39" s="533"/>
      <c r="AB39" s="170"/>
    </row>
    <row r="40" spans="1:28" s="171" customFormat="1" ht="30" customHeight="1" x14ac:dyDescent="0.25">
      <c r="A40" s="170"/>
      <c r="B40" s="170"/>
      <c r="C40" s="170"/>
      <c r="D40" s="170"/>
      <c r="E40" s="170"/>
      <c r="F40" s="170"/>
      <c r="G40" s="170"/>
      <c r="H40" s="605" t="s">
        <v>206</v>
      </c>
      <c r="I40" s="459"/>
      <c r="J40" s="459"/>
      <c r="K40" s="459"/>
      <c r="L40" s="459"/>
      <c r="M40" s="459"/>
      <c r="N40" s="459"/>
      <c r="O40" s="459"/>
      <c r="P40" s="459"/>
      <c r="Q40" s="613">
        <v>36273</v>
      </c>
      <c r="R40" s="613"/>
      <c r="S40" s="612">
        <f>SUMIF(ResearchInput[Institution Name],H40,ResearchInput[T.501])</f>
        <v>0</v>
      </c>
      <c r="T40" s="612"/>
      <c r="U40" s="612"/>
      <c r="V40" s="537">
        <f>SUMIF(ResearchInput[Institution Name],H40,ResearchInput[S.M.Res])</f>
        <v>0</v>
      </c>
      <c r="W40" s="537"/>
      <c r="X40" s="537"/>
      <c r="Y40" s="537">
        <f>SUMIF(ResearchInput[Institution Name],H40,ResearchInput[S.M.NetE&amp;G])</f>
        <v>47245154</v>
      </c>
      <c r="Z40" s="537"/>
      <c r="AA40" s="540"/>
      <c r="AB40" s="170"/>
    </row>
    <row r="41" spans="1:28" s="171" customFormat="1" ht="30" customHeight="1" x14ac:dyDescent="0.25">
      <c r="A41" s="170"/>
      <c r="B41" s="170"/>
      <c r="C41" s="170"/>
      <c r="D41" s="170"/>
      <c r="E41" s="170"/>
      <c r="F41" s="170"/>
      <c r="G41" s="170"/>
      <c r="H41" s="606" t="s">
        <v>207</v>
      </c>
      <c r="I41" s="607"/>
      <c r="J41" s="607"/>
      <c r="K41" s="607"/>
      <c r="L41" s="607"/>
      <c r="M41" s="607"/>
      <c r="N41" s="607"/>
      <c r="O41" s="607"/>
      <c r="P41" s="607"/>
      <c r="Q41" s="614">
        <v>23582</v>
      </c>
      <c r="R41" s="614"/>
      <c r="S41" s="610">
        <f>SUMIF(ResearchInput[Institution Name],H41,ResearchInput[T.501])</f>
        <v>0</v>
      </c>
      <c r="T41" s="610"/>
      <c r="U41" s="610"/>
      <c r="V41" s="532">
        <f>SUMIF(ResearchInput[Institution Name],H41,ResearchInput[S.M.Res])</f>
        <v>0</v>
      </c>
      <c r="W41" s="532"/>
      <c r="X41" s="532"/>
      <c r="Y41" s="532">
        <f>SUMIF(ResearchInput[Institution Name],H41,ResearchInput[S.M.NetE&amp;G])</f>
        <v>35559342</v>
      </c>
      <c r="Z41" s="532"/>
      <c r="AA41" s="533"/>
      <c r="AB41" s="170"/>
    </row>
    <row r="42" spans="1:28" s="171" customFormat="1" ht="30" customHeight="1" x14ac:dyDescent="0.25">
      <c r="A42" s="170"/>
      <c r="B42" s="170"/>
      <c r="C42" s="170"/>
      <c r="D42" s="170"/>
      <c r="E42" s="170"/>
      <c r="F42" s="170"/>
      <c r="G42" s="170"/>
      <c r="H42" s="605" t="s">
        <v>210</v>
      </c>
      <c r="I42" s="459"/>
      <c r="J42" s="459"/>
      <c r="K42" s="459"/>
      <c r="L42" s="459"/>
      <c r="M42" s="459"/>
      <c r="N42" s="459"/>
      <c r="O42" s="459"/>
      <c r="P42" s="459"/>
      <c r="Q42" s="613">
        <v>23485</v>
      </c>
      <c r="R42" s="613"/>
      <c r="S42" s="612">
        <f>SUMIF(ResearchInput[Institution Name],H42,ResearchInput[T.501])</f>
        <v>0</v>
      </c>
      <c r="T42" s="612"/>
      <c r="U42" s="612"/>
      <c r="V42" s="537">
        <f>SUMIF(ResearchInput[Institution Name],H42,ResearchInput[S.M.Res])</f>
        <v>0</v>
      </c>
      <c r="W42" s="537"/>
      <c r="X42" s="537"/>
      <c r="Y42" s="537">
        <f>SUMIF(ResearchInput[Institution Name],H42,ResearchInput[S.M.NetE&amp;G])</f>
        <v>79712301</v>
      </c>
      <c r="Z42" s="537"/>
      <c r="AA42" s="540"/>
      <c r="AB42" s="170"/>
    </row>
    <row r="43" spans="1:28" s="171" customFormat="1" ht="30" customHeight="1" x14ac:dyDescent="0.25">
      <c r="A43" s="170"/>
      <c r="B43" s="170"/>
      <c r="C43" s="170"/>
      <c r="D43" s="170"/>
      <c r="E43" s="170"/>
      <c r="F43" s="170"/>
      <c r="G43" s="170"/>
      <c r="H43" s="606" t="s">
        <v>189</v>
      </c>
      <c r="I43" s="607"/>
      <c r="J43" s="607"/>
      <c r="K43" s="607"/>
      <c r="L43" s="607"/>
      <c r="M43" s="607"/>
      <c r="N43" s="607"/>
      <c r="O43" s="607"/>
      <c r="P43" s="607"/>
      <c r="Q43" s="614">
        <v>3606</v>
      </c>
      <c r="R43" s="614"/>
      <c r="S43" s="610">
        <f>SUMIF(ResearchInput[Institution Name],H43,ResearchInput[T.501])</f>
        <v>0</v>
      </c>
      <c r="T43" s="610"/>
      <c r="U43" s="610"/>
      <c r="V43" s="532">
        <f>SUMIF(ResearchInput[Institution Name],H43,ResearchInput[S.M.Res])</f>
        <v>27578077</v>
      </c>
      <c r="W43" s="532"/>
      <c r="X43" s="532"/>
      <c r="Y43" s="532">
        <f>SUMIF(ResearchInput[Institution Name],H43,ResearchInput[S.M.NetE&amp;G])</f>
        <v>306192335</v>
      </c>
      <c r="Z43" s="532"/>
      <c r="AA43" s="533"/>
      <c r="AB43" s="170"/>
    </row>
    <row r="44" spans="1:28" s="171" customFormat="1" ht="30" customHeight="1" x14ac:dyDescent="0.25">
      <c r="A44" s="170"/>
      <c r="B44" s="170"/>
      <c r="C44" s="170"/>
      <c r="D44" s="170"/>
      <c r="E44" s="170"/>
      <c r="F44" s="170"/>
      <c r="G44" s="170"/>
      <c r="H44" s="605" t="s">
        <v>235</v>
      </c>
      <c r="I44" s="459"/>
      <c r="J44" s="459"/>
      <c r="K44" s="459"/>
      <c r="L44" s="459"/>
      <c r="M44" s="459"/>
      <c r="N44" s="459"/>
      <c r="O44" s="459"/>
      <c r="P44" s="459"/>
      <c r="Q44" s="613">
        <v>3615</v>
      </c>
      <c r="R44" s="613"/>
      <c r="S44" s="612">
        <f>SUMIF(ResearchInput[Institution Name],H44,ResearchInput[T.501])</f>
        <v>0</v>
      </c>
      <c r="T44" s="612"/>
      <c r="U44" s="612"/>
      <c r="V44" s="537">
        <f>SUMIF(ResearchInput[Institution Name],H44,ResearchInput[S.M.Res])</f>
        <v>170216515</v>
      </c>
      <c r="W44" s="537"/>
      <c r="X44" s="537"/>
      <c r="Y44" s="537">
        <f>SUMIF(ResearchInput[Institution Name],H44,ResearchInput[S.M.NetE&amp;G])</f>
        <v>617807105</v>
      </c>
      <c r="Z44" s="537"/>
      <c r="AA44" s="540"/>
      <c r="AB44" s="170"/>
    </row>
    <row r="45" spans="1:28" s="171" customFormat="1" ht="30" customHeight="1" x14ac:dyDescent="0.25">
      <c r="A45" s="170"/>
      <c r="B45" s="170"/>
      <c r="C45" s="170"/>
      <c r="D45" s="170"/>
      <c r="E45" s="170"/>
      <c r="F45" s="170"/>
      <c r="G45" s="170"/>
      <c r="H45" s="606" t="s">
        <v>190</v>
      </c>
      <c r="I45" s="607"/>
      <c r="J45" s="607"/>
      <c r="K45" s="607"/>
      <c r="L45" s="607"/>
      <c r="M45" s="607"/>
      <c r="N45" s="607"/>
      <c r="O45" s="607"/>
      <c r="P45" s="607"/>
      <c r="Q45" s="614">
        <v>3625</v>
      </c>
      <c r="R45" s="614"/>
      <c r="S45" s="610">
        <f>SUMIF(ResearchInput[Institution Name],H45,ResearchInput[T.501])</f>
        <v>0</v>
      </c>
      <c r="T45" s="610"/>
      <c r="U45" s="610"/>
      <c r="V45" s="532">
        <f>SUMIF(ResearchInput[Institution Name],H45,ResearchInput[S.M.Res])</f>
        <v>7168268</v>
      </c>
      <c r="W45" s="532"/>
      <c r="X45" s="532"/>
      <c r="Y45" s="532">
        <f>SUMIF(ResearchInput[Institution Name],H45,ResearchInput[S.M.NetE&amp;G])</f>
        <v>54984853</v>
      </c>
      <c r="Z45" s="532"/>
      <c r="AA45" s="533"/>
      <c r="AB45" s="170"/>
    </row>
    <row r="46" spans="1:28" s="171" customFormat="1" ht="30" customHeight="1" x14ac:dyDescent="0.25">
      <c r="A46" s="170"/>
      <c r="B46" s="170"/>
      <c r="C46" s="170"/>
      <c r="D46" s="170"/>
      <c r="E46" s="170"/>
      <c r="F46" s="170"/>
      <c r="G46" s="170"/>
      <c r="H46" s="605" t="s">
        <v>196</v>
      </c>
      <c r="I46" s="459"/>
      <c r="J46" s="459"/>
      <c r="K46" s="459"/>
      <c r="L46" s="459"/>
      <c r="M46" s="459"/>
      <c r="N46" s="459"/>
      <c r="O46" s="459"/>
      <c r="P46" s="459"/>
      <c r="Q46" s="613">
        <v>30</v>
      </c>
      <c r="R46" s="613"/>
      <c r="S46" s="612">
        <f>SUMIF(ResearchInput[Institution Name],H46,ResearchInput[T.501])</f>
        <v>16460738</v>
      </c>
      <c r="T46" s="612"/>
      <c r="U46" s="612"/>
      <c r="V46" s="537">
        <f>SUMIF(ResearchInput[Institution Name],H46,ResearchInput[S.M.Res])</f>
        <v>651316097</v>
      </c>
      <c r="W46" s="537"/>
      <c r="X46" s="537"/>
      <c r="Y46" s="537">
        <f>SUMIF(ResearchInput[Institution Name],H46,ResearchInput[S.M.NetE&amp;G])</f>
        <v>2658389521</v>
      </c>
      <c r="Z46" s="537"/>
      <c r="AA46" s="540"/>
      <c r="AB46" s="170"/>
    </row>
    <row r="47" spans="1:28" s="171" customFormat="1" ht="30" customHeight="1" x14ac:dyDescent="0.25">
      <c r="A47" s="170"/>
      <c r="B47" s="170"/>
      <c r="C47" s="170"/>
      <c r="D47" s="170"/>
      <c r="E47" s="170"/>
      <c r="F47" s="170"/>
      <c r="G47" s="170"/>
      <c r="H47" s="606" t="s">
        <v>198</v>
      </c>
      <c r="I47" s="607"/>
      <c r="J47" s="607"/>
      <c r="K47" s="607"/>
      <c r="L47" s="607"/>
      <c r="M47" s="607"/>
      <c r="N47" s="607"/>
      <c r="O47" s="607"/>
      <c r="P47" s="607"/>
      <c r="Q47" s="614">
        <v>104952</v>
      </c>
      <c r="R47" s="614"/>
      <c r="S47" s="610">
        <f>SUMIF(ResearchInput[Institution Name],H47,ResearchInput[T.501])</f>
        <v>0</v>
      </c>
      <c r="T47" s="610"/>
      <c r="U47" s="610"/>
      <c r="V47" s="532">
        <f>SUMIF(ResearchInput[Institution Name],H47,ResearchInput[S.M.Res])</f>
        <v>175315730</v>
      </c>
      <c r="W47" s="532"/>
      <c r="X47" s="532"/>
      <c r="Y47" s="532">
        <f>SUMIF(ResearchInput[Institution Name],H47,ResearchInput[S.M.NetE&amp;G])</f>
        <v>1181009427.29</v>
      </c>
      <c r="Z47" s="532"/>
      <c r="AA47" s="533"/>
      <c r="AB47" s="170"/>
    </row>
    <row r="48" spans="1:28" s="171" customFormat="1" ht="30" customHeight="1" x14ac:dyDescent="0.25">
      <c r="A48" s="170"/>
      <c r="B48" s="170"/>
      <c r="C48" s="170"/>
      <c r="D48" s="170"/>
      <c r="E48" s="170"/>
      <c r="F48" s="170"/>
      <c r="G48" s="170"/>
      <c r="H48" s="605" t="s">
        <v>199</v>
      </c>
      <c r="I48" s="459"/>
      <c r="J48" s="459"/>
      <c r="K48" s="459"/>
      <c r="L48" s="459"/>
      <c r="M48" s="459"/>
      <c r="N48" s="459"/>
      <c r="O48" s="459"/>
      <c r="P48" s="459"/>
      <c r="Q48" s="613">
        <v>11618</v>
      </c>
      <c r="R48" s="613"/>
      <c r="S48" s="612">
        <f>SUMIF(ResearchInput[Institution Name],H48,ResearchInput[T.501])</f>
        <v>0</v>
      </c>
      <c r="T48" s="612"/>
      <c r="U48" s="612"/>
      <c r="V48" s="537">
        <f>SUMIF(ResearchInput[Institution Name],H48,ResearchInput[S.M.Res])</f>
        <v>399390086</v>
      </c>
      <c r="W48" s="537"/>
      <c r="X48" s="537"/>
      <c r="Y48" s="537">
        <f>SUMIF(ResearchInput[Institution Name],H48,ResearchInput[S.M.NetE&amp;G])</f>
        <v>2539824148</v>
      </c>
      <c r="Z48" s="537"/>
      <c r="AA48" s="540"/>
      <c r="AB48" s="170"/>
    </row>
    <row r="49" spans="1:28" s="171" customFormat="1" ht="30" customHeight="1" x14ac:dyDescent="0.25">
      <c r="A49" s="170"/>
      <c r="B49" s="170"/>
      <c r="C49" s="170"/>
      <c r="D49" s="170"/>
      <c r="E49" s="170"/>
      <c r="F49" s="170"/>
      <c r="G49" s="170"/>
      <c r="H49" s="606" t="s">
        <v>200</v>
      </c>
      <c r="I49" s="607"/>
      <c r="J49" s="607"/>
      <c r="K49" s="607"/>
      <c r="L49" s="607"/>
      <c r="M49" s="607"/>
      <c r="N49" s="607"/>
      <c r="O49" s="607"/>
      <c r="P49" s="607"/>
      <c r="Q49" s="614">
        <v>40</v>
      </c>
      <c r="R49" s="614"/>
      <c r="S49" s="610">
        <f>SUMIF(ResearchInput[Institution Name],H49,ResearchInput[T.501])</f>
        <v>14069773</v>
      </c>
      <c r="T49" s="610"/>
      <c r="U49" s="610"/>
      <c r="V49" s="532">
        <f>SUMIF(ResearchInput[Institution Name],H49,ResearchInput[S.M.Res])</f>
        <v>257006558</v>
      </c>
      <c r="W49" s="532"/>
      <c r="X49" s="532"/>
      <c r="Y49" s="532">
        <f>SUMIF(ResearchInput[Institution Name],H49,ResearchInput[S.M.NetE&amp;G])</f>
        <v>1438816154</v>
      </c>
      <c r="Z49" s="532"/>
      <c r="AA49" s="533"/>
      <c r="AB49" s="170"/>
    </row>
    <row r="50" spans="1:28" s="171" customFormat="1" ht="30" customHeight="1" x14ac:dyDescent="0.25">
      <c r="A50" s="170"/>
      <c r="B50" s="170"/>
      <c r="C50" s="170"/>
      <c r="D50" s="170"/>
      <c r="E50" s="170"/>
      <c r="F50" s="170"/>
      <c r="G50" s="170"/>
      <c r="H50" s="605" t="s">
        <v>762</v>
      </c>
      <c r="I50" s="459"/>
      <c r="J50" s="459"/>
      <c r="K50" s="459"/>
      <c r="L50" s="459"/>
      <c r="M50" s="459"/>
      <c r="N50" s="459"/>
      <c r="O50" s="459"/>
      <c r="P50" s="459"/>
      <c r="Q50" s="613">
        <v>203599</v>
      </c>
      <c r="R50" s="613"/>
      <c r="S50" s="612">
        <f>SUMIF(ResearchInput[Institution Name],H50,ResearchInput[T.501])</f>
        <v>0</v>
      </c>
      <c r="T50" s="612"/>
      <c r="U50" s="612"/>
      <c r="V50" s="537">
        <f>SUMIF(ResearchInput[Institution Name],H50,ResearchInput[S.M.Res])</f>
        <v>25354978</v>
      </c>
      <c r="W50" s="537"/>
      <c r="X50" s="537"/>
      <c r="Y50" s="537">
        <f>SUMIF(ResearchInput[Institution Name],H50,ResearchInput[S.M.NetE&amp;G])</f>
        <v>146794704</v>
      </c>
      <c r="Z50" s="537"/>
      <c r="AA50" s="540"/>
      <c r="AB50" s="170"/>
    </row>
    <row r="51" spans="1:28" s="171" customFormat="1" ht="30" customHeight="1" x14ac:dyDescent="0.25">
      <c r="A51" s="170"/>
      <c r="B51" s="170"/>
      <c r="C51" s="170"/>
      <c r="D51" s="170"/>
      <c r="E51" s="170"/>
      <c r="F51" s="170"/>
      <c r="G51" s="170"/>
      <c r="H51" s="606" t="s">
        <v>201</v>
      </c>
      <c r="I51" s="607"/>
      <c r="J51" s="607"/>
      <c r="K51" s="607"/>
      <c r="L51" s="607"/>
      <c r="M51" s="607"/>
      <c r="N51" s="607"/>
      <c r="O51" s="607"/>
      <c r="P51" s="607"/>
      <c r="Q51" s="614">
        <v>25554</v>
      </c>
      <c r="R51" s="614"/>
      <c r="S51" s="610">
        <f>SUMIF(ResearchInput[Institution Name],H51,ResearchInput[T.501])</f>
        <v>0</v>
      </c>
      <c r="T51" s="610"/>
      <c r="U51" s="610"/>
      <c r="V51" s="532">
        <f>SUMIF(ResearchInput[Institution Name],H51,ResearchInput[S.M.Res])</f>
        <v>1187937287</v>
      </c>
      <c r="W51" s="532"/>
      <c r="X51" s="532"/>
      <c r="Y51" s="532">
        <f>SUMIF(ResearchInput[Institution Name],H51,ResearchInput[S.M.NetE&amp;G])</f>
        <v>946835760</v>
      </c>
      <c r="Z51" s="532"/>
      <c r="AA51" s="533"/>
      <c r="AB51" s="170"/>
    </row>
    <row r="52" spans="1:28" s="171" customFormat="1" ht="30" customHeight="1" x14ac:dyDescent="0.25">
      <c r="A52" s="170"/>
      <c r="B52" s="170"/>
      <c r="C52" s="170"/>
      <c r="D52" s="170"/>
      <c r="E52" s="170"/>
      <c r="F52" s="170"/>
      <c r="G52" s="170"/>
      <c r="H52" s="605" t="s">
        <v>202</v>
      </c>
      <c r="I52" s="459"/>
      <c r="J52" s="459"/>
      <c r="K52" s="459"/>
      <c r="L52" s="459"/>
      <c r="M52" s="459"/>
      <c r="N52" s="459"/>
      <c r="O52" s="459"/>
      <c r="P52" s="459"/>
      <c r="Q52" s="613">
        <v>42439</v>
      </c>
      <c r="R52" s="613"/>
      <c r="S52" s="612">
        <f>SUMIF(ResearchInput[Institution Name],H52,ResearchInput[T.501])</f>
        <v>0</v>
      </c>
      <c r="T52" s="612"/>
      <c r="U52" s="612"/>
      <c r="V52" s="537">
        <f>SUMIF(ResearchInput[Institution Name],H52,ResearchInput[S.M.Res])</f>
        <v>24050087</v>
      </c>
      <c r="W52" s="537"/>
      <c r="X52" s="537"/>
      <c r="Y52" s="537">
        <f>SUMIF(ResearchInput[Institution Name],H52,ResearchInput[S.M.NetE&amp;G])</f>
        <v>450252018</v>
      </c>
      <c r="Z52" s="537"/>
      <c r="AA52" s="540"/>
      <c r="AB52" s="170"/>
    </row>
    <row r="53" spans="1:28" s="171" customFormat="1" ht="30" customHeight="1" x14ac:dyDescent="0.25">
      <c r="A53" s="170"/>
      <c r="B53" s="170"/>
      <c r="C53" s="170"/>
      <c r="D53" s="170"/>
      <c r="E53" s="170"/>
      <c r="F53" s="170"/>
      <c r="G53" s="170"/>
      <c r="H53" s="606" t="s">
        <v>209</v>
      </c>
      <c r="I53" s="607"/>
      <c r="J53" s="607"/>
      <c r="K53" s="607"/>
      <c r="L53" s="607"/>
      <c r="M53" s="607"/>
      <c r="N53" s="607"/>
      <c r="O53" s="607"/>
      <c r="P53" s="607"/>
      <c r="Q53" s="614">
        <v>203658</v>
      </c>
      <c r="R53" s="614"/>
      <c r="S53" s="610">
        <f>SUMIF(ResearchInput[Institution Name],H53,ResearchInput[T.501])</f>
        <v>0</v>
      </c>
      <c r="T53" s="610"/>
      <c r="U53" s="610"/>
      <c r="V53" s="532">
        <f>SUMIF(ResearchInput[Institution Name],H53,ResearchInput[S.M.Res])</f>
        <v>43336701</v>
      </c>
      <c r="W53" s="532"/>
      <c r="X53" s="532"/>
      <c r="Y53" s="532">
        <f>SUMIF(ResearchInput[Institution Name],H53,ResearchInput[S.M.NetE&amp;G])</f>
        <v>374346063</v>
      </c>
      <c r="Z53" s="532"/>
      <c r="AA53" s="533"/>
      <c r="AB53" s="170"/>
    </row>
    <row r="54" spans="1:28" s="171" customFormat="1" ht="30" customHeight="1" x14ac:dyDescent="0.25">
      <c r="A54" s="170"/>
      <c r="B54" s="170"/>
      <c r="C54" s="170"/>
      <c r="D54" s="170"/>
      <c r="E54" s="170"/>
      <c r="F54" s="170"/>
      <c r="G54" s="170"/>
      <c r="H54" s="605" t="s">
        <v>234</v>
      </c>
      <c r="I54" s="459"/>
      <c r="J54" s="459"/>
      <c r="K54" s="459"/>
      <c r="L54" s="459"/>
      <c r="M54" s="459"/>
      <c r="N54" s="459"/>
      <c r="O54" s="459"/>
      <c r="P54" s="459"/>
      <c r="Q54" s="613">
        <v>89</v>
      </c>
      <c r="R54" s="613"/>
      <c r="S54" s="612">
        <f>SUMIF(ResearchInput[Institution Name],H54,ResearchInput[T.501])</f>
        <v>38747261</v>
      </c>
      <c r="T54" s="612"/>
      <c r="U54" s="612"/>
      <c r="V54" s="537">
        <f>SUMIF(ResearchInput[Institution Name],H54,ResearchInput[S.M.Res])</f>
        <v>121263715</v>
      </c>
      <c r="W54" s="537"/>
      <c r="X54" s="537"/>
      <c r="Y54" s="537">
        <f>SUMIF(ResearchInput[Institution Name],H54,ResearchInput[S.M.NetE&amp;G])</f>
        <v>478377596</v>
      </c>
      <c r="Z54" s="537"/>
      <c r="AA54" s="540"/>
      <c r="AB54" s="170"/>
    </row>
    <row r="55" spans="1:28" s="171" customFormat="1" ht="30" customHeight="1" x14ac:dyDescent="0.25">
      <c r="A55" s="170"/>
      <c r="B55" s="170"/>
      <c r="C55" s="170"/>
      <c r="D55" s="170"/>
      <c r="E55" s="170"/>
      <c r="F55" s="170"/>
      <c r="G55" s="170"/>
      <c r="H55" s="606" t="s">
        <v>203</v>
      </c>
      <c r="I55" s="607"/>
      <c r="J55" s="607"/>
      <c r="K55" s="607"/>
      <c r="L55" s="607"/>
      <c r="M55" s="607"/>
      <c r="N55" s="607"/>
      <c r="O55" s="607"/>
      <c r="P55" s="607"/>
      <c r="Q55" s="614">
        <v>130</v>
      </c>
      <c r="R55" s="614"/>
      <c r="S55" s="610">
        <f>SUMIF(ResearchInput[Institution Name],H55,ResearchInput[T.501])</f>
        <v>0</v>
      </c>
      <c r="T55" s="610"/>
      <c r="U55" s="610"/>
      <c r="V55" s="532">
        <f>SUMIF(ResearchInput[Institution Name],H55,ResearchInput[S.M.Res])</f>
        <v>94703014</v>
      </c>
      <c r="W55" s="532"/>
      <c r="X55" s="532"/>
      <c r="Y55" s="532">
        <f>SUMIF(ResearchInput[Institution Name],H55,ResearchInput[S.M.NetE&amp;G])</f>
        <v>333314600</v>
      </c>
      <c r="Z55" s="532"/>
      <c r="AA55" s="533"/>
      <c r="AB55" s="170"/>
    </row>
    <row r="56" spans="1:28" s="171" customFormat="1" ht="30" customHeight="1" x14ac:dyDescent="0.25">
      <c r="A56" s="170"/>
      <c r="B56" s="170"/>
      <c r="C56" s="170"/>
      <c r="D56" s="170"/>
      <c r="E56" s="170"/>
      <c r="F56" s="170"/>
      <c r="G56" s="170"/>
      <c r="H56" s="605" t="s">
        <v>204</v>
      </c>
      <c r="I56" s="459"/>
      <c r="J56" s="459"/>
      <c r="K56" s="459"/>
      <c r="L56" s="459"/>
      <c r="M56" s="459"/>
      <c r="N56" s="459"/>
      <c r="O56" s="459"/>
      <c r="P56" s="459"/>
      <c r="Q56" s="613">
        <v>412</v>
      </c>
      <c r="R56" s="613"/>
      <c r="S56" s="612">
        <f>SUMIF(ResearchInput[Institution Name],H56,ResearchInput[T.501])</f>
        <v>0</v>
      </c>
      <c r="T56" s="612"/>
      <c r="U56" s="612"/>
      <c r="V56" s="537">
        <f>SUMIF(ResearchInput[Institution Name],H56,ResearchInput[S.M.Res])</f>
        <v>51501062</v>
      </c>
      <c r="W56" s="537"/>
      <c r="X56" s="537"/>
      <c r="Y56" s="537">
        <f>SUMIF(ResearchInput[Institution Name],H56,ResearchInput[S.M.NetE&amp;G])</f>
        <v>753227007</v>
      </c>
      <c r="Z56" s="537"/>
      <c r="AA56" s="540"/>
      <c r="AB56" s="170"/>
    </row>
    <row r="57" spans="1:28" s="171" customFormat="1" ht="30" customHeight="1" x14ac:dyDescent="0.25">
      <c r="A57" s="170"/>
      <c r="B57" s="170"/>
      <c r="C57" s="170"/>
      <c r="D57" s="170"/>
      <c r="E57" s="170"/>
      <c r="F57" s="170"/>
      <c r="G57" s="170"/>
      <c r="H57" s="606" t="s">
        <v>205</v>
      </c>
      <c r="I57" s="607"/>
      <c r="J57" s="607"/>
      <c r="K57" s="607"/>
      <c r="L57" s="607"/>
      <c r="M57" s="607"/>
      <c r="N57" s="607"/>
      <c r="O57" s="607"/>
      <c r="P57" s="607"/>
      <c r="Q57" s="614">
        <v>862</v>
      </c>
      <c r="R57" s="614"/>
      <c r="S57" s="610">
        <f>SUMIF(ResearchInput[Institution Name],H57,ResearchInput[T.501])</f>
        <v>0</v>
      </c>
      <c r="T57" s="610"/>
      <c r="U57" s="610"/>
      <c r="V57" s="532">
        <f>SUMIF(ResearchInput[Institution Name],H57,ResearchInput[S.M.Res])</f>
        <v>12180694</v>
      </c>
      <c r="W57" s="532"/>
      <c r="X57" s="532"/>
      <c r="Y57" s="532">
        <f>SUMIF(ResearchInput[Institution Name],H57,ResearchInput[S.M.NetE&amp;G])</f>
        <v>305105893</v>
      </c>
      <c r="Z57" s="532"/>
      <c r="AA57" s="533"/>
      <c r="AB57" s="170"/>
    </row>
    <row r="58" spans="1:28" s="171" customFormat="1" ht="30" customHeight="1" x14ac:dyDescent="0.25">
      <c r="A58" s="170"/>
      <c r="B58" s="170"/>
      <c r="C58" s="170"/>
      <c r="D58" s="170"/>
      <c r="E58" s="170"/>
      <c r="F58" s="170"/>
      <c r="G58" s="170"/>
      <c r="H58" s="605" t="s">
        <v>212</v>
      </c>
      <c r="I58" s="459"/>
      <c r="J58" s="459"/>
      <c r="K58" s="459"/>
      <c r="L58" s="459"/>
      <c r="M58" s="459"/>
      <c r="N58" s="459"/>
      <c r="O58" s="459"/>
      <c r="P58" s="459"/>
      <c r="Q58" s="613">
        <v>203652</v>
      </c>
      <c r="R58" s="613"/>
      <c r="S58" s="612">
        <f>SUMIF(ResearchInput[Institution Name],H58,ResearchInput[T.501])</f>
        <v>0</v>
      </c>
      <c r="T58" s="612"/>
      <c r="U58" s="612"/>
      <c r="V58" s="537">
        <f>SUMIF(ResearchInput[Institution Name],H58,ResearchInput[S.M.Res])</f>
        <v>2306186</v>
      </c>
      <c r="W58" s="537"/>
      <c r="X58" s="537"/>
      <c r="Y58" s="537">
        <f>SUMIF(ResearchInput[Institution Name],H58,ResearchInput[S.M.NetE&amp;G])</f>
        <v>44479034</v>
      </c>
      <c r="Z58" s="537"/>
      <c r="AA58" s="540"/>
      <c r="AB58" s="170"/>
    </row>
    <row r="59" spans="1:28" s="171" customFormat="1" ht="30" customHeight="1" x14ac:dyDescent="0.25">
      <c r="A59" s="170"/>
      <c r="B59" s="170"/>
      <c r="C59" s="170"/>
      <c r="D59" s="170"/>
      <c r="E59" s="170"/>
      <c r="F59" s="170"/>
      <c r="G59" s="170"/>
      <c r="H59" s="606" t="s">
        <v>213</v>
      </c>
      <c r="I59" s="607"/>
      <c r="J59" s="607"/>
      <c r="K59" s="607"/>
      <c r="L59" s="607"/>
      <c r="M59" s="607"/>
      <c r="N59" s="607"/>
      <c r="O59" s="607"/>
      <c r="P59" s="607"/>
      <c r="Q59" s="614">
        <v>103606</v>
      </c>
      <c r="R59" s="614"/>
      <c r="S59" s="610">
        <f>SUMIF(ResearchInput[Institution Name],H59,ResearchInput[T.501])</f>
        <v>0</v>
      </c>
      <c r="T59" s="610"/>
      <c r="U59" s="610"/>
      <c r="V59" s="532">
        <f>SUMIF(ResearchInput[Institution Name],H59,ResearchInput[S.M.Res])</f>
        <v>1562655</v>
      </c>
      <c r="W59" s="532"/>
      <c r="X59" s="532"/>
      <c r="Y59" s="532">
        <f>SUMIF(ResearchInput[Institution Name],H59,ResearchInput[S.M.NetE&amp;G])</f>
        <v>27715025</v>
      </c>
      <c r="Z59" s="532"/>
      <c r="AA59" s="533"/>
      <c r="AB59" s="170"/>
    </row>
    <row r="60" spans="1:28" s="171" customFormat="1" ht="30" customHeight="1" x14ac:dyDescent="0.25">
      <c r="A60" s="170"/>
      <c r="B60" s="170"/>
      <c r="C60" s="170"/>
      <c r="D60" s="170"/>
      <c r="E60" s="170"/>
      <c r="F60" s="170"/>
      <c r="G60" s="170"/>
      <c r="H60" s="605" t="s">
        <v>770</v>
      </c>
      <c r="I60" s="459"/>
      <c r="J60" s="459"/>
      <c r="K60" s="459"/>
      <c r="L60" s="459"/>
      <c r="M60" s="459"/>
      <c r="N60" s="459"/>
      <c r="O60" s="459"/>
      <c r="P60" s="459"/>
      <c r="Q60" s="613">
        <v>9642</v>
      </c>
      <c r="R60" s="613"/>
      <c r="S60" s="612">
        <f>SUMIF(ResearchInput[Institution Name],H60,ResearchInput[T.501])</f>
        <v>0</v>
      </c>
      <c r="T60" s="612"/>
      <c r="U60" s="612"/>
      <c r="V60" s="537">
        <f>SUMIF(ResearchInput[Institution Name],H60,ResearchInput[S.M.Res])</f>
        <v>1990424</v>
      </c>
      <c r="W60" s="537"/>
      <c r="X60" s="537"/>
      <c r="Y60" s="537">
        <f>SUMIF(ResearchInput[Institution Name],H60,ResearchInput[S.M.NetE&amp;G])</f>
        <v>18299987</v>
      </c>
      <c r="Z60" s="537"/>
      <c r="AA60" s="540"/>
      <c r="AB60" s="170"/>
    </row>
    <row r="61" spans="1:28" s="171" customFormat="1" ht="30" customHeight="1" x14ac:dyDescent="0.25">
      <c r="A61" s="170"/>
      <c r="B61" s="170"/>
      <c r="C61" s="170"/>
      <c r="D61" s="170"/>
      <c r="E61" s="170"/>
      <c r="F61" s="170"/>
      <c r="G61" s="170"/>
      <c r="H61" s="606" t="s">
        <v>211</v>
      </c>
      <c r="I61" s="607"/>
      <c r="J61" s="607"/>
      <c r="K61" s="607"/>
      <c r="L61" s="607"/>
      <c r="M61" s="607"/>
      <c r="N61" s="607"/>
      <c r="O61" s="607"/>
      <c r="P61" s="607"/>
      <c r="Q61" s="614">
        <v>9225</v>
      </c>
      <c r="R61" s="614"/>
      <c r="S61" s="610">
        <f>SUMIF(ResearchInput[Institution Name],H61,ResearchInput[T.501])</f>
        <v>0</v>
      </c>
      <c r="T61" s="610"/>
      <c r="U61" s="610"/>
      <c r="V61" s="532">
        <f>SUMIF(ResearchInput[Institution Name],H61,ResearchInput[S.M.Res])</f>
        <v>2806</v>
      </c>
      <c r="W61" s="532"/>
      <c r="X61" s="532"/>
      <c r="Y61" s="532">
        <f>SUMIF(ResearchInput[Institution Name],H61,ResearchInput[S.M.NetE&amp;G])</f>
        <v>57377498</v>
      </c>
      <c r="Z61" s="532"/>
      <c r="AA61" s="533"/>
      <c r="AB61" s="170"/>
    </row>
    <row r="62" spans="1:28" s="171" customFormat="1" ht="30" customHeight="1" x14ac:dyDescent="0.25">
      <c r="A62" s="170"/>
      <c r="B62" s="170"/>
      <c r="C62" s="170"/>
      <c r="D62" s="170"/>
      <c r="E62" s="170"/>
      <c r="F62" s="170"/>
      <c r="G62" s="170"/>
      <c r="H62" s="605" t="s">
        <v>214</v>
      </c>
      <c r="I62" s="459"/>
      <c r="J62" s="459"/>
      <c r="K62" s="459"/>
      <c r="L62" s="459"/>
      <c r="M62" s="459"/>
      <c r="N62" s="459"/>
      <c r="O62" s="459"/>
      <c r="P62" s="459"/>
      <c r="Q62" s="613">
        <v>9932</v>
      </c>
      <c r="R62" s="613"/>
      <c r="S62" s="612">
        <f>SUMIF(ResearchInput[Institution Name],H62,ResearchInput[T.501])</f>
        <v>0</v>
      </c>
      <c r="T62" s="612"/>
      <c r="U62" s="612"/>
      <c r="V62" s="537">
        <f>SUMIF(ResearchInput[Institution Name],H62,ResearchInput[S.M.Res])</f>
        <v>163</v>
      </c>
      <c r="W62" s="537"/>
      <c r="X62" s="537"/>
      <c r="Y62" s="537">
        <f>SUMIF(ResearchInput[Institution Name],H62,ResearchInput[S.M.NetE&amp;G])</f>
        <v>31396388</v>
      </c>
      <c r="Z62" s="537"/>
      <c r="AA62" s="540"/>
      <c r="AB62" s="170"/>
    </row>
    <row r="63" spans="1:28" s="171" customFormat="1" ht="30" customHeight="1" x14ac:dyDescent="0.25">
      <c r="A63" s="170"/>
      <c r="B63" s="170"/>
      <c r="C63" s="170"/>
      <c r="D63" s="170"/>
      <c r="E63" s="170"/>
      <c r="F63" s="170"/>
      <c r="G63" s="170"/>
      <c r="H63" s="606" t="s">
        <v>215</v>
      </c>
      <c r="I63" s="607"/>
      <c r="J63" s="607"/>
      <c r="K63" s="607"/>
      <c r="L63" s="607"/>
      <c r="M63" s="607"/>
      <c r="N63" s="607"/>
      <c r="O63" s="607"/>
      <c r="P63" s="607"/>
      <c r="Q63" s="614">
        <v>33965</v>
      </c>
      <c r="R63" s="614"/>
      <c r="S63" s="610">
        <f>SUMIF(ResearchInput[Institution Name],H63,ResearchInput[T.501])</f>
        <v>0</v>
      </c>
      <c r="T63" s="610"/>
      <c r="U63" s="610"/>
      <c r="V63" s="532">
        <f>SUMIF(ResearchInput[Institution Name],H63,ResearchInput[S.M.Res])</f>
        <v>0</v>
      </c>
      <c r="W63" s="532"/>
      <c r="X63" s="532"/>
      <c r="Y63" s="532">
        <f>SUMIF(ResearchInput[Institution Name],H63,ResearchInput[S.M.NetE&amp;G])</f>
        <v>14115082</v>
      </c>
      <c r="Z63" s="532"/>
      <c r="AA63" s="533"/>
      <c r="AB63" s="170"/>
    </row>
    <row r="64" spans="1:28" s="171" customFormat="1" ht="30" customHeight="1" x14ac:dyDescent="0.25">
      <c r="A64" s="170"/>
      <c r="B64" s="170"/>
      <c r="C64" s="170"/>
      <c r="D64" s="170"/>
      <c r="E64" s="170"/>
      <c r="F64" s="170"/>
      <c r="G64" s="170"/>
      <c r="H64" s="605" t="s">
        <v>216</v>
      </c>
      <c r="I64" s="459"/>
      <c r="J64" s="459"/>
      <c r="K64" s="459"/>
      <c r="L64" s="459"/>
      <c r="M64" s="459"/>
      <c r="N64" s="459"/>
      <c r="O64" s="459"/>
      <c r="P64" s="459"/>
      <c r="Q64" s="613">
        <v>3634</v>
      </c>
      <c r="R64" s="613"/>
      <c r="S64" s="612">
        <f>SUMIF(ResearchInput[Institution Name],H64,ResearchInput[T.501])</f>
        <v>0</v>
      </c>
      <c r="T64" s="612"/>
      <c r="U64" s="612"/>
      <c r="V64" s="537">
        <f>SUMIF(ResearchInput[Institution Name],H64,ResearchInput[S.M.Res])</f>
        <v>92198</v>
      </c>
      <c r="W64" s="537"/>
      <c r="X64" s="537"/>
      <c r="Y64" s="537">
        <f>SUMIF(ResearchInput[Institution Name],H64,ResearchInput[S.M.NetE&amp;G])</f>
        <v>121246142</v>
      </c>
      <c r="Z64" s="537"/>
      <c r="AA64" s="540"/>
      <c r="AB64" s="170"/>
    </row>
    <row r="65" spans="1:28" s="171" customFormat="1" ht="30" customHeight="1" x14ac:dyDescent="0.25">
      <c r="A65" s="170"/>
      <c r="B65" s="170"/>
      <c r="C65" s="170"/>
      <c r="D65" s="170"/>
      <c r="E65" s="170"/>
      <c r="F65" s="170"/>
      <c r="G65" s="170"/>
      <c r="H65" s="606" t="s">
        <v>218</v>
      </c>
      <c r="I65" s="607"/>
      <c r="J65" s="607"/>
      <c r="K65" s="607"/>
      <c r="L65" s="607"/>
      <c r="M65" s="607"/>
      <c r="N65" s="607"/>
      <c r="O65" s="607"/>
      <c r="P65" s="607"/>
      <c r="Q65" s="614">
        <v>203634</v>
      </c>
      <c r="R65" s="614"/>
      <c r="S65" s="610">
        <f>SUMIF(ResearchInput[Institution Name],H65,ResearchInput[T.501])</f>
        <v>0</v>
      </c>
      <c r="T65" s="610"/>
      <c r="U65" s="610"/>
      <c r="V65" s="532">
        <f>SUMIF(ResearchInput[Institution Name],H65,ResearchInput[S.M.Res])</f>
        <v>464</v>
      </c>
      <c r="W65" s="532"/>
      <c r="X65" s="532"/>
      <c r="Y65" s="532">
        <f>SUMIF(ResearchInput[Institution Name],H65,ResearchInput[S.M.NetE&amp;G])</f>
        <v>16495237</v>
      </c>
      <c r="Z65" s="532"/>
      <c r="AA65" s="533"/>
      <c r="AB65" s="170"/>
    </row>
    <row r="66" spans="1:28" s="171" customFormat="1" ht="30" customHeight="1" x14ac:dyDescent="0.25">
      <c r="A66" s="170"/>
      <c r="B66" s="170"/>
      <c r="C66" s="170"/>
      <c r="D66" s="170"/>
      <c r="E66" s="170"/>
      <c r="F66" s="170"/>
      <c r="G66" s="170"/>
      <c r="H66" s="608" t="s">
        <v>217</v>
      </c>
      <c r="I66" s="609"/>
      <c r="J66" s="609"/>
      <c r="K66" s="609"/>
      <c r="L66" s="609"/>
      <c r="M66" s="609"/>
      <c r="N66" s="609"/>
      <c r="O66" s="609"/>
      <c r="P66" s="609"/>
      <c r="Q66" s="615">
        <v>133965</v>
      </c>
      <c r="R66" s="615"/>
      <c r="S66" s="611">
        <f>SUMIF(ResearchInput[Institution Name],H66,ResearchInput[T.501])</f>
        <v>0</v>
      </c>
      <c r="T66" s="611"/>
      <c r="U66" s="611"/>
      <c r="V66" s="584">
        <f>SUMIF(ResearchInput[Institution Name],H66,ResearchInput[S.M.Res])</f>
        <v>226</v>
      </c>
      <c r="W66" s="584"/>
      <c r="X66" s="584"/>
      <c r="Y66" s="584">
        <f>SUMIF(ResearchInput[Institution Name],H66,ResearchInput[S.M.NetE&amp;G])</f>
        <v>10136833</v>
      </c>
      <c r="Z66" s="584"/>
      <c r="AA66" s="590"/>
      <c r="AB66" s="170"/>
    </row>
    <row r="67" spans="1:28" ht="30" customHeight="1" x14ac:dyDescent="0.3">
      <c r="A67" s="155"/>
      <c r="B67" s="155"/>
      <c r="C67" s="155"/>
      <c r="D67" s="155"/>
      <c r="E67" s="155"/>
      <c r="F67" s="155"/>
      <c r="G67" s="155"/>
      <c r="H67" s="172" t="s">
        <v>239</v>
      </c>
      <c r="I67" s="619" t="s">
        <v>745</v>
      </c>
      <c r="J67" s="619"/>
      <c r="K67" s="619"/>
      <c r="L67" s="619"/>
      <c r="M67" s="619"/>
      <c r="N67" s="619"/>
      <c r="O67" s="619"/>
      <c r="P67" s="619"/>
      <c r="Q67" s="619"/>
      <c r="R67" s="619"/>
      <c r="S67" s="619"/>
      <c r="T67" s="619"/>
      <c r="U67" s="619"/>
      <c r="V67" s="619"/>
      <c r="W67" s="619"/>
      <c r="X67" s="619"/>
      <c r="Y67" s="619"/>
      <c r="Z67" s="619"/>
      <c r="AA67" s="619"/>
      <c r="AB67" s="142"/>
    </row>
    <row r="68" spans="1:28" ht="30" customHeight="1" x14ac:dyDescent="0.3">
      <c r="A68" s="155"/>
      <c r="B68" s="155"/>
      <c r="C68" s="155"/>
      <c r="D68" s="155"/>
      <c r="E68" s="155"/>
      <c r="F68" s="155"/>
      <c r="G68" s="155"/>
      <c r="H68" s="173" t="s">
        <v>240</v>
      </c>
      <c r="I68" s="619" t="s">
        <v>774</v>
      </c>
      <c r="J68" s="619"/>
      <c r="K68" s="619"/>
      <c r="L68" s="619"/>
      <c r="M68" s="619"/>
      <c r="N68" s="619"/>
      <c r="O68" s="619"/>
      <c r="P68" s="619"/>
      <c r="Q68" s="619"/>
      <c r="R68" s="619"/>
      <c r="S68" s="619"/>
      <c r="T68" s="619"/>
      <c r="U68" s="619"/>
      <c r="V68" s="619"/>
      <c r="W68" s="619"/>
      <c r="X68" s="619"/>
      <c r="Y68" s="619"/>
      <c r="Z68" s="619"/>
      <c r="AA68" s="619"/>
      <c r="AB68" s="142"/>
    </row>
    <row r="69" spans="1:28" ht="30" customHeight="1" x14ac:dyDescent="0.3">
      <c r="A69" s="155"/>
      <c r="B69" s="155"/>
      <c r="C69" s="155"/>
      <c r="D69" s="155"/>
      <c r="E69" s="155"/>
      <c r="F69" s="155"/>
      <c r="G69" s="155"/>
      <c r="H69" s="173"/>
      <c r="I69" s="635" t="s">
        <v>1001</v>
      </c>
      <c r="J69" s="619"/>
      <c r="K69" s="619"/>
      <c r="L69" s="619"/>
      <c r="M69" s="619"/>
      <c r="N69" s="619"/>
      <c r="O69" s="619"/>
      <c r="P69" s="619"/>
      <c r="Q69" s="619"/>
      <c r="R69" s="619"/>
      <c r="S69" s="619"/>
      <c r="T69" s="619"/>
      <c r="U69" s="619"/>
      <c r="V69" s="619"/>
      <c r="W69" s="619"/>
      <c r="X69" s="619"/>
      <c r="Y69" s="619"/>
      <c r="Z69" s="619"/>
      <c r="AA69" s="619"/>
      <c r="AB69" s="142"/>
    </row>
    <row r="70" spans="1:28" ht="30" customHeight="1" x14ac:dyDescent="0.3">
      <c r="A70" s="155"/>
      <c r="B70" s="155"/>
      <c r="C70" s="155"/>
      <c r="D70" s="155"/>
      <c r="E70" s="155"/>
      <c r="F70" s="155"/>
      <c r="G70" s="155"/>
      <c r="H70" s="173"/>
      <c r="I70" s="619" t="s">
        <v>773</v>
      </c>
      <c r="J70" s="619"/>
      <c r="K70" s="619"/>
      <c r="L70" s="619"/>
      <c r="M70" s="619"/>
      <c r="N70" s="619"/>
      <c r="O70" s="619"/>
      <c r="P70" s="619"/>
      <c r="Q70" s="619"/>
      <c r="R70" s="619"/>
      <c r="S70" s="619"/>
      <c r="T70" s="619"/>
      <c r="U70" s="619"/>
      <c r="V70" s="619"/>
      <c r="W70" s="619"/>
      <c r="X70" s="619"/>
      <c r="Y70" s="619"/>
      <c r="Z70" s="619"/>
      <c r="AA70" s="619"/>
      <c r="AB70" s="142"/>
    </row>
    <row r="71" spans="1:28" ht="30" customHeight="1" x14ac:dyDescent="0.3">
      <c r="A71" s="155"/>
      <c r="B71" s="155"/>
      <c r="C71" s="155"/>
      <c r="D71" s="155"/>
      <c r="E71" s="155"/>
      <c r="F71" s="155"/>
      <c r="G71" s="155"/>
      <c r="H71" s="173"/>
      <c r="I71" s="619" t="s">
        <v>775</v>
      </c>
      <c r="J71" s="619"/>
      <c r="K71" s="619"/>
      <c r="L71" s="619"/>
      <c r="M71" s="619"/>
      <c r="N71" s="619"/>
      <c r="O71" s="619"/>
      <c r="P71" s="619"/>
      <c r="Q71" s="619"/>
      <c r="R71" s="619"/>
      <c r="S71" s="619"/>
      <c r="T71" s="619"/>
      <c r="U71" s="619"/>
      <c r="V71" s="619"/>
      <c r="W71" s="619"/>
      <c r="X71" s="619"/>
      <c r="Y71" s="619"/>
      <c r="Z71" s="619"/>
      <c r="AA71" s="619"/>
      <c r="AB71" s="142"/>
    </row>
    <row r="72" spans="1:28" ht="30" customHeight="1" x14ac:dyDescent="0.3">
      <c r="A72" s="155"/>
      <c r="B72" s="155"/>
      <c r="C72" s="155"/>
      <c r="D72" s="155"/>
      <c r="E72" s="155"/>
      <c r="F72" s="155"/>
      <c r="G72" s="155"/>
      <c r="H72" s="174" t="s">
        <v>241</v>
      </c>
      <c r="I72" s="619" t="s">
        <v>776</v>
      </c>
      <c r="J72" s="619"/>
      <c r="K72" s="619"/>
      <c r="L72" s="619"/>
      <c r="M72" s="619"/>
      <c r="N72" s="619"/>
      <c r="O72" s="619"/>
      <c r="P72" s="619"/>
      <c r="Q72" s="619"/>
      <c r="R72" s="619"/>
      <c r="S72" s="619"/>
      <c r="T72" s="619"/>
      <c r="U72" s="619"/>
      <c r="V72" s="619"/>
      <c r="W72" s="619"/>
      <c r="X72" s="619"/>
      <c r="Y72" s="619"/>
      <c r="Z72" s="619"/>
      <c r="AA72" s="619"/>
      <c r="AB72" s="142"/>
    </row>
    <row r="73" spans="1:28" ht="30" customHeight="1" x14ac:dyDescent="0.3">
      <c r="A73" s="155"/>
      <c r="B73" s="155"/>
      <c r="C73" s="155"/>
      <c r="D73" s="155"/>
      <c r="E73" s="155"/>
      <c r="F73" s="155"/>
      <c r="G73" s="155"/>
      <c r="H73" s="173"/>
      <c r="I73" s="619" t="s">
        <v>777</v>
      </c>
      <c r="J73" s="619"/>
      <c r="K73" s="619"/>
      <c r="L73" s="619"/>
      <c r="M73" s="619"/>
      <c r="N73" s="619"/>
      <c r="O73" s="619"/>
      <c r="P73" s="619"/>
      <c r="Q73" s="619"/>
      <c r="R73" s="619"/>
      <c r="S73" s="619"/>
      <c r="T73" s="619"/>
      <c r="U73" s="619"/>
      <c r="V73" s="619"/>
      <c r="W73" s="619"/>
      <c r="X73" s="619"/>
      <c r="Y73" s="619"/>
      <c r="Z73" s="619"/>
      <c r="AA73" s="619"/>
      <c r="AB73" s="142"/>
    </row>
    <row r="74" spans="1:28" ht="30" customHeight="1" x14ac:dyDescent="0.3">
      <c r="A74" s="155"/>
      <c r="B74" s="155"/>
      <c r="C74" s="155"/>
      <c r="D74" s="155"/>
      <c r="E74" s="155"/>
      <c r="F74" s="155"/>
      <c r="G74" s="155"/>
      <c r="H74" s="173"/>
      <c r="I74" s="619" t="s">
        <v>779</v>
      </c>
      <c r="J74" s="619"/>
      <c r="K74" s="619"/>
      <c r="L74" s="619"/>
      <c r="M74" s="619"/>
      <c r="N74" s="619"/>
      <c r="O74" s="619"/>
      <c r="P74" s="619"/>
      <c r="Q74" s="619"/>
      <c r="R74" s="619"/>
      <c r="S74" s="619"/>
      <c r="T74" s="619"/>
      <c r="U74" s="619"/>
      <c r="V74" s="619"/>
      <c r="W74" s="619"/>
      <c r="X74" s="619"/>
      <c r="Y74" s="619"/>
      <c r="Z74" s="619"/>
      <c r="AA74" s="619"/>
      <c r="AB74" s="142"/>
    </row>
    <row r="75" spans="1:28" ht="30" customHeight="1" x14ac:dyDescent="0.3">
      <c r="A75" s="155"/>
      <c r="B75" s="155"/>
      <c r="C75" s="155"/>
      <c r="D75" s="155"/>
      <c r="E75" s="155"/>
      <c r="F75" s="155"/>
      <c r="G75" s="155"/>
      <c r="H75" s="173"/>
      <c r="I75" s="619" t="s">
        <v>780</v>
      </c>
      <c r="J75" s="619"/>
      <c r="K75" s="619"/>
      <c r="L75" s="619"/>
      <c r="M75" s="619"/>
      <c r="N75" s="619"/>
      <c r="O75" s="619"/>
      <c r="P75" s="619"/>
      <c r="Q75" s="619"/>
      <c r="R75" s="619"/>
      <c r="S75" s="619"/>
      <c r="T75" s="619"/>
      <c r="U75" s="619"/>
      <c r="V75" s="619"/>
      <c r="W75" s="619"/>
      <c r="X75" s="619"/>
      <c r="Y75" s="619"/>
      <c r="Z75" s="619"/>
      <c r="AA75" s="619"/>
      <c r="AB75" s="142"/>
    </row>
    <row r="76" spans="1:28" ht="30" customHeight="1" x14ac:dyDescent="0.3">
      <c r="A76" s="155"/>
      <c r="B76" s="155"/>
      <c r="C76" s="155"/>
      <c r="D76" s="155"/>
      <c r="E76" s="155"/>
      <c r="F76" s="155"/>
      <c r="G76" s="155"/>
      <c r="H76" s="173"/>
      <c r="I76" s="619" t="s">
        <v>778</v>
      </c>
      <c r="J76" s="619"/>
      <c r="K76" s="619"/>
      <c r="L76" s="619"/>
      <c r="M76" s="619"/>
      <c r="N76" s="619"/>
      <c r="O76" s="619"/>
      <c r="P76" s="619"/>
      <c r="Q76" s="619"/>
      <c r="R76" s="619"/>
      <c r="S76" s="619"/>
      <c r="T76" s="619"/>
      <c r="U76" s="619"/>
      <c r="V76" s="619"/>
      <c r="W76" s="619"/>
      <c r="X76" s="619"/>
      <c r="Y76" s="619"/>
      <c r="Z76" s="619"/>
      <c r="AA76" s="619"/>
      <c r="AB76" s="142"/>
    </row>
    <row r="77" spans="1:28" ht="30" customHeight="1" x14ac:dyDescent="0.3">
      <c r="A77" s="155"/>
      <c r="B77" s="155"/>
      <c r="C77" s="155"/>
      <c r="D77" s="155"/>
      <c r="E77" s="155"/>
      <c r="F77" s="155"/>
      <c r="G77" s="155"/>
      <c r="H77" s="174" t="s">
        <v>242</v>
      </c>
      <c r="I77" s="619" t="s">
        <v>772</v>
      </c>
      <c r="J77" s="619"/>
      <c r="K77" s="619"/>
      <c r="L77" s="619"/>
      <c r="M77" s="619"/>
      <c r="N77" s="619"/>
      <c r="O77" s="619"/>
      <c r="P77" s="619"/>
      <c r="Q77" s="619"/>
      <c r="R77" s="619"/>
      <c r="S77" s="619"/>
      <c r="T77" s="619"/>
      <c r="U77" s="619"/>
      <c r="V77" s="619"/>
      <c r="W77" s="619"/>
      <c r="X77" s="619"/>
      <c r="Y77" s="619"/>
      <c r="Z77" s="619"/>
      <c r="AA77" s="619"/>
      <c r="AB77" s="142"/>
    </row>
    <row r="78" spans="1:28" ht="30" customHeight="1" x14ac:dyDescent="0.3">
      <c r="A78" s="155"/>
      <c r="B78" s="155"/>
      <c r="C78" s="155"/>
      <c r="D78" s="155"/>
      <c r="E78" s="155"/>
      <c r="F78" s="155"/>
      <c r="G78" s="155"/>
      <c r="H78" s="174"/>
      <c r="I78" s="618" t="s">
        <v>781</v>
      </c>
      <c r="J78" s="618"/>
      <c r="K78" s="618"/>
      <c r="L78" s="618"/>
      <c r="M78" s="618"/>
      <c r="N78" s="618"/>
      <c r="O78" s="618"/>
      <c r="P78" s="618"/>
      <c r="Q78" s="618"/>
      <c r="R78" s="618"/>
      <c r="S78" s="618"/>
      <c r="T78" s="618"/>
      <c r="U78" s="618"/>
      <c r="V78" s="618"/>
      <c r="W78" s="618"/>
      <c r="X78" s="618"/>
      <c r="Y78" s="618"/>
      <c r="Z78" s="618"/>
      <c r="AA78" s="618"/>
      <c r="AB78" s="142"/>
    </row>
    <row r="79" spans="1:28" ht="30" customHeight="1" x14ac:dyDescent="0.25">
      <c r="A79" s="155"/>
      <c r="B79" s="155"/>
      <c r="C79" s="155"/>
      <c r="D79" s="155"/>
      <c r="E79" s="155"/>
      <c r="F79" s="155"/>
      <c r="G79" s="155"/>
      <c r="H79" s="620" t="s">
        <v>771</v>
      </c>
      <c r="I79" s="620"/>
      <c r="J79" s="620"/>
      <c r="K79" s="620"/>
      <c r="L79" s="620"/>
      <c r="M79" s="620"/>
      <c r="N79" s="620"/>
      <c r="O79" s="620"/>
      <c r="P79" s="620"/>
      <c r="Q79" s="620"/>
      <c r="R79" s="620"/>
      <c r="S79" s="620"/>
      <c r="T79" s="620"/>
      <c r="U79" s="620"/>
      <c r="V79" s="620"/>
      <c r="W79" s="620"/>
      <c r="X79" s="620"/>
      <c r="Y79" s="620"/>
      <c r="Z79" s="620"/>
      <c r="AA79" s="620"/>
      <c r="AB79" s="620"/>
    </row>
  </sheetData>
  <sheetProtection algorithmName="SHA-512" hashValue="q710/22MaZ9o7xJ7YJGR4pIL8tNEKazrNkv4hhaO1W4h5SZNcah7nJkjl+EpJaq3OR+QEtRBSkDujPFm9M2UGg==" saltValue="Aj3KGs6o1yGjUwYpTJmMsw==" spinCount="100000" sheet="1" objects="1" scenarios="1" formatCells="0" formatColumns="0" formatRows="0"/>
  <mergeCells count="321">
    <mergeCell ref="I78:AA78"/>
    <mergeCell ref="I74:AA74"/>
    <mergeCell ref="I77:AA77"/>
    <mergeCell ref="H79:AB79"/>
    <mergeCell ref="H7:P7"/>
    <mergeCell ref="V7:X7"/>
    <mergeCell ref="S7:U7"/>
    <mergeCell ref="H5:P6"/>
    <mergeCell ref="Q5:R6"/>
    <mergeCell ref="S5:U6"/>
    <mergeCell ref="V5:X6"/>
    <mergeCell ref="Y5:AA6"/>
    <mergeCell ref="I68:AA68"/>
    <mergeCell ref="I75:AA75"/>
    <mergeCell ref="I76:AA76"/>
    <mergeCell ref="I72:AA72"/>
    <mergeCell ref="I73:AA73"/>
    <mergeCell ref="Q7:R7"/>
    <mergeCell ref="I67:AA67"/>
    <mergeCell ref="I69:AA69"/>
    <mergeCell ref="I70:AA70"/>
    <mergeCell ref="I71:AA71"/>
    <mergeCell ref="Q8:R8"/>
    <mergeCell ref="Q9:R9"/>
    <mergeCell ref="S26:U26"/>
    <mergeCell ref="S27:U27"/>
    <mergeCell ref="Q10:R10"/>
    <mergeCell ref="Q11:R11"/>
    <mergeCell ref="Q12:R12"/>
    <mergeCell ref="Q13:R13"/>
    <mergeCell ref="Q14:R14"/>
    <mergeCell ref="Q15:R15"/>
    <mergeCell ref="Q16:R16"/>
    <mergeCell ref="Q17:R17"/>
    <mergeCell ref="Q18:R18"/>
    <mergeCell ref="H1:AA2"/>
    <mergeCell ref="H3:AA3"/>
    <mergeCell ref="Q24:R24"/>
    <mergeCell ref="S20:U20"/>
    <mergeCell ref="S21:U21"/>
    <mergeCell ref="S22:U22"/>
    <mergeCell ref="S23:U23"/>
    <mergeCell ref="S24:U24"/>
    <mergeCell ref="Y12:AA12"/>
    <mergeCell ref="Y13:AA13"/>
    <mergeCell ref="Y14:AA14"/>
    <mergeCell ref="Y15:AA15"/>
    <mergeCell ref="Y16:AA16"/>
    <mergeCell ref="Y7:AA7"/>
    <mergeCell ref="Y8:AA8"/>
    <mergeCell ref="Y9:AA9"/>
    <mergeCell ref="Y10:AA10"/>
    <mergeCell ref="Y11:AA11"/>
    <mergeCell ref="Y22:AA22"/>
    <mergeCell ref="Y23:AA23"/>
    <mergeCell ref="Y24:AA24"/>
    <mergeCell ref="H8:P8"/>
    <mergeCell ref="H9:P9"/>
    <mergeCell ref="H10:P10"/>
    <mergeCell ref="Q28:R28"/>
    <mergeCell ref="Q19:R19"/>
    <mergeCell ref="Q20:R20"/>
    <mergeCell ref="Q21:R21"/>
    <mergeCell ref="Q22:R22"/>
    <mergeCell ref="Q23:R23"/>
    <mergeCell ref="Q34:R34"/>
    <mergeCell ref="Q35:R35"/>
    <mergeCell ref="Q36:R36"/>
    <mergeCell ref="Q25:R25"/>
    <mergeCell ref="Q26:R26"/>
    <mergeCell ref="Q27:R27"/>
    <mergeCell ref="Q37:R37"/>
    <mergeCell ref="Q38:R38"/>
    <mergeCell ref="Q29:R29"/>
    <mergeCell ref="Q30:R30"/>
    <mergeCell ref="Q31:R31"/>
    <mergeCell ref="Q32:R32"/>
    <mergeCell ref="Q33:R33"/>
    <mergeCell ref="Q44:R44"/>
    <mergeCell ref="Q45:R45"/>
    <mergeCell ref="Q46:R46"/>
    <mergeCell ref="Q47:R47"/>
    <mergeCell ref="Q48:R48"/>
    <mergeCell ref="Q39:R39"/>
    <mergeCell ref="Q40:R40"/>
    <mergeCell ref="Q41:R41"/>
    <mergeCell ref="Q42:R42"/>
    <mergeCell ref="Q43:R43"/>
    <mergeCell ref="Q62:R62"/>
    <mergeCell ref="Q63:R63"/>
    <mergeCell ref="Q54:R54"/>
    <mergeCell ref="Q55:R55"/>
    <mergeCell ref="Q56:R56"/>
    <mergeCell ref="Q57:R57"/>
    <mergeCell ref="Q58:R58"/>
    <mergeCell ref="Q49:R49"/>
    <mergeCell ref="Q50:R50"/>
    <mergeCell ref="Q51:R51"/>
    <mergeCell ref="Q52:R52"/>
    <mergeCell ref="Q53:R53"/>
    <mergeCell ref="Q64:R64"/>
    <mergeCell ref="Q65:R65"/>
    <mergeCell ref="Q66:R66"/>
    <mergeCell ref="S8:U8"/>
    <mergeCell ref="S9:U9"/>
    <mergeCell ref="S10:U10"/>
    <mergeCell ref="S11:U11"/>
    <mergeCell ref="S12:U12"/>
    <mergeCell ref="S13:U13"/>
    <mergeCell ref="S14:U14"/>
    <mergeCell ref="S15:U15"/>
    <mergeCell ref="S16:U16"/>
    <mergeCell ref="S17:U17"/>
    <mergeCell ref="S18:U18"/>
    <mergeCell ref="S19:U19"/>
    <mergeCell ref="Q59:R59"/>
    <mergeCell ref="Q60:R60"/>
    <mergeCell ref="Q61:R61"/>
    <mergeCell ref="S30:U30"/>
    <mergeCell ref="S31:U31"/>
    <mergeCell ref="S32:U32"/>
    <mergeCell ref="S33:U33"/>
    <mergeCell ref="S34:U34"/>
    <mergeCell ref="S25:U25"/>
    <mergeCell ref="S28:U28"/>
    <mergeCell ref="S29:U29"/>
    <mergeCell ref="S40:U40"/>
    <mergeCell ref="S41:U41"/>
    <mergeCell ref="S42:U42"/>
    <mergeCell ref="S43:U43"/>
    <mergeCell ref="S44:U44"/>
    <mergeCell ref="S35:U35"/>
    <mergeCell ref="S36:U36"/>
    <mergeCell ref="S37:U37"/>
    <mergeCell ref="S38:U38"/>
    <mergeCell ref="S39:U39"/>
    <mergeCell ref="S50:U50"/>
    <mergeCell ref="S51:U51"/>
    <mergeCell ref="S52:U52"/>
    <mergeCell ref="S53:U53"/>
    <mergeCell ref="S54:U54"/>
    <mergeCell ref="S45:U45"/>
    <mergeCell ref="S46:U46"/>
    <mergeCell ref="S47:U47"/>
    <mergeCell ref="S48:U48"/>
    <mergeCell ref="S49:U49"/>
    <mergeCell ref="S65:U65"/>
    <mergeCell ref="S66:U66"/>
    <mergeCell ref="S60:U60"/>
    <mergeCell ref="S61:U61"/>
    <mergeCell ref="S62:U62"/>
    <mergeCell ref="S63:U63"/>
    <mergeCell ref="S64:U64"/>
    <mergeCell ref="S55:U55"/>
    <mergeCell ref="S56:U56"/>
    <mergeCell ref="S57:U57"/>
    <mergeCell ref="S58:U58"/>
    <mergeCell ref="S59:U59"/>
    <mergeCell ref="V25:X25"/>
    <mergeCell ref="V26:X26"/>
    <mergeCell ref="V8:X8"/>
    <mergeCell ref="V9:X9"/>
    <mergeCell ref="V10:X10"/>
    <mergeCell ref="V11:X11"/>
    <mergeCell ref="V12:X12"/>
    <mergeCell ref="V13:X13"/>
    <mergeCell ref="V14:X14"/>
    <mergeCell ref="V15:X15"/>
    <mergeCell ref="V16:X16"/>
    <mergeCell ref="V17:X17"/>
    <mergeCell ref="V18:X18"/>
    <mergeCell ref="V19:X19"/>
    <mergeCell ref="V20:X20"/>
    <mergeCell ref="V21:X21"/>
    <mergeCell ref="V22:X22"/>
    <mergeCell ref="V23:X23"/>
    <mergeCell ref="V24:X24"/>
    <mergeCell ref="V35:X35"/>
    <mergeCell ref="V36:X36"/>
    <mergeCell ref="V27:X27"/>
    <mergeCell ref="V28:X28"/>
    <mergeCell ref="V29:X29"/>
    <mergeCell ref="V30:X30"/>
    <mergeCell ref="V31:X31"/>
    <mergeCell ref="V42:X42"/>
    <mergeCell ref="V43:X43"/>
    <mergeCell ref="V32:X32"/>
    <mergeCell ref="V33:X33"/>
    <mergeCell ref="V34:X34"/>
    <mergeCell ref="V44:X44"/>
    <mergeCell ref="V45:X45"/>
    <mergeCell ref="V46:X46"/>
    <mergeCell ref="V37:X37"/>
    <mergeCell ref="V38:X38"/>
    <mergeCell ref="V39:X39"/>
    <mergeCell ref="V40:X40"/>
    <mergeCell ref="V41:X41"/>
    <mergeCell ref="V52:X52"/>
    <mergeCell ref="V53:X53"/>
    <mergeCell ref="V54:X54"/>
    <mergeCell ref="V55:X55"/>
    <mergeCell ref="V56:X56"/>
    <mergeCell ref="V47:X47"/>
    <mergeCell ref="V48:X48"/>
    <mergeCell ref="V49:X49"/>
    <mergeCell ref="V50:X50"/>
    <mergeCell ref="V51:X51"/>
    <mergeCell ref="V62:X62"/>
    <mergeCell ref="V63:X63"/>
    <mergeCell ref="V64:X64"/>
    <mergeCell ref="V65:X65"/>
    <mergeCell ref="V66:X66"/>
    <mergeCell ref="V57:X57"/>
    <mergeCell ref="V58:X58"/>
    <mergeCell ref="V59:X59"/>
    <mergeCell ref="V60:X60"/>
    <mergeCell ref="V61:X61"/>
    <mergeCell ref="Y25:AA25"/>
    <mergeCell ref="Y26:AA26"/>
    <mergeCell ref="Y17:AA17"/>
    <mergeCell ref="Y18:AA18"/>
    <mergeCell ref="Y19:AA19"/>
    <mergeCell ref="Y20:AA20"/>
    <mergeCell ref="Y21:AA21"/>
    <mergeCell ref="Y32:AA32"/>
    <mergeCell ref="Y33:AA33"/>
    <mergeCell ref="Y34:AA34"/>
    <mergeCell ref="Y35:AA35"/>
    <mergeCell ref="Y36:AA36"/>
    <mergeCell ref="Y27:AA27"/>
    <mergeCell ref="Y28:AA28"/>
    <mergeCell ref="Y29:AA29"/>
    <mergeCell ref="Y30:AA30"/>
    <mergeCell ref="Y31:AA31"/>
    <mergeCell ref="Y42:AA42"/>
    <mergeCell ref="Y43:AA43"/>
    <mergeCell ref="Y44:AA44"/>
    <mergeCell ref="Y45:AA45"/>
    <mergeCell ref="Y46:AA46"/>
    <mergeCell ref="Y37:AA37"/>
    <mergeCell ref="Y38:AA38"/>
    <mergeCell ref="Y39:AA39"/>
    <mergeCell ref="Y40:AA40"/>
    <mergeCell ref="Y41:AA41"/>
    <mergeCell ref="H11:P11"/>
    <mergeCell ref="Y62:AA62"/>
    <mergeCell ref="Y63:AA63"/>
    <mergeCell ref="Y64:AA64"/>
    <mergeCell ref="Y65:AA65"/>
    <mergeCell ref="Y66:AA66"/>
    <mergeCell ref="Y57:AA57"/>
    <mergeCell ref="Y58:AA58"/>
    <mergeCell ref="Y59:AA59"/>
    <mergeCell ref="Y60:AA60"/>
    <mergeCell ref="Y61:AA61"/>
    <mergeCell ref="Y52:AA52"/>
    <mergeCell ref="Y53:AA53"/>
    <mergeCell ref="Y54:AA54"/>
    <mergeCell ref="Y55:AA55"/>
    <mergeCell ref="Y56:AA56"/>
    <mergeCell ref="Y47:AA47"/>
    <mergeCell ref="Y48:AA48"/>
    <mergeCell ref="Y49:AA49"/>
    <mergeCell ref="Y50:AA50"/>
    <mergeCell ref="Y51:AA51"/>
    <mergeCell ref="H17:P17"/>
    <mergeCell ref="H18:P18"/>
    <mergeCell ref="H19:P19"/>
    <mergeCell ref="H20:P20"/>
    <mergeCell ref="H21:P21"/>
    <mergeCell ref="H12:P12"/>
    <mergeCell ref="H13:P13"/>
    <mergeCell ref="H14:P14"/>
    <mergeCell ref="H15:P15"/>
    <mergeCell ref="H16:P16"/>
    <mergeCell ref="H27:P27"/>
    <mergeCell ref="H28:P28"/>
    <mergeCell ref="H29:P29"/>
    <mergeCell ref="H30:P30"/>
    <mergeCell ref="H31:P31"/>
    <mergeCell ref="H22:P22"/>
    <mergeCell ref="H23:P23"/>
    <mergeCell ref="H24:P24"/>
    <mergeCell ref="H25:P25"/>
    <mergeCell ref="H26:P26"/>
    <mergeCell ref="H45:P45"/>
    <mergeCell ref="H46:P46"/>
    <mergeCell ref="H37:P37"/>
    <mergeCell ref="H38:P38"/>
    <mergeCell ref="H39:P39"/>
    <mergeCell ref="H40:P40"/>
    <mergeCell ref="H41:P41"/>
    <mergeCell ref="H32:P32"/>
    <mergeCell ref="H33:P33"/>
    <mergeCell ref="H34:P34"/>
    <mergeCell ref="H35:P35"/>
    <mergeCell ref="H36:P36"/>
    <mergeCell ref="H4:AA4"/>
    <mergeCell ref="H62:P62"/>
    <mergeCell ref="H63:P63"/>
    <mergeCell ref="H64:P64"/>
    <mergeCell ref="H65:P65"/>
    <mergeCell ref="H66:P66"/>
    <mergeCell ref="H57:P57"/>
    <mergeCell ref="H58:P58"/>
    <mergeCell ref="H59:P59"/>
    <mergeCell ref="H60:P60"/>
    <mergeCell ref="H61:P61"/>
    <mergeCell ref="H52:P52"/>
    <mergeCell ref="H53:P53"/>
    <mergeCell ref="H54:P54"/>
    <mergeCell ref="H55:P55"/>
    <mergeCell ref="H56:P56"/>
    <mergeCell ref="H47:P47"/>
    <mergeCell ref="H48:P48"/>
    <mergeCell ref="H49:P49"/>
    <mergeCell ref="H50:P50"/>
    <mergeCell ref="H51:P51"/>
    <mergeCell ref="H42:P42"/>
    <mergeCell ref="H43:P43"/>
    <mergeCell ref="H44:P44"/>
  </mergeCells>
  <printOptions horizontalCentered="1"/>
  <pageMargins left="0.5" right="0.5" top="0.75" bottom="0.5" header="0.3" footer="0.3"/>
  <pageSetup scale="43" fitToHeight="0"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6</vt:i4>
      </vt:variant>
    </vt:vector>
  </HeadingPairs>
  <TitlesOfParts>
    <vt:vector size="16" baseType="lpstr">
      <vt:lpstr>Table of Contents</vt:lpstr>
      <vt:lpstr>Campus Contact Information</vt:lpstr>
      <vt:lpstr>Research Guidance</vt:lpstr>
      <vt:lpstr>Research (by Institution)</vt:lpstr>
      <vt:lpstr>Summary (by System)</vt:lpstr>
      <vt:lpstr>Summary (by Institution Type)</vt:lpstr>
      <vt:lpstr>Almanac</vt:lpstr>
      <vt:lpstr>Source of Funds</vt:lpstr>
      <vt:lpstr>Academic Space Model</vt:lpstr>
      <vt:lpstr>FTSE | FTFE</vt:lpstr>
      <vt:lpstr>Inst_Name_List</vt:lpstr>
      <vt:lpstr>Inst_System</vt:lpstr>
      <vt:lpstr>Inst_System_List</vt:lpstr>
      <vt:lpstr>Inst_Type</vt:lpstr>
      <vt:lpstr>Inst_Type_List</vt:lpstr>
      <vt:lpstr>Peer_Groups</vt:lpstr>
    </vt:vector>
  </TitlesOfParts>
  <Company>THECB</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Sources and Uses Research Detail All Sectors - FY 2025</dc:title>
  <dc:subject>Research Expenditures</dc:subject>
  <dc:creator>Funding and Resource Planning</dc:creator>
  <cp:keywords>Sources and Uses, Research Expenditures, Universities, Health-Related Institutions, State Colleges, Technical Colleges</cp:keywords>
  <cp:lastModifiedBy>King, Clifford</cp:lastModifiedBy>
  <cp:lastPrinted>2026-01-28T18:28:58Z</cp:lastPrinted>
  <dcterms:created xsi:type="dcterms:W3CDTF">2015-06-05T18:17:20Z</dcterms:created>
  <dcterms:modified xsi:type="dcterms:W3CDTF">2026-04-23T21:25:34Z</dcterms:modified>
</cp:coreProperties>
</file>