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comments3.xml" ContentType="application/vnd.openxmlformats-officedocument.spreadsheetml.comments+xml"/>
  <Override PartName="/xl/drawings/drawing8.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omments4.xml" ContentType="application/vnd.openxmlformats-officedocument.spreadsheetml.comments+xml"/>
  <Override PartName="/xl/drawings/drawing9.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comments5.xml" ContentType="application/vnd.openxmlformats-officedocument.spreadsheetml.comments+xml"/>
  <Override PartName="/xl/drawings/drawing10.xml" ContentType="application/vnd.openxmlformats-officedocument.drawing+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comments6.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tables/table30.xml" ContentType="application/vnd.openxmlformats-officedocument.spreadsheetml.table+xml"/>
  <Override PartName="/xl/comments7.xml" ContentType="application/vnd.openxmlformats-officedocument.spreadsheetml.comments+xml"/>
  <Override PartName="/xl/drawings/drawing13.xml" ContentType="application/vnd.openxmlformats-officedocument.drawing+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comments8.xml" ContentType="application/vnd.openxmlformats-officedocument.spreadsheetml.comments+xml"/>
  <Override PartName="/xl/drawings/drawing14.xml" ContentType="application/vnd.openxmlformats-officedocument.drawing+xml"/>
  <Override PartName="/xl/tables/table34.xml" ContentType="application/vnd.openxmlformats-officedocument.spreadsheetml.table+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mc:AlternateContent xmlns:mc="http://schemas.openxmlformats.org/markup-compatibility/2006">
    <mc:Choice Requires="x15">
      <x15ac:absPath xmlns:x15ac="http://schemas.microsoft.com/office/spreadsheetml/2010/11/ac" url="H:\APP\PA\PAForum\Web Publications\FINANCE\Sources and Uses\2023\"/>
    </mc:Choice>
  </mc:AlternateContent>
  <xr:revisionPtr revIDLastSave="0" documentId="13_ncr:1_{A98B23EC-0DCD-495E-A17A-E99E0A74851D}" xr6:coauthVersionLast="47" xr6:coauthVersionMax="47" xr10:uidLastSave="{00000000-0000-0000-0000-000000000000}"/>
  <bookViews>
    <workbookView xWindow="-108" yWindow="-108" windowWidth="23256" windowHeight="12576" tabRatio="1000" xr2:uid="{78A6BAB8-5D41-4B51-AE2A-5055EFCF7DEA}"/>
  </bookViews>
  <sheets>
    <sheet name="Index" sheetId="18" r:id="rId1"/>
    <sheet name="Research Expenditures" sheetId="3" r:id="rId2"/>
    <sheet name="Research Exp (Summary)" sheetId="21" r:id="rId3"/>
    <sheet name="Research Exp (Discipline)" sheetId="24" r:id="rId4"/>
    <sheet name="Research Exp (by Inst Type)" sheetId="17" r:id="rId5"/>
    <sheet name="Restricted Research" sheetId="13" r:id="rId6"/>
    <sheet name="Restricted Research List" sheetId="12" r:id="rId7"/>
    <sheet name="Academic Space Model" sheetId="7" r:id="rId8"/>
    <sheet name="Accountability" sheetId="11" r:id="rId9"/>
    <sheet name="Almanac" sheetId="8" r:id="rId10"/>
    <sheet name="Definitions" sheetId="19" r:id="rId11"/>
    <sheet name="Healthcare Research" sheetId="20" r:id="rId12"/>
    <sheet name="Input" sheetId="2" r:id="rId13"/>
    <sheet name="FTSE | FTFE" sheetId="16" r:id="rId14"/>
    <sheet name="Contact Information" sheetId="25" r:id="rId15"/>
    <sheet name="Statements of Sources and Uses_x0009_" sheetId="6" state="hidden" r:id="rId16"/>
    <sheet name="Hidden" sheetId="5" state="hidden" r:id="rId17"/>
  </sheets>
  <definedNames>
    <definedName name="_xlnm._FilterDatabase" localSheetId="10" hidden="1">Definitions!$A$3:$B$3</definedName>
    <definedName name="_xlnm._FilterDatabase" localSheetId="16" hidden="1">Hidden!$A$15:$B$111</definedName>
    <definedName name="_Order1" hidden="1">255</definedName>
    <definedName name="_Order2" hidden="1">255</definedName>
    <definedName name="_Sort" localSheetId="14" hidden="1">#REF!</definedName>
    <definedName name="_Sort" localSheetId="16" hidden="1">#REF!</definedName>
    <definedName name="_Sort" hidden="1">#REF!</definedName>
    <definedName name="Agricultural">Definitions!$A$15</definedName>
    <definedName name="Arts">Definitions!$A$17</definedName>
    <definedName name="Biological">Definitions!$A$19</definedName>
    <definedName name="Business">Definitions!$A$24</definedName>
    <definedName name="Capital">Definitions!$A$26</definedName>
    <definedName name="Computer">Definitions!$A$31</definedName>
    <definedName name="Development">Definitions!$A$33</definedName>
    <definedName name="Education">Definitions!$A$35</definedName>
    <definedName name="Engineering">Definitions!$A$37</definedName>
    <definedName name="Environmental">Definitions!$A$41</definedName>
    <definedName name="Federal">Definitions!$A$45</definedName>
    <definedName name="Fiscal">Definitions!$A$48</definedName>
    <definedName name="FooterText2">Almanac!$A$106:$E$106</definedName>
    <definedName name="Institution">Definitions!$A$49</definedName>
    <definedName name="Institution_Names_Types">Hidden!$A$16:$B$111</definedName>
    <definedName name="Law">Definitions!$A$51</definedName>
    <definedName name="Mathematical">Definitions!$A$53</definedName>
    <definedName name="Medical">Definitions!$A$55</definedName>
    <definedName name="NamesList">Hidden!$A$16:$A$111</definedName>
    <definedName name="Other1">Definitions!$A$60</definedName>
    <definedName name="Other2">Definitions!$A$61</definedName>
    <definedName name="Physical">Definitions!$A$63</definedName>
    <definedName name="_xlnm.Print_Area" localSheetId="7">'Academic Space Model'!$A$2:$G$20,'Academic Space Model'!$A$24:$G$37,'Academic Space Model'!$A$41:$G$81,'Academic Space Model'!$A$85:$G$100</definedName>
    <definedName name="_xlnm.Print_Area" localSheetId="8">Accountability!$A$2:$M$21,Accountability!$A$23:$L$37,Accountability!$A$39:$N$81,Accountability!$A$101:$L$110,Accountability!$A$112:$L$134</definedName>
    <definedName name="_xlnm.Print_Area" localSheetId="9">Almanac!$A$2:$E$23,Almanac!$A$25:$E$41,Almanac!$A$43:$E$86,Almanac!$A$108:$E$132,Almanac!$A$88:$E$106</definedName>
    <definedName name="_xlnm.Print_Area" localSheetId="13">'FTSE | FTFE'!$A$2:$K$77,'FTSE | FTFE'!$A$80:$J$94,'FTSE | FTFE'!$A$98:$K$139</definedName>
    <definedName name="_xlnm.Print_Area" localSheetId="11">'Healthcare Research'!$A$1:$G$21</definedName>
    <definedName name="_xlnm.Print_Area" localSheetId="4">'Research Exp (by Inst Type)'!$A$1:$H$39,'Research Exp (by Inst Type)'!$A$41:$H$64</definedName>
    <definedName name="_xlnm.Print_Area" localSheetId="3">'Research Exp (Discipline)'!$A$2:$S$20,'Research Exp (Discipline)'!$A$22:$S$35,'Research Exp (Discipline)'!$A$37:$S$77,'Research Exp (Discipline)'!$A$96:$S$104,'Research Exp (Discipline)'!$A$79:$S$94,'Research Exp (Discipline)'!$A$106:$S$127</definedName>
    <definedName name="_xlnm.Print_Area" localSheetId="5">'Restricted Research'!$A$1:$C$25</definedName>
    <definedName name="_xlnm.Print_Area" localSheetId="6">'Restricted Research List'!$A$2:$R$42</definedName>
    <definedName name="Private">Definitions!$A$65</definedName>
    <definedName name="Psychology">Definitions!$A$67</definedName>
    <definedName name="RandD1">Definitions!$A$71</definedName>
    <definedName name="RandD2">Definitions!$A$75</definedName>
    <definedName name="Research">Definitions!$A$78</definedName>
    <definedName name="RestrictedResearchList">Hidden!$A$114:$A$148</definedName>
    <definedName name="RResearch">Definitions!$A$79</definedName>
    <definedName name="SearchNames">Hidden!$A$16:$B$111</definedName>
    <definedName name="SearchTypes">Hidden!$A$7:$B$11</definedName>
    <definedName name="Social">Definitions!$A$81</definedName>
    <definedName name="State">Definitions!$A$83</definedName>
    <definedName name="StmtSU">'Statements of Sources and Uses	'!$A$5:$E$103</definedName>
    <definedName name="Type_Dropdown">Hidden!$A$7:$A$11</definedName>
    <definedName name="UNIV_Only">Hidden!$A$114:$A$148</definedName>
    <definedName name="Z_1FFC368C_FAAC_4C27_917C_33EB7F20D079_.wvu.PrintTitles" localSheetId="14" hidden="1">#REF!,#REF!</definedName>
    <definedName name="Z_1FFC368C_FAAC_4C27_917C_33EB7F20D079_.wvu.PrintTitles" localSheetId="16" hidden="1">#REF!,#REF!</definedName>
    <definedName name="Z_1FFC368C_FAAC_4C27_917C_33EB7F20D079_.wvu.PrintTitles" hidden="1">#REF!,#REF!</definedName>
    <definedName name="Z_390E69FE_30BF_46A8_BB03_D0C9901EA0FB_.wvu.PrintTitles" localSheetId="14" hidden="1">#REF!,#REF!</definedName>
    <definedName name="Z_390E69FE_30BF_46A8_BB03_D0C9901EA0FB_.wvu.PrintTitles" localSheetId="16" hidden="1">#REF!,#REF!</definedName>
    <definedName name="Z_390E69FE_30BF_46A8_BB03_D0C9901EA0FB_.wvu.PrintTitles" hidden="1">#REF!,#REF!</definedName>
    <definedName name="Z_4AC09102_7151_4BC1_97EC_C57915589D6D_.wvu.PrintTitles" localSheetId="14" hidden="1">#REF!,#REF!</definedName>
    <definedName name="Z_4AC09102_7151_4BC1_97EC_C57915589D6D_.wvu.PrintTitles" localSheetId="16" hidden="1">#REF!,#REF!</definedName>
    <definedName name="Z_4AC09102_7151_4BC1_97EC_C57915589D6D_.wvu.PrintTitles" hidden="1">#REF!,#REF!</definedName>
    <definedName name="Z_59C042EE_7BE0_46D7_83D3_48C0860AA9B7_.wvu.PrintTitles" localSheetId="14" hidden="1">#REF!,#REF!</definedName>
    <definedName name="Z_59C042EE_7BE0_46D7_83D3_48C0860AA9B7_.wvu.PrintTitles" localSheetId="16" hidden="1">#REF!,#REF!</definedName>
    <definedName name="Z_59C042EE_7BE0_46D7_83D3_48C0860AA9B7_.wvu.PrintTitles" hidden="1">#REF!,#REF!</definedName>
    <definedName name="Z_5DB122DC_76B1_4E56_B2C5_DC5B34D3FE31_.wvu.PrintTitles" localSheetId="14" hidden="1">#REF!,#REF!</definedName>
    <definedName name="Z_5DB122DC_76B1_4E56_B2C5_DC5B34D3FE31_.wvu.PrintTitles" localSheetId="16" hidden="1">#REF!,#REF!</definedName>
    <definedName name="Z_5DB122DC_76B1_4E56_B2C5_DC5B34D3FE31_.wvu.PrintTitles" hidden="1">#REF!,#REF!</definedName>
    <definedName name="Z_7E968537_F35A_46C0_AAAE_B8F2523DE409_.wvu.PrintTitles" localSheetId="14" hidden="1">#REF!,#REF!</definedName>
    <definedName name="Z_7E968537_F35A_46C0_AAAE_B8F2523DE409_.wvu.PrintTitles" localSheetId="16" hidden="1">#REF!,#REF!</definedName>
    <definedName name="Z_7E968537_F35A_46C0_AAAE_B8F2523DE409_.wvu.PrintTitles" hidden="1">#REF!,#REF!</definedName>
    <definedName name="Z_999D944D_85B2_4CAE_97DA_DC2EB4BF0AB0_.wvu.PrintTitles" localSheetId="14" hidden="1">#REF!,#REF!</definedName>
    <definedName name="Z_999D944D_85B2_4CAE_97DA_DC2EB4BF0AB0_.wvu.PrintTitles" localSheetId="16" hidden="1">#REF!,#REF!</definedName>
    <definedName name="Z_999D944D_85B2_4CAE_97DA_DC2EB4BF0AB0_.wvu.PrintTitles" hidden="1">#REF!,#REF!</definedName>
    <definedName name="Z_9A9AF875_8B7A_4EA5_9837_BF2AFF98C487_.wvu.PrintTitles" localSheetId="14" hidden="1">#REF!,#REF!</definedName>
    <definedName name="Z_9A9AF875_8B7A_4EA5_9837_BF2AFF98C487_.wvu.PrintTitles" localSheetId="16" hidden="1">#REF!,#REF!</definedName>
    <definedName name="Z_9A9AF875_8B7A_4EA5_9837_BF2AFF98C487_.wvu.PrintTitles" hidden="1">#REF!,#REF!</definedName>
    <definedName name="Z_C63CB8F7_18C4_4A70_94EC_26C8D6B5C80F_.wvu.PrintTitles" localSheetId="14" hidden="1">#REF!,#REF!</definedName>
    <definedName name="Z_C63CB8F7_18C4_4A70_94EC_26C8D6B5C80F_.wvu.PrintTitles" localSheetId="16" hidden="1">#REF!,#REF!</definedName>
    <definedName name="Z_C63CB8F7_18C4_4A70_94EC_26C8D6B5C80F_.wvu.PrintTitles" hidden="1">#REF!,#REF!</definedName>
    <definedName name="Z_D8EE2E15_379C_4027_9083_08D90932B4E1_.wvu.PrintTitles" localSheetId="14" hidden="1">#REF!,#REF!</definedName>
    <definedName name="Z_D8EE2E15_379C_4027_9083_08D90932B4E1_.wvu.PrintTitles" localSheetId="16" hidden="1">#REF!,#REF!</definedName>
    <definedName name="Z_D8EE2E15_379C_4027_9083_08D90932B4E1_.wvu.PrintTitles" hidden="1">#REF!,#REF!</definedName>
    <definedName name="ZText1">Almanac!$A$104:$E$104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 i="3" l="1"/>
  <c r="L3" i="3"/>
  <c r="G60" i="17"/>
  <c r="F60" i="17"/>
  <c r="E60" i="17"/>
  <c r="D60" i="17"/>
  <c r="C60" i="17"/>
  <c r="B60" i="17"/>
  <c r="G59" i="17"/>
  <c r="F59" i="17"/>
  <c r="E59" i="17"/>
  <c r="D59" i="17"/>
  <c r="C59" i="17"/>
  <c r="B59" i="17"/>
  <c r="G58" i="17"/>
  <c r="F58" i="17"/>
  <c r="E58" i="17"/>
  <c r="D58" i="17"/>
  <c r="C58" i="17"/>
  <c r="B58" i="17"/>
  <c r="G57" i="17"/>
  <c r="F57" i="17"/>
  <c r="E57" i="17"/>
  <c r="D57" i="17"/>
  <c r="C57" i="17"/>
  <c r="B57" i="17"/>
  <c r="G56" i="17"/>
  <c r="F56" i="17"/>
  <c r="E56" i="17"/>
  <c r="D56" i="17"/>
  <c r="C56" i="17"/>
  <c r="B56" i="17"/>
  <c r="G55" i="17"/>
  <c r="F55" i="17"/>
  <c r="E55" i="17"/>
  <c r="D55" i="17"/>
  <c r="C55" i="17"/>
  <c r="B55" i="17"/>
  <c r="G54" i="17"/>
  <c r="F54" i="17"/>
  <c r="E54" i="17"/>
  <c r="D54" i="17"/>
  <c r="C54" i="17"/>
  <c r="B54" i="17"/>
  <c r="G53" i="17"/>
  <c r="F53" i="17"/>
  <c r="E53" i="17"/>
  <c r="D53" i="17"/>
  <c r="C53" i="17"/>
  <c r="B53" i="17"/>
  <c r="G52" i="17"/>
  <c r="F52" i="17"/>
  <c r="E52" i="17"/>
  <c r="D52" i="17"/>
  <c r="C52" i="17"/>
  <c r="B52" i="17"/>
  <c r="G51" i="17"/>
  <c r="F51" i="17"/>
  <c r="E51" i="17"/>
  <c r="D51" i="17"/>
  <c r="C51" i="17"/>
  <c r="B51" i="17"/>
  <c r="G50" i="17"/>
  <c r="F50" i="17"/>
  <c r="E50" i="17"/>
  <c r="D50" i="17"/>
  <c r="C50" i="17"/>
  <c r="B50" i="17"/>
  <c r="G49" i="17"/>
  <c r="F49" i="17"/>
  <c r="E49" i="17"/>
  <c r="D49" i="17"/>
  <c r="C49" i="17"/>
  <c r="B49" i="17"/>
  <c r="G48" i="17"/>
  <c r="F48" i="17"/>
  <c r="E48" i="17"/>
  <c r="D48" i="17"/>
  <c r="C48" i="17"/>
  <c r="B48" i="17"/>
  <c r="G47" i="17"/>
  <c r="F47" i="17"/>
  <c r="E47" i="17"/>
  <c r="D47" i="17"/>
  <c r="C47" i="17"/>
  <c r="B47" i="17"/>
  <c r="G38" i="17"/>
  <c r="F38" i="17"/>
  <c r="E38" i="17"/>
  <c r="D38" i="17"/>
  <c r="C38" i="17"/>
  <c r="B38" i="17"/>
  <c r="G37" i="17"/>
  <c r="F37" i="17"/>
  <c r="E37" i="17"/>
  <c r="D37" i="17"/>
  <c r="C37" i="17"/>
  <c r="B37" i="17"/>
  <c r="G36" i="17"/>
  <c r="F36" i="17"/>
  <c r="E36" i="17"/>
  <c r="D36" i="17"/>
  <c r="C36" i="17"/>
  <c r="B36" i="17"/>
  <c r="G35" i="17"/>
  <c r="F35" i="17"/>
  <c r="E35" i="17"/>
  <c r="D35" i="17"/>
  <c r="C35" i="17"/>
  <c r="B35" i="17"/>
  <c r="G34" i="17"/>
  <c r="F34" i="17"/>
  <c r="E34" i="17"/>
  <c r="D34" i="17"/>
  <c r="C34" i="17"/>
  <c r="B34" i="17"/>
  <c r="G33" i="17"/>
  <c r="F33" i="17"/>
  <c r="E33" i="17"/>
  <c r="D33" i="17"/>
  <c r="C33" i="17"/>
  <c r="B33" i="17"/>
  <c r="G32" i="17"/>
  <c r="F32" i="17"/>
  <c r="E32" i="17"/>
  <c r="D32" i="17"/>
  <c r="C32" i="17"/>
  <c r="B32" i="17"/>
  <c r="G31" i="17"/>
  <c r="F31" i="17"/>
  <c r="E31" i="17"/>
  <c r="D31" i="17"/>
  <c r="C31" i="17"/>
  <c r="B31" i="17"/>
  <c r="G30" i="17"/>
  <c r="F30" i="17"/>
  <c r="E30" i="17"/>
  <c r="D30" i="17"/>
  <c r="C30" i="17"/>
  <c r="B30" i="17"/>
  <c r="G29" i="17"/>
  <c r="F29" i="17"/>
  <c r="E29" i="17"/>
  <c r="D29" i="17"/>
  <c r="C29" i="17"/>
  <c r="B29" i="17"/>
  <c r="G28" i="17"/>
  <c r="F28" i="17"/>
  <c r="E28" i="17"/>
  <c r="D28" i="17"/>
  <c r="C28" i="17"/>
  <c r="B28" i="17"/>
  <c r="G27" i="17"/>
  <c r="F27" i="17"/>
  <c r="E27" i="17"/>
  <c r="D27" i="17"/>
  <c r="C27" i="17"/>
  <c r="B27" i="17"/>
  <c r="G26" i="17"/>
  <c r="F26" i="17"/>
  <c r="E26" i="17"/>
  <c r="D26" i="17"/>
  <c r="C26" i="17"/>
  <c r="B26" i="17"/>
  <c r="G25" i="17"/>
  <c r="F25" i="17"/>
  <c r="E25" i="17"/>
  <c r="D25" i="17"/>
  <c r="C25" i="17"/>
  <c r="B25" i="17"/>
  <c r="G24" i="17"/>
  <c r="F24" i="17"/>
  <c r="E24" i="17"/>
  <c r="D24" i="17"/>
  <c r="C24" i="17"/>
  <c r="B24" i="17"/>
  <c r="G23" i="17"/>
  <c r="F23" i="17"/>
  <c r="E23" i="17"/>
  <c r="D23" i="17"/>
  <c r="C23" i="17"/>
  <c r="B23" i="17"/>
  <c r="H19" i="17"/>
  <c r="H18" i="17"/>
  <c r="H16" i="17"/>
  <c r="H15" i="17"/>
  <c r="H14" i="17"/>
  <c r="H13" i="17"/>
  <c r="G12" i="17"/>
  <c r="K9" i="17"/>
  <c r="G9" i="17"/>
  <c r="H8" i="17"/>
  <c r="G59" i="12" l="1"/>
  <c r="Q49" i="12"/>
  <c r="Q60" i="12" s="1"/>
  <c r="Q50" i="12"/>
  <c r="Q51" i="12"/>
  <c r="Q52" i="12"/>
  <c r="Q53" i="12"/>
  <c r="Q54" i="12"/>
  <c r="Q55" i="12"/>
  <c r="Q56" i="12"/>
  <c r="Q57" i="12"/>
  <c r="Q58" i="12"/>
  <c r="Q59" i="12"/>
  <c r="Q37" i="12"/>
  <c r="P49" i="12"/>
  <c r="P50" i="12"/>
  <c r="P51" i="12"/>
  <c r="P52" i="12"/>
  <c r="P53" i="12"/>
  <c r="P54" i="12"/>
  <c r="P55" i="12"/>
  <c r="P56" i="12"/>
  <c r="P57" i="12"/>
  <c r="P58" i="12"/>
  <c r="P59" i="12"/>
  <c r="P38" i="12"/>
  <c r="O49" i="12"/>
  <c r="O60" i="12" s="1"/>
  <c r="O50" i="12"/>
  <c r="O51" i="12"/>
  <c r="O52" i="12"/>
  <c r="O53" i="12"/>
  <c r="O54" i="12"/>
  <c r="O55" i="12"/>
  <c r="O56" i="12"/>
  <c r="O57" i="12"/>
  <c r="O58" i="12"/>
  <c r="O59" i="12"/>
  <c r="O38" i="12"/>
  <c r="N49" i="12"/>
  <c r="N50" i="12"/>
  <c r="N51" i="12"/>
  <c r="N52" i="12"/>
  <c r="N53" i="12"/>
  <c r="N54" i="12"/>
  <c r="N55" i="12"/>
  <c r="N56" i="12"/>
  <c r="N57" i="12"/>
  <c r="N58" i="12"/>
  <c r="N59" i="12"/>
  <c r="N40" i="12"/>
  <c r="M49" i="12"/>
  <c r="M60" i="12" s="1"/>
  <c r="M50" i="12"/>
  <c r="M51" i="12"/>
  <c r="M52" i="12"/>
  <c r="M53" i="12"/>
  <c r="M54" i="12"/>
  <c r="M55" i="12"/>
  <c r="M56" i="12"/>
  <c r="M57" i="12"/>
  <c r="M58" i="12"/>
  <c r="M59" i="12"/>
  <c r="M39" i="12"/>
  <c r="L49" i="12"/>
  <c r="L50" i="12"/>
  <c r="L51" i="12"/>
  <c r="L52" i="12"/>
  <c r="L53" i="12"/>
  <c r="L54" i="12"/>
  <c r="L55" i="12"/>
  <c r="L56" i="12"/>
  <c r="L57" i="12"/>
  <c r="L58" i="12"/>
  <c r="L59" i="12"/>
  <c r="L39" i="12"/>
  <c r="K49" i="12"/>
  <c r="K60" i="12" s="1"/>
  <c r="K50" i="12"/>
  <c r="K51" i="12"/>
  <c r="K52" i="12"/>
  <c r="K53" i="12"/>
  <c r="K54" i="12"/>
  <c r="K55" i="12"/>
  <c r="K56" i="12"/>
  <c r="K57" i="12"/>
  <c r="K58" i="12"/>
  <c r="K59" i="12"/>
  <c r="K40" i="12"/>
  <c r="J49" i="12"/>
  <c r="J60" i="12" s="1"/>
  <c r="J50" i="12"/>
  <c r="J51" i="12"/>
  <c r="J52" i="12"/>
  <c r="J53" i="12"/>
  <c r="J54" i="12"/>
  <c r="J55" i="12"/>
  <c r="J56" i="12"/>
  <c r="J57" i="12"/>
  <c r="J58" i="12"/>
  <c r="J59" i="12"/>
  <c r="J39" i="12"/>
  <c r="I49" i="12"/>
  <c r="I60" i="12" s="1"/>
  <c r="I50" i="12"/>
  <c r="I51" i="12"/>
  <c r="I52" i="12"/>
  <c r="I53" i="12"/>
  <c r="I54" i="12"/>
  <c r="I55" i="12"/>
  <c r="I56" i="12"/>
  <c r="I57" i="12"/>
  <c r="I58" i="12"/>
  <c r="I59" i="12"/>
  <c r="I41" i="12"/>
  <c r="H49" i="12"/>
  <c r="H60" i="12" s="1"/>
  <c r="H50" i="12"/>
  <c r="H51" i="12"/>
  <c r="H52" i="12"/>
  <c r="H53" i="12"/>
  <c r="H54" i="12"/>
  <c r="H55" i="12"/>
  <c r="H56" i="12"/>
  <c r="H57" i="12"/>
  <c r="H58" i="12"/>
  <c r="H59" i="12"/>
  <c r="H39" i="12"/>
  <c r="F49" i="12"/>
  <c r="F50" i="12"/>
  <c r="F51" i="12"/>
  <c r="F52" i="12"/>
  <c r="F53" i="12"/>
  <c r="F54" i="12"/>
  <c r="F60" i="12" s="1"/>
  <c r="F55" i="12"/>
  <c r="F56" i="12"/>
  <c r="F57" i="12"/>
  <c r="F58" i="12"/>
  <c r="F59" i="12"/>
  <c r="F40" i="12"/>
  <c r="E49" i="12"/>
  <c r="E60" i="12" s="1"/>
  <c r="E50" i="12"/>
  <c r="E51" i="12"/>
  <c r="E52" i="12"/>
  <c r="E53" i="12"/>
  <c r="E54" i="12"/>
  <c r="E55" i="12"/>
  <c r="E56" i="12"/>
  <c r="E57" i="12"/>
  <c r="E58" i="12"/>
  <c r="E59" i="12"/>
  <c r="E38" i="12"/>
  <c r="D49" i="12"/>
  <c r="D50" i="12"/>
  <c r="G50" i="12" s="1"/>
  <c r="D51" i="12"/>
  <c r="G51" i="12" s="1"/>
  <c r="D52" i="12"/>
  <c r="G52" i="12" s="1"/>
  <c r="D53" i="12"/>
  <c r="G53" i="12" s="1"/>
  <c r="D54" i="12"/>
  <c r="G54" i="12" s="1"/>
  <c r="D55" i="12"/>
  <c r="D56" i="12"/>
  <c r="G56" i="12" s="1"/>
  <c r="D57" i="12"/>
  <c r="G57" i="12" s="1"/>
  <c r="D58" i="12"/>
  <c r="G58" i="12" s="1"/>
  <c r="D59" i="12"/>
  <c r="D39" i="12"/>
  <c r="E55" i="8"/>
  <c r="N52" i="11"/>
  <c r="M78" i="11"/>
  <c r="M77" i="11"/>
  <c r="M76" i="11"/>
  <c r="M75" i="11"/>
  <c r="M74" i="11"/>
  <c r="M73" i="11"/>
  <c r="M72" i="11"/>
  <c r="M71" i="11"/>
  <c r="M70" i="11"/>
  <c r="M69" i="11"/>
  <c r="M68" i="11"/>
  <c r="M67" i="11"/>
  <c r="M66" i="11"/>
  <c r="M65" i="11"/>
  <c r="M64" i="11"/>
  <c r="M63" i="11"/>
  <c r="M62" i="11"/>
  <c r="M61" i="11"/>
  <c r="M60" i="11"/>
  <c r="M59" i="11"/>
  <c r="M58" i="11"/>
  <c r="M57" i="11"/>
  <c r="M56" i="11"/>
  <c r="M55" i="11"/>
  <c r="M54" i="11"/>
  <c r="M53" i="11"/>
  <c r="M51" i="11"/>
  <c r="M50" i="11"/>
  <c r="M49" i="11"/>
  <c r="M48" i="11"/>
  <c r="M47" i="11"/>
  <c r="M46" i="11"/>
  <c r="M45" i="11"/>
  <c r="M44" i="11"/>
  <c r="M43" i="11"/>
  <c r="E81" i="8"/>
  <c r="G55" i="12" l="1"/>
  <c r="D60" i="12"/>
  <c r="R59" i="12"/>
  <c r="R58" i="12"/>
  <c r="R57" i="12"/>
  <c r="R56" i="12"/>
  <c r="R55" i="12"/>
  <c r="R54" i="12"/>
  <c r="R53" i="12"/>
  <c r="R52" i="12"/>
  <c r="R51" i="12"/>
  <c r="R50" i="12"/>
  <c r="R49" i="12"/>
  <c r="G49" i="12"/>
  <c r="G60" i="12" s="1"/>
  <c r="H90" i="16"/>
  <c r="H84" i="16"/>
  <c r="H85" i="16"/>
  <c r="H86" i="16"/>
  <c r="R60" i="12" l="1"/>
  <c r="D6" i="8"/>
  <c r="E6" i="8" s="1"/>
  <c r="H87" i="16"/>
  <c r="H88" i="16"/>
  <c r="H89" i="16"/>
  <c r="H91" i="16"/>
  <c r="H92" i="16"/>
  <c r="D59" i="3"/>
  <c r="A2" i="13"/>
  <c r="A2" i="3"/>
  <c r="F58" i="3" s="1"/>
  <c r="G47" i="3" l="1"/>
  <c r="B54" i="3"/>
  <c r="E57" i="3"/>
  <c r="G52" i="3"/>
  <c r="B49" i="3"/>
  <c r="F57" i="3"/>
  <c r="G56" i="3"/>
  <c r="B57" i="3"/>
  <c r="C54" i="3"/>
  <c r="D54" i="3"/>
  <c r="C58" i="3"/>
  <c r="E54" i="3"/>
  <c r="F54" i="3"/>
  <c r="G57" i="3"/>
  <c r="C56" i="3"/>
  <c r="D47" i="3"/>
  <c r="D52" i="3"/>
  <c r="D56" i="3"/>
  <c r="D58" i="3"/>
  <c r="G58" i="3"/>
  <c r="C49" i="3"/>
  <c r="C57" i="3"/>
  <c r="D49" i="3"/>
  <c r="D57" i="3"/>
  <c r="E49" i="3"/>
  <c r="F49" i="3"/>
  <c r="G54" i="3"/>
  <c r="B52" i="3"/>
  <c r="C52" i="3"/>
  <c r="E47" i="3"/>
  <c r="E52" i="3"/>
  <c r="E56" i="3"/>
  <c r="E58" i="3"/>
  <c r="G49" i="3"/>
  <c r="B47" i="3"/>
  <c r="B56" i="3"/>
  <c r="B58" i="3"/>
  <c r="C47" i="3"/>
  <c r="F47" i="3"/>
  <c r="F52" i="3"/>
  <c r="F56" i="3"/>
  <c r="G55" i="3"/>
  <c r="B48" i="3"/>
  <c r="B6" i="24"/>
  <c r="B7" i="24"/>
  <c r="B8" i="24"/>
  <c r="B9" i="24"/>
  <c r="B10" i="24"/>
  <c r="B11" i="24"/>
  <c r="B12" i="24"/>
  <c r="B13" i="24"/>
  <c r="B14" i="24"/>
  <c r="B15" i="24"/>
  <c r="B16" i="24"/>
  <c r="B17" i="24"/>
  <c r="B18" i="24"/>
  <c r="B19" i="24"/>
  <c r="B26" i="24"/>
  <c r="B27" i="24"/>
  <c r="B28" i="24"/>
  <c r="B29" i="24"/>
  <c r="B30" i="24"/>
  <c r="B31" i="24"/>
  <c r="B32" i="24"/>
  <c r="B33" i="24"/>
  <c r="B34"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100" i="24"/>
  <c r="B101" i="24"/>
  <c r="B102" i="24"/>
  <c r="B103" i="24"/>
  <c r="B83" i="24"/>
  <c r="B84" i="24"/>
  <c r="B85" i="24"/>
  <c r="B86" i="24"/>
  <c r="B87" i="24"/>
  <c r="B88" i="24"/>
  <c r="B89" i="24"/>
  <c r="B90" i="24"/>
  <c r="B91" i="24"/>
  <c r="B92" i="24"/>
  <c r="B93" i="24"/>
  <c r="B7" i="21"/>
  <c r="B8" i="21"/>
  <c r="B9" i="21"/>
  <c r="B10" i="21"/>
  <c r="B11" i="21"/>
  <c r="B12" i="21"/>
  <c r="B13" i="21"/>
  <c r="B14" i="21"/>
  <c r="B15" i="21"/>
  <c r="B16" i="21"/>
  <c r="B17" i="21"/>
  <c r="B18" i="21"/>
  <c r="B19" i="21"/>
  <c r="B20" i="21"/>
  <c r="B27" i="21"/>
  <c r="B28" i="21"/>
  <c r="B29" i="21"/>
  <c r="B30" i="21"/>
  <c r="B31" i="21"/>
  <c r="B32" i="21"/>
  <c r="B33" i="21"/>
  <c r="B34" i="21"/>
  <c r="B35" i="21"/>
  <c r="B42" i="21"/>
  <c r="B43" i="21"/>
  <c r="B44" i="21"/>
  <c r="B45" i="21"/>
  <c r="B46" i="21"/>
  <c r="B47" i="21"/>
  <c r="B48" i="21"/>
  <c r="B49" i="21"/>
  <c r="B50" i="21"/>
  <c r="B51" i="21"/>
  <c r="B52" i="21"/>
  <c r="B53" i="21"/>
  <c r="B54" i="21"/>
  <c r="B55" i="21"/>
  <c r="B56" i="21"/>
  <c r="B57" i="21"/>
  <c r="B58" i="21"/>
  <c r="B59" i="21"/>
  <c r="B60" i="21"/>
  <c r="B61" i="21"/>
  <c r="B62" i="21"/>
  <c r="B63" i="21"/>
  <c r="B64" i="21"/>
  <c r="B65" i="21"/>
  <c r="B66" i="21"/>
  <c r="B67" i="21"/>
  <c r="B68" i="21"/>
  <c r="B69" i="21"/>
  <c r="B70" i="21"/>
  <c r="B71" i="21"/>
  <c r="B72" i="21"/>
  <c r="B73" i="21"/>
  <c r="B74" i="21"/>
  <c r="B75" i="21"/>
  <c r="B76" i="21"/>
  <c r="B77" i="21"/>
  <c r="B101" i="21"/>
  <c r="B102" i="21"/>
  <c r="B103" i="21"/>
  <c r="B104" i="21"/>
  <c r="B84" i="21"/>
  <c r="B85" i="21"/>
  <c r="B86" i="21"/>
  <c r="B87" i="21"/>
  <c r="B88" i="21"/>
  <c r="B89" i="21"/>
  <c r="B90" i="21"/>
  <c r="B91" i="21"/>
  <c r="B92" i="21"/>
  <c r="B93" i="21"/>
  <c r="B94" i="21"/>
  <c r="B35" i="12"/>
  <c r="B30" i="12"/>
  <c r="B38" i="12"/>
  <c r="B16" i="12"/>
  <c r="B31" i="12"/>
  <c r="B39" i="12"/>
  <c r="B33" i="12"/>
  <c r="B17" i="12"/>
  <c r="B20" i="12"/>
  <c r="B14" i="12"/>
  <c r="B24" i="12"/>
  <c r="B22" i="12"/>
  <c r="B18" i="12"/>
  <c r="B19" i="12"/>
  <c r="B25" i="12"/>
  <c r="B23" i="12"/>
  <c r="B15" i="12"/>
  <c r="B40" i="12"/>
  <c r="B32" i="12"/>
  <c r="B34" i="12"/>
  <c r="B41" i="12"/>
  <c r="B6" i="12"/>
  <c r="B7" i="12"/>
  <c r="B8" i="12"/>
  <c r="B9" i="12"/>
  <c r="B10" i="12"/>
  <c r="B12" i="12"/>
  <c r="B13" i="12"/>
  <c r="B11" i="12"/>
  <c r="B27" i="12"/>
  <c r="B28" i="12"/>
  <c r="B29" i="12"/>
  <c r="B26" i="12"/>
  <c r="B36" i="12"/>
  <c r="B37" i="12"/>
  <c r="B21" i="12"/>
  <c r="B6" i="11"/>
  <c r="B7" i="11"/>
  <c r="B8" i="11"/>
  <c r="B9" i="11"/>
  <c r="B10" i="11"/>
  <c r="B11" i="11"/>
  <c r="B12" i="11"/>
  <c r="B13" i="11"/>
  <c r="B14" i="11"/>
  <c r="B15" i="11"/>
  <c r="B16" i="11"/>
  <c r="B17" i="11"/>
  <c r="B18" i="11"/>
  <c r="B19" i="11"/>
  <c r="B27" i="11"/>
  <c r="B28" i="11"/>
  <c r="B29" i="11"/>
  <c r="B30" i="11"/>
  <c r="B31" i="11"/>
  <c r="B32" i="11"/>
  <c r="B33" i="11"/>
  <c r="B34" i="11"/>
  <c r="B35" i="11"/>
  <c r="B43" i="11"/>
  <c r="B44" i="11"/>
  <c r="B45" i="11"/>
  <c r="B46" i="11"/>
  <c r="B47" i="11"/>
  <c r="B48" i="11"/>
  <c r="B49" i="11"/>
  <c r="B50" i="11"/>
  <c r="B51" i="11"/>
  <c r="B52" i="11"/>
  <c r="B53" i="11"/>
  <c r="B54" i="11"/>
  <c r="B55" i="11"/>
  <c r="B56" i="11"/>
  <c r="B57" i="11"/>
  <c r="B58" i="11"/>
  <c r="B59" i="11"/>
  <c r="B60" i="11"/>
  <c r="B61" i="11"/>
  <c r="B62" i="11"/>
  <c r="B63" i="11"/>
  <c r="B64" i="11"/>
  <c r="B65" i="11"/>
  <c r="B66" i="11"/>
  <c r="B67" i="11"/>
  <c r="B68" i="11"/>
  <c r="B69" i="11"/>
  <c r="B70" i="11"/>
  <c r="B71" i="11"/>
  <c r="B72" i="11"/>
  <c r="B73" i="11"/>
  <c r="B74" i="11"/>
  <c r="B75" i="11"/>
  <c r="B76" i="11"/>
  <c r="B77" i="11"/>
  <c r="B78" i="11"/>
  <c r="B105" i="11"/>
  <c r="B106" i="11"/>
  <c r="B107" i="11"/>
  <c r="B108" i="11"/>
  <c r="B87" i="11"/>
  <c r="B88" i="11"/>
  <c r="B89" i="11"/>
  <c r="B90" i="11"/>
  <c r="B91" i="11"/>
  <c r="B92" i="11"/>
  <c r="B93" i="11"/>
  <c r="B94" i="11"/>
  <c r="B95" i="11"/>
  <c r="B96" i="11"/>
  <c r="B97" i="11"/>
  <c r="B116" i="11"/>
  <c r="B117" i="11"/>
  <c r="B118" i="11"/>
  <c r="B119" i="11"/>
  <c r="B120" i="11"/>
  <c r="B121" i="11"/>
  <c r="B122" i="11"/>
  <c r="B123" i="11"/>
  <c r="B124" i="11"/>
  <c r="B125" i="11"/>
  <c r="B126" i="11"/>
  <c r="B127" i="11"/>
  <c r="B128" i="11"/>
  <c r="B129" i="11"/>
  <c r="B130" i="11"/>
  <c r="B131" i="11"/>
  <c r="B132" i="11"/>
  <c r="A2" i="17"/>
  <c r="I3" i="3"/>
  <c r="B6" i="8"/>
  <c r="B7" i="8"/>
  <c r="B8" i="8"/>
  <c r="B9" i="8"/>
  <c r="B10" i="8"/>
  <c r="B11" i="8"/>
  <c r="B12" i="8"/>
  <c r="B13" i="8"/>
  <c r="B14" i="8"/>
  <c r="B15" i="8"/>
  <c r="B16" i="8"/>
  <c r="B17" i="8"/>
  <c r="B18" i="8"/>
  <c r="B19" i="8"/>
  <c r="B29" i="8"/>
  <c r="B30" i="8"/>
  <c r="B31" i="8"/>
  <c r="B32" i="8"/>
  <c r="B33" i="8"/>
  <c r="B34" i="8"/>
  <c r="B35" i="8"/>
  <c r="B36" i="8"/>
  <c r="B37"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92" i="8"/>
  <c r="B94" i="8"/>
  <c r="B93" i="8"/>
  <c r="B95" i="8"/>
  <c r="B96" i="8"/>
  <c r="B97" i="8"/>
  <c r="B101" i="8"/>
  <c r="B98" i="8"/>
  <c r="B102" i="8"/>
  <c r="B99" i="8"/>
  <c r="B100" i="8"/>
  <c r="B6" i="7"/>
  <c r="E53" i="3" l="1"/>
  <c r="C55" i="3"/>
  <c r="F50" i="3"/>
  <c r="C50" i="3"/>
  <c r="D55" i="3"/>
  <c r="F51" i="3"/>
  <c r="D53" i="3"/>
  <c r="F53" i="3"/>
  <c r="C53" i="3"/>
  <c r="E55" i="3"/>
  <c r="B50" i="3"/>
  <c r="G48" i="3"/>
  <c r="G50" i="3"/>
  <c r="B53" i="3"/>
  <c r="E48" i="3"/>
  <c r="G51" i="3"/>
  <c r="F48" i="3"/>
  <c r="F55" i="3"/>
  <c r="D50" i="3"/>
  <c r="B51" i="3"/>
  <c r="B55" i="3"/>
  <c r="E50" i="3"/>
  <c r="G53" i="3"/>
  <c r="C51" i="3"/>
  <c r="D51" i="3"/>
  <c r="D48" i="3"/>
  <c r="C48" i="3"/>
  <c r="E51" i="3"/>
  <c r="B89" i="7" l="1"/>
  <c r="B91" i="7"/>
  <c r="B90" i="7"/>
  <c r="B92" i="7"/>
  <c r="B93" i="7"/>
  <c r="B94" i="7"/>
  <c r="B98" i="7"/>
  <c r="B95" i="7"/>
  <c r="B99" i="7"/>
  <c r="B96" i="7"/>
  <c r="B97" i="7"/>
  <c r="B80" i="7"/>
  <c r="G89" i="7"/>
  <c r="G91" i="7"/>
  <c r="G90" i="7"/>
  <c r="G92" i="7"/>
  <c r="G93" i="7"/>
  <c r="G94" i="7"/>
  <c r="G98" i="7"/>
  <c r="G95" i="7"/>
  <c r="G99" i="7"/>
  <c r="G96" i="7"/>
  <c r="G97" i="7"/>
  <c r="G77" i="7"/>
  <c r="F89" i="7"/>
  <c r="F91" i="7"/>
  <c r="F90" i="7"/>
  <c r="F92" i="7"/>
  <c r="F93" i="7"/>
  <c r="F94" i="7"/>
  <c r="F98" i="7"/>
  <c r="F95" i="7"/>
  <c r="F99" i="7"/>
  <c r="F96" i="7"/>
  <c r="F97" i="7"/>
  <c r="F78" i="7"/>
  <c r="E89" i="7"/>
  <c r="E91" i="7"/>
  <c r="E90" i="7"/>
  <c r="E92" i="7"/>
  <c r="E93" i="7"/>
  <c r="E94" i="7"/>
  <c r="E98" i="7"/>
  <c r="E95" i="7"/>
  <c r="E99" i="7"/>
  <c r="E96" i="7"/>
  <c r="E97" i="7"/>
  <c r="E79" i="7"/>
  <c r="D89" i="7"/>
  <c r="D91" i="7"/>
  <c r="D90" i="7"/>
  <c r="D92" i="7"/>
  <c r="D93" i="7"/>
  <c r="D94" i="7"/>
  <c r="D98" i="7"/>
  <c r="D95" i="7"/>
  <c r="D99" i="7"/>
  <c r="D96" i="7"/>
  <c r="D97" i="7"/>
  <c r="D75" i="7"/>
  <c r="B45" i="7"/>
  <c r="B46" i="7"/>
  <c r="B47" i="7"/>
  <c r="B48" i="7"/>
  <c r="B49" i="7"/>
  <c r="B50" i="7"/>
  <c r="B51" i="7"/>
  <c r="B52" i="7"/>
  <c r="B53" i="7"/>
  <c r="B54" i="7"/>
  <c r="B55" i="7"/>
  <c r="B56" i="7"/>
  <c r="B57" i="7"/>
  <c r="B58" i="7"/>
  <c r="B59" i="7"/>
  <c r="B60" i="7"/>
  <c r="B61" i="7"/>
  <c r="B62" i="7"/>
  <c r="B63" i="7"/>
  <c r="B64" i="7"/>
  <c r="B65" i="7"/>
  <c r="B66" i="7"/>
  <c r="B67" i="7"/>
  <c r="B68" i="7"/>
  <c r="B69" i="7"/>
  <c r="B70" i="7"/>
  <c r="B71" i="7"/>
  <c r="B72" i="7"/>
  <c r="B73" i="7"/>
  <c r="B74" i="7"/>
  <c r="B75" i="7"/>
  <c r="B76" i="7"/>
  <c r="B77" i="7"/>
  <c r="B78" i="7"/>
  <c r="B79" i="7"/>
  <c r="B28" i="7"/>
  <c r="B29" i="7"/>
  <c r="B30" i="7"/>
  <c r="B31" i="7"/>
  <c r="B32" i="7"/>
  <c r="B33" i="7"/>
  <c r="B34" i="7"/>
  <c r="B35" i="7"/>
  <c r="B36" i="7"/>
  <c r="B7" i="7"/>
  <c r="B8" i="7"/>
  <c r="B9" i="7"/>
  <c r="B10" i="7"/>
  <c r="B11" i="7"/>
  <c r="B12" i="7"/>
  <c r="B13" i="7"/>
  <c r="B14" i="7"/>
  <c r="B15" i="7"/>
  <c r="B16" i="7"/>
  <c r="B17" i="7"/>
  <c r="B18" i="7"/>
  <c r="B19" i="7"/>
  <c r="E100" i="7" l="1"/>
  <c r="F100" i="7"/>
  <c r="G100" i="7"/>
  <c r="D100" i="7"/>
  <c r="HR68" i="2" l="1"/>
  <c r="HR67" i="2"/>
  <c r="HR70" i="2"/>
  <c r="HR71" i="2"/>
  <c r="HR73" i="2"/>
  <c r="HR72" i="2"/>
  <c r="HR82" i="2"/>
  <c r="HR75" i="2"/>
  <c r="HR76" i="2"/>
  <c r="HR35" i="2"/>
  <c r="HR43" i="2"/>
  <c r="HR17" i="2"/>
  <c r="HR26" i="2"/>
  <c r="HR38" i="2"/>
  <c r="HR39" i="2"/>
  <c r="HR32" i="2"/>
  <c r="HR98" i="2"/>
  <c r="HR37" i="2"/>
  <c r="HR42" i="2"/>
  <c r="HR36" i="2"/>
  <c r="HR40" i="2"/>
  <c r="HR91" i="2"/>
  <c r="HR90" i="2"/>
  <c r="HR86" i="2"/>
  <c r="HR87" i="2"/>
  <c r="HR89" i="2"/>
  <c r="HR12" i="2"/>
  <c r="HR20" i="2"/>
  <c r="HR19" i="2"/>
  <c r="HR58" i="2"/>
  <c r="HR25" i="2"/>
  <c r="HR59" i="2"/>
  <c r="HR4" i="2"/>
  <c r="HR93" i="2"/>
  <c r="HR95" i="2"/>
  <c r="HR15" i="2"/>
  <c r="HR24" i="2"/>
  <c r="HR49" i="2"/>
  <c r="HR64" i="2"/>
  <c r="HR83" i="2"/>
  <c r="HR81" i="2"/>
  <c r="HR77" i="2"/>
  <c r="HR78" i="2"/>
  <c r="HR80" i="2"/>
  <c r="HR79" i="2"/>
  <c r="HR44" i="2"/>
  <c r="HR96" i="2"/>
  <c r="HR61" i="2"/>
  <c r="HR62" i="2"/>
  <c r="HR9" i="2"/>
  <c r="HR10" i="2"/>
  <c r="HR74" i="2"/>
  <c r="HR11" i="2"/>
  <c r="HR69" i="2"/>
  <c r="HR52" i="2"/>
  <c r="HR92" i="2"/>
  <c r="HR21" i="2"/>
  <c r="HR57" i="2"/>
  <c r="HR53" i="2"/>
  <c r="HR56" i="2"/>
  <c r="HR54" i="2"/>
  <c r="HR51" i="2"/>
  <c r="HR55" i="2"/>
  <c r="HR28" i="2"/>
  <c r="HR27" i="2"/>
  <c r="HR29" i="2"/>
  <c r="HR30" i="2"/>
  <c r="HR31" i="2"/>
  <c r="HR34" i="2"/>
  <c r="HR45" i="2"/>
  <c r="HR47" i="2"/>
  <c r="HR33" i="2"/>
  <c r="HR88" i="2"/>
  <c r="HR50" i="2"/>
  <c r="HR60" i="2"/>
  <c r="HR94" i="2"/>
  <c r="HR65" i="2"/>
  <c r="HR3" i="2"/>
  <c r="HR5" i="2"/>
  <c r="HR6" i="2"/>
  <c r="HR7" i="2"/>
  <c r="HR8" i="2"/>
  <c r="HR13" i="2"/>
  <c r="HR14" i="2"/>
  <c r="HR16" i="2"/>
  <c r="HR18" i="2"/>
  <c r="HR22" i="2"/>
  <c r="HR23" i="2"/>
  <c r="HR46" i="2"/>
  <c r="HR48" i="2"/>
  <c r="HR63" i="2"/>
  <c r="HR84" i="2"/>
  <c r="HR85" i="2"/>
  <c r="HR97" i="2"/>
  <c r="HR66" i="2"/>
  <c r="Q35" i="12"/>
  <c r="Q30" i="12"/>
  <c r="Q38" i="12"/>
  <c r="Q16" i="12"/>
  <c r="Q31" i="12"/>
  <c r="Q39" i="12"/>
  <c r="Q33" i="12"/>
  <c r="Q17" i="12"/>
  <c r="Q20" i="12"/>
  <c r="Q24" i="12"/>
  <c r="Q22" i="12"/>
  <c r="Q18" i="12"/>
  <c r="Q19" i="12"/>
  <c r="Q25" i="12"/>
  <c r="Q23" i="12"/>
  <c r="Q15" i="12"/>
  <c r="Q40" i="12"/>
  <c r="Q32" i="12"/>
  <c r="Q34" i="12"/>
  <c r="Q41" i="12"/>
  <c r="Q6" i="12"/>
  <c r="Q7" i="12"/>
  <c r="Q8" i="12"/>
  <c r="Q9" i="12"/>
  <c r="Q10" i="12"/>
  <c r="Q12" i="12"/>
  <c r="Q13" i="12"/>
  <c r="Q11" i="12"/>
  <c r="Q26" i="12"/>
  <c r="Q27" i="12"/>
  <c r="Q28" i="12"/>
  <c r="Q29" i="12"/>
  <c r="Q36" i="12"/>
  <c r="Q21" i="12"/>
  <c r="HR41" i="2" l="1"/>
  <c r="D94" i="8"/>
  <c r="D93" i="8"/>
  <c r="D95" i="8"/>
  <c r="D96" i="8"/>
  <c r="D97" i="8"/>
  <c r="D101" i="8"/>
  <c r="D98" i="8"/>
  <c r="D102" i="8"/>
  <c r="D99" i="8"/>
  <c r="D100" i="8"/>
  <c r="D92" i="8"/>
  <c r="E92" i="8" s="1"/>
  <c r="D120" i="8"/>
  <c r="S103" i="24"/>
  <c r="R103" i="24"/>
  <c r="Q103" i="24"/>
  <c r="P103" i="24"/>
  <c r="O103" i="24"/>
  <c r="N103" i="24"/>
  <c r="M103" i="24"/>
  <c r="L103" i="24"/>
  <c r="K103" i="24"/>
  <c r="J103" i="24"/>
  <c r="I103" i="24"/>
  <c r="H103" i="24"/>
  <c r="G103" i="24"/>
  <c r="F103" i="24"/>
  <c r="E103" i="24"/>
  <c r="D103" i="24"/>
  <c r="S102" i="24"/>
  <c r="R102" i="24"/>
  <c r="Q102" i="24"/>
  <c r="P102" i="24"/>
  <c r="O102" i="24"/>
  <c r="N102" i="24"/>
  <c r="M102" i="24"/>
  <c r="L102" i="24"/>
  <c r="K102" i="24"/>
  <c r="J102" i="24"/>
  <c r="I102" i="24"/>
  <c r="H102" i="24"/>
  <c r="G102" i="24"/>
  <c r="F102" i="24"/>
  <c r="E102" i="24"/>
  <c r="D102" i="24"/>
  <c r="S101" i="24"/>
  <c r="R101" i="24"/>
  <c r="Q101" i="24"/>
  <c r="P101" i="24"/>
  <c r="O101" i="24"/>
  <c r="N101" i="24"/>
  <c r="M101" i="24"/>
  <c r="L101" i="24"/>
  <c r="K101" i="24"/>
  <c r="J101" i="24"/>
  <c r="I101" i="24"/>
  <c r="H101" i="24"/>
  <c r="G101" i="24"/>
  <c r="F101" i="24"/>
  <c r="E101" i="24"/>
  <c r="D101" i="24"/>
  <c r="S100" i="24"/>
  <c r="R100" i="24"/>
  <c r="Q100" i="24"/>
  <c r="P100" i="24"/>
  <c r="O100" i="24"/>
  <c r="N100" i="24"/>
  <c r="M100" i="24"/>
  <c r="L100" i="24"/>
  <c r="K100" i="24"/>
  <c r="J100" i="24"/>
  <c r="I100" i="24"/>
  <c r="H100" i="24"/>
  <c r="G100" i="24"/>
  <c r="F100" i="24"/>
  <c r="E100" i="24"/>
  <c r="D100" i="24"/>
  <c r="S83" i="24"/>
  <c r="S84" i="24"/>
  <c r="S85" i="24"/>
  <c r="S86" i="24"/>
  <c r="S87" i="24"/>
  <c r="S88" i="24"/>
  <c r="S89" i="24"/>
  <c r="S90" i="24"/>
  <c r="S91" i="24"/>
  <c r="S92" i="24"/>
  <c r="S93" i="24"/>
  <c r="S122" i="24"/>
  <c r="R83" i="24"/>
  <c r="R84" i="24"/>
  <c r="R85" i="24"/>
  <c r="R86" i="24"/>
  <c r="R87" i="24"/>
  <c r="R88" i="24"/>
  <c r="R89" i="24"/>
  <c r="R90" i="24"/>
  <c r="R91" i="24"/>
  <c r="R92" i="24"/>
  <c r="R93" i="24"/>
  <c r="R124" i="24"/>
  <c r="Q83" i="24"/>
  <c r="Q84" i="24"/>
  <c r="Q85" i="24"/>
  <c r="Q86" i="24"/>
  <c r="Q87" i="24"/>
  <c r="Q88" i="24"/>
  <c r="Q89" i="24"/>
  <c r="Q90" i="24"/>
  <c r="Q91" i="24"/>
  <c r="Q92" i="24"/>
  <c r="Q93" i="24"/>
  <c r="Q122" i="24"/>
  <c r="P83" i="24"/>
  <c r="P84" i="24"/>
  <c r="P85" i="24"/>
  <c r="P86" i="24"/>
  <c r="P87" i="24"/>
  <c r="P88" i="24"/>
  <c r="P89" i="24"/>
  <c r="P90" i="24"/>
  <c r="P91" i="24"/>
  <c r="P92" i="24"/>
  <c r="P93" i="24"/>
  <c r="P123" i="24"/>
  <c r="O83" i="24"/>
  <c r="O84" i="24"/>
  <c r="O85" i="24"/>
  <c r="O86" i="24"/>
  <c r="O87" i="24"/>
  <c r="O88" i="24"/>
  <c r="O89" i="24"/>
  <c r="O90" i="24"/>
  <c r="O91" i="24"/>
  <c r="O92" i="24"/>
  <c r="O93" i="24"/>
  <c r="O124" i="24"/>
  <c r="N83" i="24"/>
  <c r="N84" i="24"/>
  <c r="N85" i="24"/>
  <c r="N86" i="24"/>
  <c r="N87" i="24"/>
  <c r="N88" i="24"/>
  <c r="N89" i="24"/>
  <c r="N90" i="24"/>
  <c r="N91" i="24"/>
  <c r="N92" i="24"/>
  <c r="N93" i="24"/>
  <c r="N121" i="24"/>
  <c r="M83" i="24"/>
  <c r="M84" i="24"/>
  <c r="M85" i="24"/>
  <c r="M86" i="24"/>
  <c r="M87" i="24"/>
  <c r="M88" i="24"/>
  <c r="M89" i="24"/>
  <c r="M90" i="24"/>
  <c r="M91" i="24"/>
  <c r="M92" i="24"/>
  <c r="M93" i="24"/>
  <c r="M125" i="24"/>
  <c r="L83" i="24"/>
  <c r="L84" i="24"/>
  <c r="L85" i="24"/>
  <c r="L86" i="24"/>
  <c r="L87" i="24"/>
  <c r="L88" i="24"/>
  <c r="L89" i="24"/>
  <c r="L90" i="24"/>
  <c r="L91" i="24"/>
  <c r="L92" i="24"/>
  <c r="L93" i="24"/>
  <c r="L124" i="24"/>
  <c r="K83" i="24"/>
  <c r="K84" i="24"/>
  <c r="K85" i="24"/>
  <c r="K86" i="24"/>
  <c r="K87" i="24"/>
  <c r="K88" i="24"/>
  <c r="K89" i="24"/>
  <c r="K90" i="24"/>
  <c r="K91" i="24"/>
  <c r="K92" i="24"/>
  <c r="K93" i="24"/>
  <c r="K122" i="24"/>
  <c r="J83" i="24"/>
  <c r="J84" i="24"/>
  <c r="J85" i="24"/>
  <c r="J86" i="24"/>
  <c r="J87" i="24"/>
  <c r="J88" i="24"/>
  <c r="J89" i="24"/>
  <c r="J90" i="24"/>
  <c r="J91" i="24"/>
  <c r="J92" i="24"/>
  <c r="J93" i="24"/>
  <c r="J124" i="24"/>
  <c r="I83" i="24"/>
  <c r="I84" i="24"/>
  <c r="I85" i="24"/>
  <c r="I86" i="24"/>
  <c r="I87" i="24"/>
  <c r="I88" i="24"/>
  <c r="I89" i="24"/>
  <c r="I90" i="24"/>
  <c r="I91" i="24"/>
  <c r="I92" i="24"/>
  <c r="I93" i="24"/>
  <c r="I124" i="24"/>
  <c r="H83" i="24"/>
  <c r="H84" i="24"/>
  <c r="H85" i="24"/>
  <c r="H86" i="24"/>
  <c r="H87" i="24"/>
  <c r="H88" i="24"/>
  <c r="H89" i="24"/>
  <c r="H90" i="24"/>
  <c r="H91" i="24"/>
  <c r="H92" i="24"/>
  <c r="H93" i="24"/>
  <c r="H124" i="24"/>
  <c r="G83" i="24"/>
  <c r="G84" i="24"/>
  <c r="G85" i="24"/>
  <c r="G86" i="24"/>
  <c r="G87" i="24"/>
  <c r="G88" i="24"/>
  <c r="G89" i="24"/>
  <c r="G90" i="24"/>
  <c r="G91" i="24"/>
  <c r="G92" i="24"/>
  <c r="G93" i="24"/>
  <c r="G124" i="24"/>
  <c r="F83" i="24"/>
  <c r="F84" i="24"/>
  <c r="F85" i="24"/>
  <c r="F86" i="24"/>
  <c r="F87" i="24"/>
  <c r="F88" i="24"/>
  <c r="F89" i="24"/>
  <c r="F90" i="24"/>
  <c r="F91" i="24"/>
  <c r="F92" i="24"/>
  <c r="F93" i="24"/>
  <c r="F120" i="24"/>
  <c r="E83" i="24"/>
  <c r="E84" i="24"/>
  <c r="E85" i="24"/>
  <c r="E86" i="24"/>
  <c r="E87" i="24"/>
  <c r="E88" i="24"/>
  <c r="E89" i="24"/>
  <c r="E90" i="24"/>
  <c r="E91" i="24"/>
  <c r="E92" i="24"/>
  <c r="E93" i="24"/>
  <c r="E125" i="24"/>
  <c r="D83" i="24"/>
  <c r="D84" i="24"/>
  <c r="D85" i="24"/>
  <c r="D86" i="24"/>
  <c r="D87" i="24"/>
  <c r="D88" i="24"/>
  <c r="D89" i="24"/>
  <c r="D90" i="24"/>
  <c r="D91" i="24"/>
  <c r="D92" i="24"/>
  <c r="D93" i="24"/>
  <c r="D124" i="24"/>
  <c r="L84" i="21"/>
  <c r="L85" i="21"/>
  <c r="L86" i="21"/>
  <c r="L87" i="21"/>
  <c r="L88" i="21"/>
  <c r="L89" i="21"/>
  <c r="L90" i="21"/>
  <c r="L91" i="21"/>
  <c r="L92" i="21"/>
  <c r="L93" i="21"/>
  <c r="L94" i="21"/>
  <c r="L101" i="21"/>
  <c r="L102" i="21"/>
  <c r="L103" i="21"/>
  <c r="L104" i="21"/>
  <c r="K84" i="21"/>
  <c r="K85" i="21"/>
  <c r="K86" i="21"/>
  <c r="K87" i="21"/>
  <c r="K88" i="21"/>
  <c r="K89" i="21"/>
  <c r="K90" i="21"/>
  <c r="K91" i="21"/>
  <c r="K92" i="21"/>
  <c r="K93" i="21"/>
  <c r="K94" i="21"/>
  <c r="K101" i="21"/>
  <c r="K102" i="21"/>
  <c r="K103" i="21"/>
  <c r="K104" i="21"/>
  <c r="K76" i="21"/>
  <c r="I84" i="21"/>
  <c r="I85" i="21"/>
  <c r="I86" i="21"/>
  <c r="I87" i="21"/>
  <c r="I88" i="21"/>
  <c r="I89" i="21"/>
  <c r="I90" i="21"/>
  <c r="I91" i="21"/>
  <c r="I92" i="21"/>
  <c r="I93" i="21"/>
  <c r="I94" i="21"/>
  <c r="I101" i="21"/>
  <c r="I102" i="21"/>
  <c r="I103" i="21"/>
  <c r="I104" i="21"/>
  <c r="I77" i="21"/>
  <c r="D84" i="21"/>
  <c r="D85" i="21"/>
  <c r="D86" i="21"/>
  <c r="D87" i="21"/>
  <c r="D88" i="21"/>
  <c r="D89" i="21"/>
  <c r="D90" i="21"/>
  <c r="D91" i="21"/>
  <c r="D92" i="21"/>
  <c r="D93" i="21"/>
  <c r="D94" i="21"/>
  <c r="D101" i="21"/>
  <c r="E84" i="21"/>
  <c r="E85" i="21"/>
  <c r="E86" i="21"/>
  <c r="E87" i="21"/>
  <c r="E88" i="21"/>
  <c r="E89" i="21"/>
  <c r="E90" i="21"/>
  <c r="E91" i="21"/>
  <c r="E92" i="21"/>
  <c r="E93" i="21"/>
  <c r="E94" i="21"/>
  <c r="E101" i="21"/>
  <c r="F84" i="21"/>
  <c r="F85" i="21"/>
  <c r="F86" i="21"/>
  <c r="F87" i="21"/>
  <c r="F88" i="21"/>
  <c r="F89" i="21"/>
  <c r="F90" i="21"/>
  <c r="F91" i="21"/>
  <c r="F92" i="21"/>
  <c r="F93" i="21"/>
  <c r="F94" i="21"/>
  <c r="F103" i="21"/>
  <c r="G84" i="21"/>
  <c r="G85" i="21"/>
  <c r="G86" i="21"/>
  <c r="G87" i="21"/>
  <c r="G88" i="21"/>
  <c r="G89" i="21"/>
  <c r="G90" i="21"/>
  <c r="G91" i="21"/>
  <c r="G92" i="21"/>
  <c r="G93" i="21"/>
  <c r="G94" i="21"/>
  <c r="G101" i="21"/>
  <c r="H84" i="21"/>
  <c r="H85" i="21"/>
  <c r="H86" i="21"/>
  <c r="H87" i="21"/>
  <c r="H88" i="21"/>
  <c r="H89" i="21"/>
  <c r="H90" i="21"/>
  <c r="H91" i="21"/>
  <c r="H92" i="21"/>
  <c r="H93" i="21"/>
  <c r="H94" i="21"/>
  <c r="H101" i="21"/>
  <c r="H102" i="21"/>
  <c r="H103" i="21"/>
  <c r="H104" i="21"/>
  <c r="H68" i="21"/>
  <c r="G102" i="21"/>
  <c r="G103" i="21"/>
  <c r="G104" i="21"/>
  <c r="G71" i="21"/>
  <c r="F101" i="21"/>
  <c r="F102" i="21"/>
  <c r="F104" i="21"/>
  <c r="F74" i="21"/>
  <c r="E102" i="21"/>
  <c r="E103" i="21"/>
  <c r="E104" i="21"/>
  <c r="E69" i="21"/>
  <c r="D102" i="21"/>
  <c r="D103" i="21"/>
  <c r="D104" i="21"/>
  <c r="D73" i="21"/>
  <c r="J105" i="11"/>
  <c r="J106" i="11"/>
  <c r="J107" i="11"/>
  <c r="J108" i="11"/>
  <c r="I105" i="11"/>
  <c r="I106" i="11"/>
  <c r="I107" i="11"/>
  <c r="I108" i="11"/>
  <c r="I74" i="11"/>
  <c r="H105" i="11"/>
  <c r="H106" i="11"/>
  <c r="H107" i="11"/>
  <c r="H108" i="11"/>
  <c r="H72" i="11"/>
  <c r="F105" i="11"/>
  <c r="F106" i="11"/>
  <c r="F107" i="11"/>
  <c r="F108" i="11"/>
  <c r="F78" i="11"/>
  <c r="E105" i="11"/>
  <c r="E106" i="11"/>
  <c r="E107" i="11"/>
  <c r="E108" i="11"/>
  <c r="E77" i="11"/>
  <c r="D105" i="11"/>
  <c r="D106" i="11"/>
  <c r="D107" i="11"/>
  <c r="D108" i="11"/>
  <c r="D71" i="11"/>
  <c r="J91" i="11"/>
  <c r="J93" i="11"/>
  <c r="J92" i="11"/>
  <c r="J94" i="11"/>
  <c r="J95" i="11"/>
  <c r="J96" i="11"/>
  <c r="J97" i="11"/>
  <c r="J90" i="11"/>
  <c r="J89" i="11"/>
  <c r="J87" i="11"/>
  <c r="J88" i="11"/>
  <c r="J132" i="11"/>
  <c r="I91" i="11"/>
  <c r="I130" i="11"/>
  <c r="I131" i="11"/>
  <c r="I132" i="11"/>
  <c r="I93" i="11"/>
  <c r="I92" i="11"/>
  <c r="I94" i="11"/>
  <c r="I95" i="11"/>
  <c r="I96" i="11"/>
  <c r="I97" i="11"/>
  <c r="I90" i="11"/>
  <c r="I89" i="11"/>
  <c r="I87" i="11"/>
  <c r="I88" i="11"/>
  <c r="I116" i="11"/>
  <c r="I117" i="11"/>
  <c r="I118" i="11"/>
  <c r="I119" i="11"/>
  <c r="I120" i="11"/>
  <c r="I121" i="11"/>
  <c r="I122" i="11"/>
  <c r="I123" i="11"/>
  <c r="I124" i="11"/>
  <c r="I125" i="11"/>
  <c r="I126" i="11"/>
  <c r="I127" i="11"/>
  <c r="I128" i="11"/>
  <c r="I129" i="11"/>
  <c r="H91" i="11"/>
  <c r="H93" i="11"/>
  <c r="H92" i="11"/>
  <c r="H94" i="11"/>
  <c r="H95" i="11"/>
  <c r="H96" i="11"/>
  <c r="H97" i="11"/>
  <c r="H90" i="11"/>
  <c r="H89" i="11"/>
  <c r="H87" i="11"/>
  <c r="H88" i="11"/>
  <c r="H129" i="11"/>
  <c r="F91" i="11"/>
  <c r="F93" i="11"/>
  <c r="F92" i="11"/>
  <c r="F94" i="11"/>
  <c r="F95" i="11"/>
  <c r="F96" i="11"/>
  <c r="F97" i="11"/>
  <c r="F90" i="11"/>
  <c r="F89" i="11"/>
  <c r="F87" i="11"/>
  <c r="F88" i="11"/>
  <c r="F131" i="11"/>
  <c r="E91" i="11"/>
  <c r="E93" i="11"/>
  <c r="E92" i="11"/>
  <c r="E94" i="11"/>
  <c r="E95" i="11"/>
  <c r="E96" i="11"/>
  <c r="E97" i="11"/>
  <c r="E90" i="11"/>
  <c r="E89" i="11"/>
  <c r="E87" i="11"/>
  <c r="E88" i="11"/>
  <c r="E129" i="11"/>
  <c r="D91" i="11"/>
  <c r="D93" i="11"/>
  <c r="D92" i="11"/>
  <c r="D94" i="11"/>
  <c r="D95" i="11"/>
  <c r="D96" i="11"/>
  <c r="D97" i="11"/>
  <c r="D90" i="11"/>
  <c r="D89" i="11"/>
  <c r="D87" i="11"/>
  <c r="D88" i="11"/>
  <c r="D116" i="11"/>
  <c r="G97" i="11" l="1"/>
  <c r="D103" i="8"/>
  <c r="J89" i="21"/>
  <c r="J104" i="21"/>
  <c r="J86" i="21"/>
  <c r="J84" i="21"/>
  <c r="J101" i="21"/>
  <c r="J87" i="21"/>
  <c r="J103" i="21"/>
  <c r="J93" i="21"/>
  <c r="J85" i="21"/>
  <c r="J91" i="21"/>
  <c r="J90" i="21"/>
  <c r="J94" i="21"/>
  <c r="J102" i="21"/>
  <c r="J88" i="21"/>
  <c r="J92" i="21"/>
  <c r="H95" i="21"/>
  <c r="F95" i="21"/>
  <c r="E95" i="21"/>
  <c r="D95" i="21"/>
  <c r="H105" i="21"/>
  <c r="G105" i="21"/>
  <c r="E105" i="21"/>
  <c r="D105" i="21"/>
  <c r="K105" i="21"/>
  <c r="L95" i="21"/>
  <c r="I105" i="21"/>
  <c r="L105" i="21"/>
  <c r="G95" i="21"/>
  <c r="I95" i="21"/>
  <c r="K95" i="21"/>
  <c r="E104" i="24"/>
  <c r="Q104" i="24"/>
  <c r="I104" i="24"/>
  <c r="O104" i="24"/>
  <c r="F104" i="24"/>
  <c r="R104" i="24"/>
  <c r="J104" i="24"/>
  <c r="M104" i="24"/>
  <c r="N104" i="24"/>
  <c r="D104" i="24"/>
  <c r="P104" i="24"/>
  <c r="L104" i="24"/>
  <c r="G104" i="24"/>
  <c r="S104" i="24"/>
  <c r="K104" i="24"/>
  <c r="H104" i="24"/>
  <c r="J94" i="24"/>
  <c r="K94" i="24"/>
  <c r="O94" i="24"/>
  <c r="F94" i="24"/>
  <c r="P94" i="24"/>
  <c r="S94" i="24"/>
  <c r="L94" i="24"/>
  <c r="E94" i="24"/>
  <c r="H94" i="24"/>
  <c r="I94" i="24"/>
  <c r="D94" i="24"/>
  <c r="G94" i="24"/>
  <c r="M94" i="24"/>
  <c r="N94" i="24"/>
  <c r="Q94" i="24"/>
  <c r="R94" i="24"/>
  <c r="F105" i="21"/>
  <c r="G108" i="11"/>
  <c r="G105" i="11"/>
  <c r="G107" i="11"/>
  <c r="G106" i="11"/>
  <c r="F109" i="11"/>
  <c r="J109" i="11"/>
  <c r="K106" i="11"/>
  <c r="K105" i="11"/>
  <c r="K108" i="11"/>
  <c r="K107" i="11"/>
  <c r="E109" i="11"/>
  <c r="D109" i="11"/>
  <c r="I109" i="11"/>
  <c r="H109" i="11"/>
  <c r="G96" i="11"/>
  <c r="I133" i="11"/>
  <c r="K96" i="11"/>
  <c r="G90" i="11"/>
  <c r="K92" i="11"/>
  <c r="K93" i="11"/>
  <c r="K94" i="11"/>
  <c r="G89" i="11"/>
  <c r="K87" i="11"/>
  <c r="G92" i="11"/>
  <c r="G91" i="11"/>
  <c r="K95" i="11"/>
  <c r="G95" i="11"/>
  <c r="G87" i="11"/>
  <c r="K97" i="11"/>
  <c r="K88" i="11"/>
  <c r="F98" i="11"/>
  <c r="G94" i="11"/>
  <c r="K90" i="11"/>
  <c r="G88" i="11"/>
  <c r="K89" i="11"/>
  <c r="G93" i="11"/>
  <c r="I98" i="11"/>
  <c r="J98" i="11"/>
  <c r="D98" i="11"/>
  <c r="K91" i="11"/>
  <c r="H98" i="11"/>
  <c r="E98" i="11"/>
  <c r="L97" i="11" l="1"/>
  <c r="J105" i="21"/>
  <c r="J95" i="21"/>
  <c r="G109" i="11"/>
  <c r="L108" i="11"/>
  <c r="L107" i="11"/>
  <c r="L106" i="11"/>
  <c r="K109" i="11"/>
  <c r="L105" i="11"/>
  <c r="L96" i="11"/>
  <c r="L94" i="11"/>
  <c r="L93" i="11"/>
  <c r="L92" i="11"/>
  <c r="L90" i="11"/>
  <c r="L95" i="11"/>
  <c r="L87" i="11"/>
  <c r="L89" i="11"/>
  <c r="L91" i="11"/>
  <c r="G98" i="11"/>
  <c r="L88" i="11"/>
  <c r="K98" i="11"/>
  <c r="L109" i="11" l="1"/>
  <c r="L98" i="11"/>
  <c r="K138" i="16" l="1"/>
  <c r="HL41" i="2" l="1"/>
  <c r="HL88" i="2"/>
  <c r="HL50" i="2"/>
  <c r="HL60" i="2"/>
  <c r="HL94" i="2"/>
  <c r="HL65" i="2"/>
  <c r="HM41" i="2"/>
  <c r="HM88" i="2"/>
  <c r="HM50" i="2"/>
  <c r="HM60" i="2"/>
  <c r="HM94" i="2"/>
  <c r="HM65" i="2"/>
  <c r="HN41" i="2"/>
  <c r="HN88" i="2"/>
  <c r="HN50" i="2"/>
  <c r="HN60" i="2"/>
  <c r="HN94" i="2"/>
  <c r="HN65" i="2"/>
  <c r="HO41" i="2"/>
  <c r="HO88" i="2"/>
  <c r="HO50" i="2"/>
  <c r="HO60" i="2"/>
  <c r="HO94" i="2"/>
  <c r="HO65" i="2"/>
  <c r="HP41" i="2"/>
  <c r="HP88" i="2"/>
  <c r="HP50" i="2"/>
  <c r="HP60" i="2"/>
  <c r="HP94" i="2"/>
  <c r="HP65" i="2"/>
  <c r="HQ41" i="2"/>
  <c r="HQ88" i="2"/>
  <c r="HQ50" i="2"/>
  <c r="HQ60" i="2"/>
  <c r="HQ94" i="2"/>
  <c r="HQ65" i="2"/>
  <c r="HL91" i="2"/>
  <c r="HM91" i="2"/>
  <c r="HN91" i="2"/>
  <c r="HO91" i="2"/>
  <c r="HP91" i="2"/>
  <c r="HQ91" i="2"/>
  <c r="HL73" i="2"/>
  <c r="HM73" i="2"/>
  <c r="HN73" i="2"/>
  <c r="HO73" i="2"/>
  <c r="HP73" i="2"/>
  <c r="HQ73" i="2"/>
  <c r="HL68" i="2"/>
  <c r="HM68" i="2"/>
  <c r="HN68" i="2"/>
  <c r="HO68" i="2"/>
  <c r="HP68" i="2"/>
  <c r="HQ68" i="2"/>
  <c r="G53" i="7"/>
  <c r="F53" i="7"/>
  <c r="E53" i="7"/>
  <c r="D53" i="7"/>
  <c r="S110" i="24" l="1"/>
  <c r="S111" i="24"/>
  <c r="S112" i="24"/>
  <c r="S113" i="24"/>
  <c r="S114" i="24"/>
  <c r="S115" i="24"/>
  <c r="S116" i="24"/>
  <c r="S117" i="24"/>
  <c r="S118" i="24"/>
  <c r="S119" i="24"/>
  <c r="S120" i="24"/>
  <c r="S121" i="24"/>
  <c r="S123" i="24"/>
  <c r="S124" i="24"/>
  <c r="S125" i="24"/>
  <c r="S126" i="24"/>
  <c r="S71" i="24"/>
  <c r="R110" i="24"/>
  <c r="R111" i="24"/>
  <c r="R112" i="24"/>
  <c r="R113" i="24"/>
  <c r="R114" i="24"/>
  <c r="R115" i="24"/>
  <c r="R116" i="24"/>
  <c r="R117" i="24"/>
  <c r="R118" i="24"/>
  <c r="R119" i="24"/>
  <c r="R120" i="24"/>
  <c r="R121" i="24"/>
  <c r="R122" i="24"/>
  <c r="R123" i="24"/>
  <c r="R125" i="24"/>
  <c r="R126" i="24"/>
  <c r="R71" i="24"/>
  <c r="Q110" i="24"/>
  <c r="Q111" i="24"/>
  <c r="Q112" i="24"/>
  <c r="Q113" i="24"/>
  <c r="Q114" i="24"/>
  <c r="Q115" i="24"/>
  <c r="Q116" i="24"/>
  <c r="Q117" i="24"/>
  <c r="Q118" i="24"/>
  <c r="Q119" i="24"/>
  <c r="Q120" i="24"/>
  <c r="Q121" i="24"/>
  <c r="Q123" i="24"/>
  <c r="Q124" i="24"/>
  <c r="Q125" i="24"/>
  <c r="Q126" i="24"/>
  <c r="Q68" i="24"/>
  <c r="P110" i="24"/>
  <c r="P111" i="24"/>
  <c r="P112" i="24"/>
  <c r="P113" i="24"/>
  <c r="P114" i="24"/>
  <c r="P115" i="24"/>
  <c r="P116" i="24"/>
  <c r="P117" i="24"/>
  <c r="P118" i="24"/>
  <c r="P119" i="24"/>
  <c r="P120" i="24"/>
  <c r="P121" i="24"/>
  <c r="P122" i="24"/>
  <c r="P124" i="24"/>
  <c r="P125" i="24"/>
  <c r="P126" i="24"/>
  <c r="P63" i="24"/>
  <c r="O110" i="24"/>
  <c r="O111" i="24"/>
  <c r="O112" i="24"/>
  <c r="O113" i="24"/>
  <c r="O114" i="24"/>
  <c r="O115" i="24"/>
  <c r="O116" i="24"/>
  <c r="O117" i="24"/>
  <c r="O118" i="24"/>
  <c r="O119" i="24"/>
  <c r="O120" i="24"/>
  <c r="O121" i="24"/>
  <c r="O122" i="24"/>
  <c r="O123" i="24"/>
  <c r="O125" i="24"/>
  <c r="O126" i="24"/>
  <c r="O69" i="24"/>
  <c r="N110" i="24"/>
  <c r="N111" i="24"/>
  <c r="N112" i="24"/>
  <c r="N113" i="24"/>
  <c r="N114" i="24"/>
  <c r="N115" i="24"/>
  <c r="N116" i="24"/>
  <c r="N117" i="24"/>
  <c r="N118" i="24"/>
  <c r="N119" i="24"/>
  <c r="N120" i="24"/>
  <c r="N122" i="24"/>
  <c r="N123" i="24"/>
  <c r="N124" i="24"/>
  <c r="N125" i="24"/>
  <c r="N126" i="24"/>
  <c r="N70" i="24"/>
  <c r="M110" i="24"/>
  <c r="M111" i="24"/>
  <c r="M112" i="24"/>
  <c r="M113" i="24"/>
  <c r="M114" i="24"/>
  <c r="M115" i="24"/>
  <c r="M116" i="24"/>
  <c r="M117" i="24"/>
  <c r="M118" i="24"/>
  <c r="M119" i="24"/>
  <c r="M120" i="24"/>
  <c r="M121" i="24"/>
  <c r="M122" i="24"/>
  <c r="M123" i="24"/>
  <c r="M124" i="24"/>
  <c r="M126" i="24"/>
  <c r="M73" i="24"/>
  <c r="L110" i="24"/>
  <c r="L111" i="24"/>
  <c r="L112" i="24"/>
  <c r="L113" i="24"/>
  <c r="L114" i="24"/>
  <c r="L115" i="24"/>
  <c r="L116" i="24"/>
  <c r="L117" i="24"/>
  <c r="L118" i="24"/>
  <c r="L119" i="24"/>
  <c r="L120" i="24"/>
  <c r="L121" i="24"/>
  <c r="L122" i="24"/>
  <c r="L123" i="24"/>
  <c r="L125" i="24"/>
  <c r="L126" i="24"/>
  <c r="L64" i="24"/>
  <c r="K110" i="24"/>
  <c r="K111" i="24"/>
  <c r="K112" i="24"/>
  <c r="K113" i="24"/>
  <c r="K114" i="24"/>
  <c r="K115" i="24"/>
  <c r="K116" i="24"/>
  <c r="K117" i="24"/>
  <c r="K118" i="24"/>
  <c r="K119" i="24"/>
  <c r="K120" i="24"/>
  <c r="K121" i="24"/>
  <c r="K123" i="24"/>
  <c r="K124" i="24"/>
  <c r="K125" i="24"/>
  <c r="K126" i="24"/>
  <c r="K76" i="24"/>
  <c r="J110" i="24"/>
  <c r="J111" i="24"/>
  <c r="J112" i="24"/>
  <c r="J113" i="24"/>
  <c r="J114" i="24"/>
  <c r="J115" i="24"/>
  <c r="J116" i="24"/>
  <c r="J117" i="24"/>
  <c r="J118" i="24"/>
  <c r="J119" i="24"/>
  <c r="J120" i="24"/>
  <c r="J121" i="24"/>
  <c r="J122" i="24"/>
  <c r="J123" i="24"/>
  <c r="J125" i="24"/>
  <c r="J126" i="24"/>
  <c r="J73" i="24"/>
  <c r="I110" i="24"/>
  <c r="I111" i="24"/>
  <c r="I112" i="24"/>
  <c r="I113" i="24"/>
  <c r="I114" i="24"/>
  <c r="I115" i="24"/>
  <c r="I116" i="24"/>
  <c r="I117" i="24"/>
  <c r="I118" i="24"/>
  <c r="I119" i="24"/>
  <c r="I120" i="24"/>
  <c r="I121" i="24"/>
  <c r="I122" i="24"/>
  <c r="I123" i="24"/>
  <c r="I125" i="24"/>
  <c r="I126" i="24"/>
  <c r="H110" i="24"/>
  <c r="H111" i="24"/>
  <c r="H112" i="24"/>
  <c r="H113" i="24"/>
  <c r="H114" i="24"/>
  <c r="H115" i="24"/>
  <c r="H116" i="24"/>
  <c r="H117" i="24"/>
  <c r="H118" i="24"/>
  <c r="H119" i="24"/>
  <c r="H120" i="24"/>
  <c r="H121" i="24"/>
  <c r="H122" i="24"/>
  <c r="H123" i="24"/>
  <c r="H125" i="24"/>
  <c r="H126" i="24"/>
  <c r="H72" i="24"/>
  <c r="G110" i="24"/>
  <c r="G111" i="24"/>
  <c r="G112" i="24"/>
  <c r="G113" i="24"/>
  <c r="G114" i="24"/>
  <c r="G115" i="24"/>
  <c r="G116" i="24"/>
  <c r="G117" i="24"/>
  <c r="G118" i="24"/>
  <c r="G119" i="24"/>
  <c r="G120" i="24"/>
  <c r="G121" i="24"/>
  <c r="G122" i="24"/>
  <c r="G123" i="24"/>
  <c r="G125" i="24"/>
  <c r="G126" i="24"/>
  <c r="G72" i="24"/>
  <c r="F110" i="24"/>
  <c r="F111" i="24"/>
  <c r="F112" i="24"/>
  <c r="F113" i="24"/>
  <c r="F114" i="24"/>
  <c r="F115" i="24"/>
  <c r="F116" i="24"/>
  <c r="F117" i="24"/>
  <c r="F118" i="24"/>
  <c r="F119" i="24"/>
  <c r="F121" i="24"/>
  <c r="F122" i="24"/>
  <c r="F123" i="24"/>
  <c r="F124" i="24"/>
  <c r="F125" i="24"/>
  <c r="F126" i="24"/>
  <c r="F41" i="24"/>
  <c r="F42" i="24"/>
  <c r="F43" i="24"/>
  <c r="F44" i="24"/>
  <c r="F45" i="24"/>
  <c r="F46" i="24"/>
  <c r="F47" i="24"/>
  <c r="F48" i="24"/>
  <c r="F50" i="24"/>
  <c r="F51" i="24"/>
  <c r="F52" i="24"/>
  <c r="F53" i="24"/>
  <c r="F54" i="24"/>
  <c r="F55" i="24"/>
  <c r="F56" i="24"/>
  <c r="F57" i="24"/>
  <c r="F58" i="24"/>
  <c r="F59" i="24"/>
  <c r="F60" i="24"/>
  <c r="F61" i="24"/>
  <c r="F62" i="24"/>
  <c r="F63" i="24"/>
  <c r="F64" i="24"/>
  <c r="F65" i="24"/>
  <c r="F66" i="24"/>
  <c r="F67" i="24"/>
  <c r="F68" i="24"/>
  <c r="F69" i="24"/>
  <c r="F70" i="24"/>
  <c r="F71" i="24"/>
  <c r="F72" i="24"/>
  <c r="F73" i="24"/>
  <c r="F74" i="24"/>
  <c r="F75" i="24"/>
  <c r="F76" i="24"/>
  <c r="F26" i="24"/>
  <c r="F27" i="24"/>
  <c r="F28" i="24"/>
  <c r="F29" i="24"/>
  <c r="F30" i="24"/>
  <c r="F31" i="24"/>
  <c r="F32" i="24"/>
  <c r="F33" i="24"/>
  <c r="F34" i="24"/>
  <c r="F6" i="24"/>
  <c r="F7" i="24"/>
  <c r="F8" i="24"/>
  <c r="F9" i="24"/>
  <c r="F10" i="24"/>
  <c r="F11" i="24"/>
  <c r="F12" i="24"/>
  <c r="F13" i="24"/>
  <c r="F14" i="24"/>
  <c r="F15" i="24"/>
  <c r="F16" i="24"/>
  <c r="F17" i="24"/>
  <c r="F18" i="24"/>
  <c r="F19" i="24"/>
  <c r="G6" i="24"/>
  <c r="G7" i="24"/>
  <c r="G8" i="24"/>
  <c r="G9" i="24"/>
  <c r="G10" i="24"/>
  <c r="G11" i="24"/>
  <c r="G12" i="24"/>
  <c r="G13" i="24"/>
  <c r="G14" i="24"/>
  <c r="G15" i="24"/>
  <c r="G16" i="24"/>
  <c r="G17" i="24"/>
  <c r="G18" i="24"/>
  <c r="G19" i="24"/>
  <c r="G26" i="24"/>
  <c r="G27" i="24"/>
  <c r="G28" i="24"/>
  <c r="G29" i="24"/>
  <c r="G30" i="24"/>
  <c r="G31" i="24"/>
  <c r="G32" i="24"/>
  <c r="G33" i="24"/>
  <c r="G34" i="24"/>
  <c r="G41" i="24"/>
  <c r="G42" i="24"/>
  <c r="G43" i="24"/>
  <c r="G44" i="24"/>
  <c r="G45" i="24"/>
  <c r="G46" i="24"/>
  <c r="G47" i="24"/>
  <c r="G48" i="24"/>
  <c r="G50" i="24"/>
  <c r="G51" i="24"/>
  <c r="G52" i="24"/>
  <c r="G53" i="24"/>
  <c r="G54" i="24"/>
  <c r="G55" i="24"/>
  <c r="G56" i="24"/>
  <c r="G57" i="24"/>
  <c r="G58" i="24"/>
  <c r="G59" i="24"/>
  <c r="G60" i="24"/>
  <c r="G61" i="24"/>
  <c r="G62" i="24"/>
  <c r="G63" i="24"/>
  <c r="G64" i="24"/>
  <c r="G65" i="24"/>
  <c r="G66" i="24"/>
  <c r="G67" i="24"/>
  <c r="G68" i="24"/>
  <c r="G69" i="24"/>
  <c r="G70" i="24"/>
  <c r="G71" i="24"/>
  <c r="G73" i="24"/>
  <c r="G74" i="24"/>
  <c r="G75" i="24"/>
  <c r="G76" i="24"/>
  <c r="H41" i="24"/>
  <c r="H42" i="24"/>
  <c r="H43" i="24"/>
  <c r="H44" i="24"/>
  <c r="H45" i="24"/>
  <c r="H46" i="24"/>
  <c r="H47" i="24"/>
  <c r="H48" i="24"/>
  <c r="H50" i="24"/>
  <c r="H51" i="24"/>
  <c r="H52" i="24"/>
  <c r="H53" i="24"/>
  <c r="H54" i="24"/>
  <c r="H55" i="24"/>
  <c r="H56" i="24"/>
  <c r="H57" i="24"/>
  <c r="H58" i="24"/>
  <c r="H59" i="24"/>
  <c r="H60" i="24"/>
  <c r="H61" i="24"/>
  <c r="H62" i="24"/>
  <c r="H63" i="24"/>
  <c r="H64" i="24"/>
  <c r="H65" i="24"/>
  <c r="H66" i="24"/>
  <c r="H67" i="24"/>
  <c r="H68" i="24"/>
  <c r="H69" i="24"/>
  <c r="H70" i="24"/>
  <c r="H71" i="24"/>
  <c r="H73" i="24"/>
  <c r="H74" i="24"/>
  <c r="H75" i="24"/>
  <c r="H76" i="24"/>
  <c r="H26" i="24"/>
  <c r="H27" i="24"/>
  <c r="H28" i="24"/>
  <c r="H29" i="24"/>
  <c r="H30" i="24"/>
  <c r="H31" i="24"/>
  <c r="H32" i="24"/>
  <c r="H33" i="24"/>
  <c r="H34" i="24"/>
  <c r="H6" i="24"/>
  <c r="H7" i="24"/>
  <c r="H8" i="24"/>
  <c r="H9" i="24"/>
  <c r="H10" i="24"/>
  <c r="H11" i="24"/>
  <c r="H12" i="24"/>
  <c r="H13" i="24"/>
  <c r="H14" i="24"/>
  <c r="H15" i="24"/>
  <c r="H16" i="24"/>
  <c r="H17" i="24"/>
  <c r="H18" i="24"/>
  <c r="H19" i="24"/>
  <c r="I6" i="24"/>
  <c r="I7" i="24"/>
  <c r="I8" i="24"/>
  <c r="I9" i="24"/>
  <c r="I10" i="24"/>
  <c r="I11" i="24"/>
  <c r="I12" i="24"/>
  <c r="I13" i="24"/>
  <c r="I14" i="24"/>
  <c r="I15" i="24"/>
  <c r="I16" i="24"/>
  <c r="I17" i="24"/>
  <c r="I18" i="24"/>
  <c r="I19" i="24"/>
  <c r="I26" i="24"/>
  <c r="I27" i="24"/>
  <c r="I28" i="24"/>
  <c r="I29" i="24"/>
  <c r="I30" i="24"/>
  <c r="I31" i="24"/>
  <c r="I32" i="24"/>
  <c r="I33" i="24"/>
  <c r="I34" i="24"/>
  <c r="I41" i="24"/>
  <c r="I42" i="24"/>
  <c r="I43" i="24"/>
  <c r="I44" i="24"/>
  <c r="I45" i="24"/>
  <c r="I46" i="24"/>
  <c r="I47" i="24"/>
  <c r="I48" i="24"/>
  <c r="I50" i="24"/>
  <c r="I51" i="24"/>
  <c r="I52" i="24"/>
  <c r="I53" i="24"/>
  <c r="I54" i="24"/>
  <c r="I55" i="24"/>
  <c r="I56" i="24"/>
  <c r="I57" i="24"/>
  <c r="I58" i="24"/>
  <c r="I59" i="24"/>
  <c r="I60" i="24"/>
  <c r="I61" i="24"/>
  <c r="I62" i="24"/>
  <c r="I63" i="24"/>
  <c r="I64" i="24"/>
  <c r="I65" i="24"/>
  <c r="I66" i="24"/>
  <c r="I67" i="24"/>
  <c r="I68" i="24"/>
  <c r="I69" i="24"/>
  <c r="I70" i="24"/>
  <c r="I71" i="24"/>
  <c r="I72" i="24"/>
  <c r="I73" i="24"/>
  <c r="I74" i="24"/>
  <c r="I75" i="24"/>
  <c r="I76" i="24"/>
  <c r="J41" i="24"/>
  <c r="J42" i="24"/>
  <c r="J43" i="24"/>
  <c r="J44" i="24"/>
  <c r="J45" i="24"/>
  <c r="J46" i="24"/>
  <c r="J47" i="24"/>
  <c r="J50" i="24"/>
  <c r="J51" i="24"/>
  <c r="J52" i="24"/>
  <c r="J53" i="24"/>
  <c r="J54" i="24"/>
  <c r="J55" i="24"/>
  <c r="J56" i="24"/>
  <c r="J57" i="24"/>
  <c r="J58" i="24"/>
  <c r="J59" i="24"/>
  <c r="J60" i="24"/>
  <c r="J61" i="24"/>
  <c r="J62" i="24"/>
  <c r="J63" i="24"/>
  <c r="J64" i="24"/>
  <c r="J65" i="24"/>
  <c r="J66" i="24"/>
  <c r="J67" i="24"/>
  <c r="J68" i="24"/>
  <c r="J69" i="24"/>
  <c r="J70" i="24"/>
  <c r="J71" i="24"/>
  <c r="J72" i="24"/>
  <c r="J74" i="24"/>
  <c r="J75" i="24"/>
  <c r="J76" i="24"/>
  <c r="J26" i="24"/>
  <c r="J27" i="24"/>
  <c r="J28" i="24"/>
  <c r="J29" i="24"/>
  <c r="J30" i="24"/>
  <c r="J31" i="24"/>
  <c r="J32" i="24"/>
  <c r="J33" i="24"/>
  <c r="J34" i="24"/>
  <c r="J6" i="24"/>
  <c r="J7" i="24"/>
  <c r="J8" i="24"/>
  <c r="J9" i="24"/>
  <c r="J10" i="24"/>
  <c r="J11" i="24"/>
  <c r="J12" i="24"/>
  <c r="J13" i="24"/>
  <c r="J14" i="24"/>
  <c r="J15" i="24"/>
  <c r="J16" i="24"/>
  <c r="J17" i="24"/>
  <c r="J18" i="24"/>
  <c r="J19" i="24"/>
  <c r="K6" i="24"/>
  <c r="K7" i="24"/>
  <c r="K8" i="24"/>
  <c r="K9" i="24"/>
  <c r="K10" i="24"/>
  <c r="K11" i="24"/>
  <c r="K12" i="24"/>
  <c r="K13" i="24"/>
  <c r="K14" i="24"/>
  <c r="K15" i="24"/>
  <c r="K16" i="24"/>
  <c r="K17" i="24"/>
  <c r="K18" i="24"/>
  <c r="K19" i="24"/>
  <c r="K26" i="24"/>
  <c r="K27" i="24"/>
  <c r="K28" i="24"/>
  <c r="K29" i="24"/>
  <c r="K30" i="24"/>
  <c r="K31" i="24"/>
  <c r="K32" i="24"/>
  <c r="K33" i="24"/>
  <c r="K34" i="24"/>
  <c r="K41" i="24"/>
  <c r="K42" i="24"/>
  <c r="K43" i="24"/>
  <c r="K44" i="24"/>
  <c r="K45" i="24"/>
  <c r="K46" i="24"/>
  <c r="K47" i="24"/>
  <c r="K48" i="24"/>
  <c r="K50" i="24"/>
  <c r="K51" i="24"/>
  <c r="K52" i="24"/>
  <c r="K53" i="24"/>
  <c r="K54" i="24"/>
  <c r="K55" i="24"/>
  <c r="K56" i="24"/>
  <c r="K57" i="24"/>
  <c r="K58" i="24"/>
  <c r="K59" i="24"/>
  <c r="K60" i="24"/>
  <c r="K61" i="24"/>
  <c r="K62" i="24"/>
  <c r="K63" i="24"/>
  <c r="K64" i="24"/>
  <c r="K65" i="24"/>
  <c r="K66" i="24"/>
  <c r="K67" i="24"/>
  <c r="K68" i="24"/>
  <c r="K69" i="24"/>
  <c r="K70" i="24"/>
  <c r="K71" i="24"/>
  <c r="K72" i="24"/>
  <c r="K73" i="24"/>
  <c r="K74" i="24"/>
  <c r="K75" i="24"/>
  <c r="L41" i="24"/>
  <c r="L42" i="24"/>
  <c r="L43" i="24"/>
  <c r="L44" i="24"/>
  <c r="L45" i="24"/>
  <c r="L46" i="24"/>
  <c r="L47" i="24"/>
  <c r="L48" i="24"/>
  <c r="L50" i="24"/>
  <c r="L51" i="24"/>
  <c r="L52" i="24"/>
  <c r="L53" i="24"/>
  <c r="L54" i="24"/>
  <c r="L55" i="24"/>
  <c r="L56" i="24"/>
  <c r="L57" i="24"/>
  <c r="L58" i="24"/>
  <c r="L59" i="24"/>
  <c r="L60" i="24"/>
  <c r="L61" i="24"/>
  <c r="L62" i="24"/>
  <c r="L63" i="24"/>
  <c r="L65" i="24"/>
  <c r="L66" i="24"/>
  <c r="L67" i="24"/>
  <c r="L68" i="24"/>
  <c r="L69" i="24"/>
  <c r="L70" i="24"/>
  <c r="L71" i="24"/>
  <c r="L72" i="24"/>
  <c r="L73" i="24"/>
  <c r="L74" i="24"/>
  <c r="L75" i="24"/>
  <c r="L76" i="24"/>
  <c r="L26" i="24"/>
  <c r="L27" i="24"/>
  <c r="L28" i="24"/>
  <c r="L29" i="24"/>
  <c r="L30" i="24"/>
  <c r="L31" i="24"/>
  <c r="L32" i="24"/>
  <c r="L33" i="24"/>
  <c r="L34" i="24"/>
  <c r="L6" i="24"/>
  <c r="L7" i="24"/>
  <c r="L8" i="24"/>
  <c r="L9" i="24"/>
  <c r="L10" i="24"/>
  <c r="L11" i="24"/>
  <c r="L12" i="24"/>
  <c r="L13" i="24"/>
  <c r="L14" i="24"/>
  <c r="L15" i="24"/>
  <c r="L16" i="24"/>
  <c r="L17" i="24"/>
  <c r="L18" i="24"/>
  <c r="L19" i="24"/>
  <c r="M6" i="24"/>
  <c r="M7" i="24"/>
  <c r="M8" i="24"/>
  <c r="M9" i="24"/>
  <c r="M10" i="24"/>
  <c r="M11" i="24"/>
  <c r="M12" i="24"/>
  <c r="M13" i="24"/>
  <c r="M14" i="24"/>
  <c r="M15" i="24"/>
  <c r="M16" i="24"/>
  <c r="M17" i="24"/>
  <c r="M18" i="24"/>
  <c r="M19" i="24"/>
  <c r="M26" i="24"/>
  <c r="M27" i="24"/>
  <c r="M28" i="24"/>
  <c r="M29" i="24"/>
  <c r="M30" i="24"/>
  <c r="M31" i="24"/>
  <c r="M32" i="24"/>
  <c r="M33" i="24"/>
  <c r="M34" i="24"/>
  <c r="M41" i="24"/>
  <c r="M42" i="24"/>
  <c r="M43" i="24"/>
  <c r="M44" i="24"/>
  <c r="M45" i="24"/>
  <c r="M46" i="24"/>
  <c r="M47" i="24"/>
  <c r="M48" i="24"/>
  <c r="M50" i="24"/>
  <c r="M51" i="24"/>
  <c r="M52" i="24"/>
  <c r="M53" i="24"/>
  <c r="M54" i="24"/>
  <c r="M55" i="24"/>
  <c r="M56" i="24"/>
  <c r="M57" i="24"/>
  <c r="M58" i="24"/>
  <c r="M59" i="24"/>
  <c r="M60" i="24"/>
  <c r="M61" i="24"/>
  <c r="M62" i="24"/>
  <c r="M63" i="24"/>
  <c r="M64" i="24"/>
  <c r="M65" i="24"/>
  <c r="M66" i="24"/>
  <c r="M67" i="24"/>
  <c r="M68" i="24"/>
  <c r="M69" i="24"/>
  <c r="M70" i="24"/>
  <c r="M71" i="24"/>
  <c r="M72" i="24"/>
  <c r="M74" i="24"/>
  <c r="M75" i="24"/>
  <c r="M76" i="24"/>
  <c r="N41" i="24"/>
  <c r="N42" i="24"/>
  <c r="N43" i="24"/>
  <c r="N44" i="24"/>
  <c r="N45" i="24"/>
  <c r="N46" i="24"/>
  <c r="N47" i="24"/>
  <c r="N48" i="24"/>
  <c r="N50" i="24"/>
  <c r="N51" i="24"/>
  <c r="N52" i="24"/>
  <c r="N53" i="24"/>
  <c r="N54" i="24"/>
  <c r="N55" i="24"/>
  <c r="N56" i="24"/>
  <c r="N57" i="24"/>
  <c r="N58" i="24"/>
  <c r="N59" i="24"/>
  <c r="N60" i="24"/>
  <c r="N61" i="24"/>
  <c r="N62" i="24"/>
  <c r="N63" i="24"/>
  <c r="N64" i="24"/>
  <c r="N65" i="24"/>
  <c r="N66" i="24"/>
  <c r="N67" i="24"/>
  <c r="N68" i="24"/>
  <c r="N69" i="24"/>
  <c r="N71" i="24"/>
  <c r="N72" i="24"/>
  <c r="N73" i="24"/>
  <c r="N74" i="24"/>
  <c r="N75" i="24"/>
  <c r="N76" i="24"/>
  <c r="N26" i="24"/>
  <c r="N27" i="24"/>
  <c r="N28" i="24"/>
  <c r="N29" i="24"/>
  <c r="N30" i="24"/>
  <c r="N31" i="24"/>
  <c r="N32" i="24"/>
  <c r="N33" i="24"/>
  <c r="N34" i="24"/>
  <c r="N6" i="24"/>
  <c r="N7" i="24"/>
  <c r="N8" i="24"/>
  <c r="N9" i="24"/>
  <c r="N10" i="24"/>
  <c r="N11" i="24"/>
  <c r="N12" i="24"/>
  <c r="N13" i="24"/>
  <c r="N14" i="24"/>
  <c r="N15" i="24"/>
  <c r="N16" i="24"/>
  <c r="N17" i="24"/>
  <c r="N18" i="24"/>
  <c r="N19" i="24"/>
  <c r="O6" i="24"/>
  <c r="O7" i="24"/>
  <c r="O8" i="24"/>
  <c r="O9" i="24"/>
  <c r="O10" i="24"/>
  <c r="O11" i="24"/>
  <c r="O12" i="24"/>
  <c r="O13" i="24"/>
  <c r="O14" i="24"/>
  <c r="O15" i="24"/>
  <c r="O16" i="24"/>
  <c r="O17" i="24"/>
  <c r="O18" i="24"/>
  <c r="O19" i="24"/>
  <c r="O26" i="24"/>
  <c r="O27" i="24"/>
  <c r="O28" i="24"/>
  <c r="O29" i="24"/>
  <c r="O30" i="24"/>
  <c r="O31" i="24"/>
  <c r="O32" i="24"/>
  <c r="O33" i="24"/>
  <c r="O34" i="24"/>
  <c r="O42" i="24"/>
  <c r="O41" i="24"/>
  <c r="O43" i="24"/>
  <c r="O44" i="24"/>
  <c r="O45" i="24"/>
  <c r="O46" i="24"/>
  <c r="O47" i="24"/>
  <c r="O48" i="24"/>
  <c r="O50" i="24"/>
  <c r="O51" i="24"/>
  <c r="O52" i="24"/>
  <c r="O53" i="24"/>
  <c r="O54" i="24"/>
  <c r="O55" i="24"/>
  <c r="O56" i="24"/>
  <c r="O57" i="24"/>
  <c r="O58" i="24"/>
  <c r="O59" i="24"/>
  <c r="O60" i="24"/>
  <c r="O61" i="24"/>
  <c r="O62" i="24"/>
  <c r="O63" i="24"/>
  <c r="O64" i="24"/>
  <c r="O65" i="24"/>
  <c r="O66" i="24"/>
  <c r="O67" i="24"/>
  <c r="O68" i="24"/>
  <c r="O70" i="24"/>
  <c r="O71" i="24"/>
  <c r="O72" i="24"/>
  <c r="O73" i="24"/>
  <c r="O74" i="24"/>
  <c r="O75" i="24"/>
  <c r="O76" i="24"/>
  <c r="P41" i="24"/>
  <c r="P42" i="24"/>
  <c r="P43" i="24"/>
  <c r="P44" i="24"/>
  <c r="P45" i="24"/>
  <c r="P46" i="24"/>
  <c r="P47" i="24"/>
  <c r="P48" i="24"/>
  <c r="P50" i="24"/>
  <c r="P51" i="24"/>
  <c r="P52" i="24"/>
  <c r="P53" i="24"/>
  <c r="P54" i="24"/>
  <c r="P55" i="24"/>
  <c r="P56" i="24"/>
  <c r="P57" i="24"/>
  <c r="P58" i="24"/>
  <c r="P59" i="24"/>
  <c r="P60" i="24"/>
  <c r="P61" i="24"/>
  <c r="P62" i="24"/>
  <c r="P64" i="24"/>
  <c r="P65" i="24"/>
  <c r="P66" i="24"/>
  <c r="P67" i="24"/>
  <c r="P68" i="24"/>
  <c r="P69" i="24"/>
  <c r="P70" i="24"/>
  <c r="P71" i="24"/>
  <c r="P72" i="24"/>
  <c r="P73" i="24"/>
  <c r="P74" i="24"/>
  <c r="P75" i="24"/>
  <c r="P76" i="24"/>
  <c r="P26" i="24"/>
  <c r="P27" i="24"/>
  <c r="P28" i="24"/>
  <c r="P29" i="24"/>
  <c r="P30" i="24"/>
  <c r="P31" i="24"/>
  <c r="P32" i="24"/>
  <c r="P33" i="24"/>
  <c r="P34" i="24"/>
  <c r="P6" i="24"/>
  <c r="P7" i="24"/>
  <c r="P8" i="24"/>
  <c r="P9" i="24"/>
  <c r="P10" i="24"/>
  <c r="P11" i="24"/>
  <c r="P12" i="24"/>
  <c r="P13" i="24"/>
  <c r="P14" i="24"/>
  <c r="P15" i="24"/>
  <c r="P16" i="24"/>
  <c r="P17" i="24"/>
  <c r="P18" i="24"/>
  <c r="P19" i="24"/>
  <c r="Q41" i="24"/>
  <c r="Q42" i="24"/>
  <c r="Q43" i="24"/>
  <c r="Q44" i="24"/>
  <c r="Q45" i="24"/>
  <c r="Q46" i="24"/>
  <c r="Q47" i="24"/>
  <c r="Q48" i="24"/>
  <c r="Q50" i="24"/>
  <c r="Q51" i="24"/>
  <c r="Q52" i="24"/>
  <c r="Q53" i="24"/>
  <c r="Q54" i="24"/>
  <c r="Q55" i="24"/>
  <c r="Q56" i="24"/>
  <c r="Q57" i="24"/>
  <c r="Q58" i="24"/>
  <c r="Q59" i="24"/>
  <c r="Q60" i="24"/>
  <c r="Q61" i="24"/>
  <c r="Q62" i="24"/>
  <c r="Q63" i="24"/>
  <c r="Q64" i="24"/>
  <c r="Q65" i="24"/>
  <c r="Q66" i="24"/>
  <c r="Q67" i="24"/>
  <c r="Q69" i="24"/>
  <c r="Q70" i="24"/>
  <c r="Q71" i="24"/>
  <c r="Q72" i="24"/>
  <c r="Q73" i="24"/>
  <c r="Q74" i="24"/>
  <c r="Q75" i="24"/>
  <c r="Q76" i="24"/>
  <c r="Q26" i="24"/>
  <c r="Q27" i="24"/>
  <c r="Q28" i="24"/>
  <c r="Q29" i="24"/>
  <c r="Q30" i="24"/>
  <c r="Q31" i="24"/>
  <c r="Q32" i="24"/>
  <c r="Q33" i="24"/>
  <c r="Q34" i="24"/>
  <c r="Q6" i="24"/>
  <c r="Q7" i="24"/>
  <c r="Q8" i="24"/>
  <c r="Q9" i="24"/>
  <c r="Q10" i="24"/>
  <c r="Q11" i="24"/>
  <c r="Q12" i="24"/>
  <c r="Q13" i="24"/>
  <c r="Q14" i="24"/>
  <c r="Q15" i="24"/>
  <c r="Q16" i="24"/>
  <c r="Q17" i="24"/>
  <c r="Q18" i="24"/>
  <c r="Q19" i="24"/>
  <c r="R6" i="24"/>
  <c r="R7" i="24"/>
  <c r="R8" i="24"/>
  <c r="R9" i="24"/>
  <c r="R10" i="24"/>
  <c r="R11" i="24"/>
  <c r="R12" i="24"/>
  <c r="R13" i="24"/>
  <c r="R14" i="24"/>
  <c r="R15" i="24"/>
  <c r="R16" i="24"/>
  <c r="R17" i="24"/>
  <c r="R18" i="24"/>
  <c r="R19" i="24"/>
  <c r="R26" i="24"/>
  <c r="R27" i="24"/>
  <c r="R28" i="24"/>
  <c r="R29" i="24"/>
  <c r="R30" i="24"/>
  <c r="R31" i="24"/>
  <c r="R32" i="24"/>
  <c r="R33" i="24"/>
  <c r="R34" i="24"/>
  <c r="R41" i="24"/>
  <c r="R42" i="24"/>
  <c r="R43" i="24"/>
  <c r="R44" i="24"/>
  <c r="R45" i="24"/>
  <c r="R46" i="24"/>
  <c r="R47" i="24"/>
  <c r="R48" i="24"/>
  <c r="R50" i="24"/>
  <c r="R51" i="24"/>
  <c r="R52" i="24"/>
  <c r="R53" i="24"/>
  <c r="R54" i="24"/>
  <c r="R55" i="24"/>
  <c r="R56" i="24"/>
  <c r="R57" i="24"/>
  <c r="R58" i="24"/>
  <c r="R59" i="24"/>
  <c r="R60" i="24"/>
  <c r="R61" i="24"/>
  <c r="R62" i="24"/>
  <c r="R63" i="24"/>
  <c r="R64" i="24"/>
  <c r="R65" i="24"/>
  <c r="R66" i="24"/>
  <c r="R67" i="24"/>
  <c r="R68" i="24"/>
  <c r="R69" i="24"/>
  <c r="R70" i="24"/>
  <c r="R72" i="24"/>
  <c r="R73" i="24"/>
  <c r="R74" i="24"/>
  <c r="R75" i="24"/>
  <c r="R76" i="24"/>
  <c r="S41" i="24"/>
  <c r="S42" i="24"/>
  <c r="S43" i="24"/>
  <c r="S44" i="24"/>
  <c r="S45" i="24"/>
  <c r="S46" i="24"/>
  <c r="S47" i="24"/>
  <c r="S48" i="24"/>
  <c r="S50" i="24"/>
  <c r="S51" i="24"/>
  <c r="S52" i="24"/>
  <c r="S53" i="24"/>
  <c r="S54" i="24"/>
  <c r="S55" i="24"/>
  <c r="S56" i="24"/>
  <c r="S57" i="24"/>
  <c r="S58" i="24"/>
  <c r="S59" i="24"/>
  <c r="S60" i="24"/>
  <c r="S61" i="24"/>
  <c r="S62" i="24"/>
  <c r="S63" i="24"/>
  <c r="S64" i="24"/>
  <c r="S65" i="24"/>
  <c r="S66" i="24"/>
  <c r="S67" i="24"/>
  <c r="S68" i="24"/>
  <c r="S69" i="24"/>
  <c r="S70" i="24"/>
  <c r="S72" i="24"/>
  <c r="S73" i="24"/>
  <c r="S74" i="24"/>
  <c r="S75" i="24"/>
  <c r="S76" i="24"/>
  <c r="S26" i="24"/>
  <c r="S27" i="24"/>
  <c r="S28" i="24"/>
  <c r="S29" i="24"/>
  <c r="S30" i="24"/>
  <c r="S31" i="24"/>
  <c r="S32" i="24"/>
  <c r="S33" i="24"/>
  <c r="S34" i="24"/>
  <c r="S6" i="24"/>
  <c r="S7" i="24"/>
  <c r="S8" i="24"/>
  <c r="S9" i="24"/>
  <c r="S10" i="24"/>
  <c r="S11" i="24"/>
  <c r="S12" i="24"/>
  <c r="S13" i="24"/>
  <c r="S14" i="24"/>
  <c r="S15" i="24"/>
  <c r="S16" i="24"/>
  <c r="S17" i="24"/>
  <c r="S18" i="24"/>
  <c r="S19" i="24"/>
  <c r="E110" i="24"/>
  <c r="E111" i="24"/>
  <c r="E112" i="24"/>
  <c r="E113" i="24"/>
  <c r="E114" i="24"/>
  <c r="E115" i="24"/>
  <c r="E116" i="24"/>
  <c r="E117" i="24"/>
  <c r="E118" i="24"/>
  <c r="E119" i="24"/>
  <c r="E120" i="24"/>
  <c r="E121" i="24"/>
  <c r="E122" i="24"/>
  <c r="E123" i="24"/>
  <c r="E124" i="24"/>
  <c r="E126" i="24"/>
  <c r="E41" i="24"/>
  <c r="E42" i="24"/>
  <c r="E43" i="24"/>
  <c r="E44" i="24"/>
  <c r="E45" i="24"/>
  <c r="E46" i="24"/>
  <c r="E47" i="24"/>
  <c r="E48"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26" i="24"/>
  <c r="E27" i="24"/>
  <c r="E28" i="24"/>
  <c r="E29" i="24"/>
  <c r="E30" i="24"/>
  <c r="E31" i="24"/>
  <c r="E32" i="24"/>
  <c r="E33" i="24"/>
  <c r="E34" i="24"/>
  <c r="E6" i="24"/>
  <c r="E7" i="24"/>
  <c r="E8" i="24"/>
  <c r="E9" i="24"/>
  <c r="E10" i="24"/>
  <c r="E11" i="24"/>
  <c r="E12" i="24"/>
  <c r="E13" i="24"/>
  <c r="E14" i="24"/>
  <c r="E15" i="24"/>
  <c r="E16" i="24"/>
  <c r="E17" i="24"/>
  <c r="E18" i="24"/>
  <c r="E19" i="24"/>
  <c r="D110" i="24"/>
  <c r="D111" i="24"/>
  <c r="D112" i="24"/>
  <c r="D113" i="24"/>
  <c r="D114" i="24"/>
  <c r="D115" i="24"/>
  <c r="D116" i="24"/>
  <c r="D117" i="24"/>
  <c r="D118" i="24"/>
  <c r="D119" i="24"/>
  <c r="D120" i="24"/>
  <c r="D121" i="24"/>
  <c r="D122" i="24"/>
  <c r="D123" i="24"/>
  <c r="D125" i="24"/>
  <c r="D126" i="24"/>
  <c r="D41" i="24"/>
  <c r="D42" i="24"/>
  <c r="D43" i="24"/>
  <c r="D44" i="24"/>
  <c r="D45" i="24"/>
  <c r="D46" i="24"/>
  <c r="D47" i="24"/>
  <c r="D48" i="24"/>
  <c r="D50" i="24"/>
  <c r="D51" i="24"/>
  <c r="D52" i="24"/>
  <c r="D53" i="24"/>
  <c r="D54" i="24"/>
  <c r="D55" i="24"/>
  <c r="D56" i="24"/>
  <c r="D57" i="24"/>
  <c r="D58" i="24"/>
  <c r="D59" i="24"/>
  <c r="D60" i="24"/>
  <c r="D61" i="24"/>
  <c r="D62" i="24"/>
  <c r="D63" i="24"/>
  <c r="D64" i="24"/>
  <c r="D65" i="24"/>
  <c r="D66" i="24"/>
  <c r="D67" i="24"/>
  <c r="D68" i="24"/>
  <c r="D69" i="24"/>
  <c r="D70" i="24"/>
  <c r="D71" i="24"/>
  <c r="D72" i="24"/>
  <c r="D73" i="24"/>
  <c r="D74" i="24"/>
  <c r="D75" i="24"/>
  <c r="D76" i="24"/>
  <c r="D26" i="24"/>
  <c r="D27" i="24"/>
  <c r="D28" i="24"/>
  <c r="D29" i="24"/>
  <c r="D30" i="24"/>
  <c r="D31" i="24"/>
  <c r="D32" i="24"/>
  <c r="D33" i="24"/>
  <c r="D34" i="24"/>
  <c r="D6" i="24"/>
  <c r="D7" i="24"/>
  <c r="D8" i="24"/>
  <c r="D9" i="24"/>
  <c r="D10" i="24"/>
  <c r="D11" i="24"/>
  <c r="D12" i="24"/>
  <c r="D13" i="24"/>
  <c r="D14" i="24"/>
  <c r="D15" i="24"/>
  <c r="D16" i="24"/>
  <c r="D17" i="24"/>
  <c r="D18" i="24"/>
  <c r="D19" i="24"/>
  <c r="HQ3" i="2"/>
  <c r="HQ4" i="2"/>
  <c r="HQ5" i="2"/>
  <c r="HQ6" i="2"/>
  <c r="HQ7" i="2"/>
  <c r="HQ8" i="2"/>
  <c r="HQ9" i="2"/>
  <c r="HQ10" i="2"/>
  <c r="HQ11" i="2"/>
  <c r="HQ12" i="2"/>
  <c r="HQ13" i="2"/>
  <c r="HQ14" i="2"/>
  <c r="HQ15" i="2"/>
  <c r="HQ16" i="2"/>
  <c r="HQ17" i="2"/>
  <c r="HQ18" i="2"/>
  <c r="HQ20" i="2"/>
  <c r="HQ19" i="2"/>
  <c r="HQ21" i="2"/>
  <c r="HQ22" i="2"/>
  <c r="HQ23" i="2"/>
  <c r="HQ24" i="2"/>
  <c r="HQ25" i="2"/>
  <c r="HQ26" i="2"/>
  <c r="HQ27" i="2"/>
  <c r="HQ28" i="2"/>
  <c r="HQ29" i="2"/>
  <c r="HQ30" i="2"/>
  <c r="HQ31" i="2"/>
  <c r="HQ32" i="2"/>
  <c r="HQ33" i="2"/>
  <c r="HQ34" i="2"/>
  <c r="HQ35" i="2"/>
  <c r="HQ36" i="2"/>
  <c r="HQ37" i="2"/>
  <c r="HQ38" i="2"/>
  <c r="HQ39" i="2"/>
  <c r="HQ40" i="2"/>
  <c r="HQ42" i="2"/>
  <c r="HQ43" i="2"/>
  <c r="HQ44" i="2"/>
  <c r="HQ45" i="2"/>
  <c r="HQ46" i="2"/>
  <c r="HQ47" i="2"/>
  <c r="HQ48" i="2"/>
  <c r="HQ49" i="2"/>
  <c r="HQ51" i="2"/>
  <c r="HQ52" i="2"/>
  <c r="HQ53" i="2"/>
  <c r="HQ54" i="2"/>
  <c r="HQ55" i="2"/>
  <c r="HQ56" i="2"/>
  <c r="HQ57" i="2"/>
  <c r="HQ58" i="2"/>
  <c r="HQ59" i="2"/>
  <c r="HQ61" i="2"/>
  <c r="HQ62" i="2"/>
  <c r="HQ63" i="2"/>
  <c r="HQ64" i="2"/>
  <c r="HQ66" i="2"/>
  <c r="HQ67" i="2"/>
  <c r="HQ69" i="2"/>
  <c r="HQ70" i="2"/>
  <c r="HQ71" i="2"/>
  <c r="HQ72" i="2"/>
  <c r="HQ75" i="2"/>
  <c r="HQ76" i="2"/>
  <c r="HQ77" i="2"/>
  <c r="HQ78" i="2"/>
  <c r="HQ79" i="2"/>
  <c r="HQ80" i="2"/>
  <c r="HQ81" i="2"/>
  <c r="HQ82" i="2"/>
  <c r="HQ74" i="2"/>
  <c r="HQ83" i="2"/>
  <c r="HQ84" i="2"/>
  <c r="HQ85" i="2"/>
  <c r="HQ86" i="2"/>
  <c r="HQ87" i="2"/>
  <c r="HQ89" i="2"/>
  <c r="HQ90" i="2"/>
  <c r="HQ92" i="2"/>
  <c r="HQ93" i="2"/>
  <c r="HQ95" i="2"/>
  <c r="HQ96" i="2"/>
  <c r="HQ97" i="2"/>
  <c r="HQ98" i="2"/>
  <c r="HP3" i="2"/>
  <c r="HP4" i="2"/>
  <c r="HP5" i="2"/>
  <c r="HP6" i="2"/>
  <c r="HP7" i="2"/>
  <c r="HP8" i="2"/>
  <c r="HP9" i="2"/>
  <c r="HP10" i="2"/>
  <c r="HP11" i="2"/>
  <c r="HP12" i="2"/>
  <c r="HP13" i="2"/>
  <c r="HP14" i="2"/>
  <c r="HP15" i="2"/>
  <c r="HP16" i="2"/>
  <c r="HP17" i="2"/>
  <c r="HP18" i="2"/>
  <c r="HP20" i="2"/>
  <c r="HP19" i="2"/>
  <c r="HP21" i="2"/>
  <c r="HP22" i="2"/>
  <c r="HP23" i="2"/>
  <c r="HP24" i="2"/>
  <c r="HP25" i="2"/>
  <c r="HP26" i="2"/>
  <c r="HP27" i="2"/>
  <c r="HP28" i="2"/>
  <c r="HP29" i="2"/>
  <c r="HP30" i="2"/>
  <c r="HP31" i="2"/>
  <c r="HP32" i="2"/>
  <c r="HP33" i="2"/>
  <c r="HP34" i="2"/>
  <c r="HP35" i="2"/>
  <c r="HP36" i="2"/>
  <c r="HP37" i="2"/>
  <c r="HP38" i="2"/>
  <c r="HP39" i="2"/>
  <c r="HP40" i="2"/>
  <c r="HP42" i="2"/>
  <c r="HP43" i="2"/>
  <c r="HP44" i="2"/>
  <c r="HP45" i="2"/>
  <c r="HP46" i="2"/>
  <c r="HP47" i="2"/>
  <c r="HP48" i="2"/>
  <c r="HP49" i="2"/>
  <c r="HP51" i="2"/>
  <c r="HP52" i="2"/>
  <c r="HP53" i="2"/>
  <c r="HP54" i="2"/>
  <c r="HP55" i="2"/>
  <c r="HP56" i="2"/>
  <c r="HP57" i="2"/>
  <c r="HP58" i="2"/>
  <c r="HP59" i="2"/>
  <c r="HP61" i="2"/>
  <c r="HP62" i="2"/>
  <c r="HP63" i="2"/>
  <c r="HP64" i="2"/>
  <c r="HP66" i="2"/>
  <c r="HP67" i="2"/>
  <c r="HP69" i="2"/>
  <c r="HP70" i="2"/>
  <c r="HP71" i="2"/>
  <c r="HP72" i="2"/>
  <c r="HP75" i="2"/>
  <c r="HP77" i="2"/>
  <c r="HP78" i="2"/>
  <c r="HP79" i="2"/>
  <c r="HP80" i="2"/>
  <c r="HP81" i="2"/>
  <c r="HP82" i="2"/>
  <c r="HP74" i="2"/>
  <c r="HP83" i="2"/>
  <c r="HP84" i="2"/>
  <c r="HP85" i="2"/>
  <c r="HP86" i="2"/>
  <c r="HP87" i="2"/>
  <c r="HP89" i="2"/>
  <c r="HP90" i="2"/>
  <c r="HP92" i="2"/>
  <c r="HP93" i="2"/>
  <c r="HP95" i="2"/>
  <c r="HP96" i="2"/>
  <c r="HP97" i="2"/>
  <c r="HP98" i="2"/>
  <c r="HN3" i="2"/>
  <c r="HN4" i="2"/>
  <c r="HN5" i="2"/>
  <c r="HN6" i="2"/>
  <c r="HN7" i="2"/>
  <c r="HN8" i="2"/>
  <c r="HN9" i="2"/>
  <c r="HN10" i="2"/>
  <c r="HN11" i="2"/>
  <c r="HN12" i="2"/>
  <c r="HN13" i="2"/>
  <c r="HN14" i="2"/>
  <c r="HN15" i="2"/>
  <c r="HN16" i="2"/>
  <c r="HN17" i="2"/>
  <c r="HN18" i="2"/>
  <c r="HN20" i="2"/>
  <c r="HN19" i="2"/>
  <c r="HN21" i="2"/>
  <c r="HN22" i="2"/>
  <c r="HN23" i="2"/>
  <c r="HN24" i="2"/>
  <c r="HN25" i="2"/>
  <c r="HN26" i="2"/>
  <c r="HN27" i="2"/>
  <c r="HN28" i="2"/>
  <c r="HN29" i="2"/>
  <c r="HN30" i="2"/>
  <c r="HN31" i="2"/>
  <c r="HN32" i="2"/>
  <c r="HN33" i="2"/>
  <c r="HN34" i="2"/>
  <c r="HN35" i="2"/>
  <c r="HN36" i="2"/>
  <c r="HN37" i="2"/>
  <c r="HN38" i="2"/>
  <c r="HN39" i="2"/>
  <c r="HN40" i="2"/>
  <c r="HN42" i="2"/>
  <c r="HN43" i="2"/>
  <c r="HN44" i="2"/>
  <c r="HN45" i="2"/>
  <c r="HN46" i="2"/>
  <c r="HN47" i="2"/>
  <c r="HN48" i="2"/>
  <c r="HN49" i="2"/>
  <c r="HN51" i="2"/>
  <c r="HN52" i="2"/>
  <c r="HN53" i="2"/>
  <c r="HN54" i="2"/>
  <c r="HN55" i="2"/>
  <c r="HN56" i="2"/>
  <c r="HN57" i="2"/>
  <c r="HN58" i="2"/>
  <c r="HN59" i="2"/>
  <c r="HN61" i="2"/>
  <c r="HN62" i="2"/>
  <c r="HN63" i="2"/>
  <c r="HN64" i="2"/>
  <c r="HN66" i="2"/>
  <c r="HN67" i="2"/>
  <c r="HN69" i="2"/>
  <c r="HN70" i="2"/>
  <c r="HN71" i="2"/>
  <c r="HN72" i="2"/>
  <c r="HN75" i="2"/>
  <c r="HN77" i="2"/>
  <c r="HN78" i="2"/>
  <c r="HN79" i="2"/>
  <c r="HN80" i="2"/>
  <c r="HN81" i="2"/>
  <c r="HN82" i="2"/>
  <c r="HN74" i="2"/>
  <c r="HN83" i="2"/>
  <c r="HN84" i="2"/>
  <c r="HN85" i="2"/>
  <c r="HN86" i="2"/>
  <c r="HN87" i="2"/>
  <c r="HN89" i="2"/>
  <c r="HN90" i="2"/>
  <c r="HN92" i="2"/>
  <c r="HN93" i="2"/>
  <c r="HN95" i="2"/>
  <c r="HN96" i="2"/>
  <c r="HN97" i="2"/>
  <c r="HN98" i="2"/>
  <c r="HM3" i="2"/>
  <c r="HM4" i="2"/>
  <c r="HM5" i="2"/>
  <c r="HM6" i="2"/>
  <c r="HM7" i="2"/>
  <c r="HM8" i="2"/>
  <c r="HM9" i="2"/>
  <c r="HM10" i="2"/>
  <c r="HM11" i="2"/>
  <c r="HM12" i="2"/>
  <c r="HM13" i="2"/>
  <c r="HM14" i="2"/>
  <c r="HM15" i="2"/>
  <c r="HM16" i="2"/>
  <c r="HM17" i="2"/>
  <c r="HM18" i="2"/>
  <c r="HM20" i="2"/>
  <c r="HM19" i="2"/>
  <c r="HM21" i="2"/>
  <c r="HM22" i="2"/>
  <c r="HM23" i="2"/>
  <c r="HM24" i="2"/>
  <c r="HM25" i="2"/>
  <c r="HM26" i="2"/>
  <c r="HM27" i="2"/>
  <c r="HM28" i="2"/>
  <c r="HM29" i="2"/>
  <c r="HM30" i="2"/>
  <c r="HM31" i="2"/>
  <c r="HM32" i="2"/>
  <c r="HM33" i="2"/>
  <c r="HM34" i="2"/>
  <c r="HM35" i="2"/>
  <c r="HM36" i="2"/>
  <c r="HM37" i="2"/>
  <c r="HM38" i="2"/>
  <c r="HM39" i="2"/>
  <c r="HM40" i="2"/>
  <c r="HM42" i="2"/>
  <c r="HM43" i="2"/>
  <c r="HM44" i="2"/>
  <c r="HM45" i="2"/>
  <c r="HM46" i="2"/>
  <c r="HM47" i="2"/>
  <c r="HM48" i="2"/>
  <c r="HM49" i="2"/>
  <c r="HM51" i="2"/>
  <c r="HM52" i="2"/>
  <c r="HM53" i="2"/>
  <c r="HM54" i="2"/>
  <c r="HM55" i="2"/>
  <c r="HM56" i="2"/>
  <c r="HM57" i="2"/>
  <c r="HM58" i="2"/>
  <c r="HM59" i="2"/>
  <c r="HM61" i="2"/>
  <c r="HM62" i="2"/>
  <c r="HM63" i="2"/>
  <c r="HM64" i="2"/>
  <c r="HM66" i="2"/>
  <c r="HM67" i="2"/>
  <c r="HM69" i="2"/>
  <c r="HM70" i="2"/>
  <c r="HM71" i="2"/>
  <c r="HM72" i="2"/>
  <c r="HM75" i="2"/>
  <c r="HM76" i="2"/>
  <c r="HM77" i="2"/>
  <c r="HM78" i="2"/>
  <c r="HM79" i="2"/>
  <c r="HM80" i="2"/>
  <c r="HM81" i="2"/>
  <c r="HM82" i="2"/>
  <c r="HM74" i="2"/>
  <c r="HM83" i="2"/>
  <c r="HM84" i="2"/>
  <c r="HM85" i="2"/>
  <c r="HM86" i="2"/>
  <c r="HM87" i="2"/>
  <c r="HM89" i="2"/>
  <c r="HM90" i="2"/>
  <c r="HM92" i="2"/>
  <c r="HM93" i="2"/>
  <c r="HM95" i="2"/>
  <c r="HM96" i="2"/>
  <c r="HM97" i="2"/>
  <c r="HM98" i="2"/>
  <c r="HO3" i="2"/>
  <c r="HO4" i="2"/>
  <c r="HO5" i="2"/>
  <c r="HO6" i="2"/>
  <c r="HO7" i="2"/>
  <c r="HO8" i="2"/>
  <c r="HO9" i="2"/>
  <c r="HO10" i="2"/>
  <c r="HO11" i="2"/>
  <c r="HO12" i="2"/>
  <c r="HO13" i="2"/>
  <c r="HO14" i="2"/>
  <c r="HO15" i="2"/>
  <c r="HO16" i="2"/>
  <c r="HO17" i="2"/>
  <c r="HO18" i="2"/>
  <c r="HO20" i="2"/>
  <c r="HO19" i="2"/>
  <c r="HO21" i="2"/>
  <c r="HO22" i="2"/>
  <c r="HO23" i="2"/>
  <c r="HO24" i="2"/>
  <c r="HO25" i="2"/>
  <c r="HO26" i="2"/>
  <c r="HO27" i="2"/>
  <c r="HO28" i="2"/>
  <c r="HO29" i="2"/>
  <c r="HO30" i="2"/>
  <c r="HO31" i="2"/>
  <c r="HO32" i="2"/>
  <c r="HO33" i="2"/>
  <c r="HO34" i="2"/>
  <c r="HO35" i="2"/>
  <c r="HO36" i="2"/>
  <c r="HO37" i="2"/>
  <c r="HO38" i="2"/>
  <c r="HO39" i="2"/>
  <c r="HO40" i="2"/>
  <c r="HO42" i="2"/>
  <c r="HO43" i="2"/>
  <c r="HO44" i="2"/>
  <c r="HO45" i="2"/>
  <c r="HO46" i="2"/>
  <c r="HO47" i="2"/>
  <c r="HO48" i="2"/>
  <c r="HO49" i="2"/>
  <c r="HO51" i="2"/>
  <c r="HO52" i="2"/>
  <c r="HO53" i="2"/>
  <c r="HO54" i="2"/>
  <c r="HO55" i="2"/>
  <c r="HO56" i="2"/>
  <c r="HO57" i="2"/>
  <c r="HO58" i="2"/>
  <c r="HO59" i="2"/>
  <c r="HO61" i="2"/>
  <c r="HO62" i="2"/>
  <c r="HO63" i="2"/>
  <c r="HO64" i="2"/>
  <c r="HO66" i="2"/>
  <c r="HO67" i="2"/>
  <c r="HO69" i="2"/>
  <c r="HO70" i="2"/>
  <c r="HO71" i="2"/>
  <c r="HO72" i="2"/>
  <c r="HO75" i="2"/>
  <c r="HO77" i="2"/>
  <c r="HO78" i="2"/>
  <c r="HO79" i="2"/>
  <c r="HO80" i="2"/>
  <c r="HO81" i="2"/>
  <c r="HO82" i="2"/>
  <c r="HO74" i="2"/>
  <c r="HO83" i="2"/>
  <c r="HO84" i="2"/>
  <c r="HO85" i="2"/>
  <c r="HO86" i="2"/>
  <c r="HO87" i="2"/>
  <c r="HO89" i="2"/>
  <c r="HO90" i="2"/>
  <c r="HO92" i="2"/>
  <c r="HO93" i="2"/>
  <c r="HO95" i="2"/>
  <c r="HO96" i="2"/>
  <c r="HO97" i="2"/>
  <c r="HO98" i="2"/>
  <c r="HL3" i="2"/>
  <c r="HL4" i="2"/>
  <c r="HL5" i="2"/>
  <c r="HL6" i="2"/>
  <c r="HL7" i="2"/>
  <c r="HL8" i="2"/>
  <c r="HL9" i="2"/>
  <c r="HL10" i="2"/>
  <c r="HL11" i="2"/>
  <c r="HL12" i="2"/>
  <c r="HL13" i="2"/>
  <c r="HL14" i="2"/>
  <c r="HL15" i="2"/>
  <c r="HL16" i="2"/>
  <c r="HL17" i="2"/>
  <c r="HL18" i="2"/>
  <c r="HL20" i="2"/>
  <c r="HL19" i="2"/>
  <c r="HL21" i="2"/>
  <c r="HL22" i="2"/>
  <c r="HL23" i="2"/>
  <c r="HL24" i="2"/>
  <c r="HL25" i="2"/>
  <c r="HL26" i="2"/>
  <c r="HL27" i="2"/>
  <c r="HL28" i="2"/>
  <c r="HL29" i="2"/>
  <c r="HL30" i="2"/>
  <c r="HL31" i="2"/>
  <c r="HL32" i="2"/>
  <c r="HL33" i="2"/>
  <c r="HL34" i="2"/>
  <c r="HL35" i="2"/>
  <c r="HL36" i="2"/>
  <c r="HL37" i="2"/>
  <c r="HL38" i="2"/>
  <c r="HL39" i="2"/>
  <c r="HL40" i="2"/>
  <c r="HL42" i="2"/>
  <c r="HL43" i="2"/>
  <c r="HL44" i="2"/>
  <c r="HL45" i="2"/>
  <c r="HL46" i="2"/>
  <c r="HL47" i="2"/>
  <c r="HL48" i="2"/>
  <c r="HL49" i="2"/>
  <c r="HL51" i="2"/>
  <c r="HL52" i="2"/>
  <c r="HL53" i="2"/>
  <c r="HL54" i="2"/>
  <c r="HL55" i="2"/>
  <c r="HL56" i="2"/>
  <c r="HL57" i="2"/>
  <c r="HL58" i="2"/>
  <c r="HL59" i="2"/>
  <c r="HL61" i="2"/>
  <c r="HL62" i="2"/>
  <c r="HL63" i="2"/>
  <c r="HL64" i="2"/>
  <c r="HL66" i="2"/>
  <c r="HL67" i="2"/>
  <c r="HL69" i="2"/>
  <c r="HL70" i="2"/>
  <c r="HL71" i="2"/>
  <c r="HL72" i="2"/>
  <c r="HL75" i="2"/>
  <c r="HL77" i="2"/>
  <c r="HL78" i="2"/>
  <c r="HL79" i="2"/>
  <c r="HL80" i="2"/>
  <c r="HL81" i="2"/>
  <c r="HL82" i="2"/>
  <c r="HL74" i="2"/>
  <c r="HL83" i="2"/>
  <c r="HL84" i="2"/>
  <c r="HL85" i="2"/>
  <c r="HL86" i="2"/>
  <c r="HL87" i="2"/>
  <c r="HL89" i="2"/>
  <c r="HL90" i="2"/>
  <c r="HL92" i="2"/>
  <c r="HL93" i="2"/>
  <c r="HL95" i="2"/>
  <c r="HL96" i="2"/>
  <c r="HL97" i="2"/>
  <c r="HL98" i="2"/>
  <c r="D6" i="11"/>
  <c r="E6" i="11"/>
  <c r="F6" i="11"/>
  <c r="H6" i="11"/>
  <c r="I6" i="11"/>
  <c r="J6" i="11"/>
  <c r="D7" i="11"/>
  <c r="E7" i="11"/>
  <c r="F7" i="11"/>
  <c r="H7" i="11"/>
  <c r="I7" i="11"/>
  <c r="J7" i="11"/>
  <c r="D8" i="11"/>
  <c r="E8" i="11"/>
  <c r="F8" i="11"/>
  <c r="H8" i="11"/>
  <c r="I8" i="11"/>
  <c r="J8" i="11"/>
  <c r="D9" i="11"/>
  <c r="E9" i="11"/>
  <c r="F9" i="11"/>
  <c r="H9" i="11"/>
  <c r="I9" i="11"/>
  <c r="J9" i="11"/>
  <c r="D10" i="11"/>
  <c r="E10" i="11"/>
  <c r="F10" i="11"/>
  <c r="H10" i="11"/>
  <c r="I10" i="11"/>
  <c r="J10" i="11"/>
  <c r="D11" i="11"/>
  <c r="E11" i="11"/>
  <c r="F11" i="11"/>
  <c r="H11" i="11"/>
  <c r="I11" i="11"/>
  <c r="J11" i="11"/>
  <c r="D12" i="11"/>
  <c r="E12" i="11"/>
  <c r="F12" i="11"/>
  <c r="H12" i="11"/>
  <c r="I12" i="11"/>
  <c r="J12" i="11"/>
  <c r="D13" i="11"/>
  <c r="E13" i="11"/>
  <c r="F13" i="11"/>
  <c r="H13" i="11"/>
  <c r="I13" i="11"/>
  <c r="J13" i="11"/>
  <c r="D14" i="11"/>
  <c r="E14" i="11"/>
  <c r="F14" i="11"/>
  <c r="H14" i="11"/>
  <c r="I14" i="11"/>
  <c r="J14" i="11"/>
  <c r="D15" i="11"/>
  <c r="E15" i="11"/>
  <c r="F15" i="11"/>
  <c r="H15" i="11"/>
  <c r="I15" i="11"/>
  <c r="J15" i="11"/>
  <c r="D16" i="11"/>
  <c r="E16" i="11"/>
  <c r="F16" i="11"/>
  <c r="H16" i="11"/>
  <c r="I16" i="11"/>
  <c r="J16" i="11"/>
  <c r="D17" i="11"/>
  <c r="E17" i="11"/>
  <c r="F17" i="11"/>
  <c r="H17" i="11"/>
  <c r="I17" i="11"/>
  <c r="J17" i="11"/>
  <c r="D18" i="11"/>
  <c r="E18" i="11"/>
  <c r="F18" i="11"/>
  <c r="H18" i="11"/>
  <c r="I18" i="11"/>
  <c r="J18" i="11"/>
  <c r="D19" i="11"/>
  <c r="E19" i="11"/>
  <c r="F19" i="11"/>
  <c r="H19" i="11"/>
  <c r="I19" i="11"/>
  <c r="J19" i="11"/>
  <c r="D27" i="11"/>
  <c r="E27" i="11"/>
  <c r="F27" i="11"/>
  <c r="H27" i="11"/>
  <c r="I27" i="11"/>
  <c r="J27" i="11"/>
  <c r="D28" i="11"/>
  <c r="E28" i="11"/>
  <c r="F28" i="11"/>
  <c r="H28" i="11"/>
  <c r="I28" i="11"/>
  <c r="J28" i="11"/>
  <c r="D29" i="11"/>
  <c r="E29" i="11"/>
  <c r="F29" i="11"/>
  <c r="H29" i="11"/>
  <c r="I29" i="11"/>
  <c r="J29" i="11"/>
  <c r="D30" i="11"/>
  <c r="E30" i="11"/>
  <c r="F30" i="11"/>
  <c r="H30" i="11"/>
  <c r="I30" i="11"/>
  <c r="J30" i="11"/>
  <c r="D31" i="11"/>
  <c r="E31" i="11"/>
  <c r="F31" i="11"/>
  <c r="H31" i="11"/>
  <c r="I31" i="11"/>
  <c r="J31" i="11"/>
  <c r="G127" i="24" l="1"/>
  <c r="L127" i="24"/>
  <c r="Q127" i="24"/>
  <c r="O127" i="24"/>
  <c r="H127" i="24"/>
  <c r="M127" i="24"/>
  <c r="J127" i="24"/>
  <c r="D127" i="24"/>
  <c r="R127" i="24"/>
  <c r="F127" i="24"/>
  <c r="K127" i="24"/>
  <c r="E127" i="24"/>
  <c r="P127" i="24"/>
  <c r="I127" i="24"/>
  <c r="N127" i="24"/>
  <c r="S127" i="24"/>
  <c r="J20" i="11"/>
  <c r="I20" i="11"/>
  <c r="H20" i="11"/>
  <c r="F20" i="11"/>
  <c r="E20" i="11"/>
  <c r="D20" i="11"/>
  <c r="L35" i="24"/>
  <c r="Q20" i="24"/>
  <c r="O35" i="24"/>
  <c r="N20" i="24"/>
  <c r="N77" i="24"/>
  <c r="L20" i="24"/>
  <c r="N35" i="24"/>
  <c r="M20" i="24"/>
  <c r="K35" i="24"/>
  <c r="S20" i="24"/>
  <c r="O20" i="24"/>
  <c r="D35" i="24"/>
  <c r="E35" i="24"/>
  <c r="P35" i="24"/>
  <c r="R35" i="24"/>
  <c r="K20" i="24"/>
  <c r="S35" i="24"/>
  <c r="E77" i="24"/>
  <c r="Q35" i="24"/>
  <c r="M77" i="24"/>
  <c r="R20" i="24"/>
  <c r="P20" i="24"/>
  <c r="M35" i="24"/>
  <c r="L77" i="24"/>
  <c r="K77" i="24"/>
  <c r="O77" i="24"/>
  <c r="Q77" i="24"/>
  <c r="S77" i="24"/>
  <c r="I35" i="24"/>
  <c r="G35" i="24"/>
  <c r="G15" i="11"/>
  <c r="F35" i="24"/>
  <c r="F77" i="24"/>
  <c r="I77" i="24"/>
  <c r="P77" i="24"/>
  <c r="R77" i="24"/>
  <c r="J35" i="24"/>
  <c r="H35" i="24"/>
  <c r="G14" i="11"/>
  <c r="K17" i="11"/>
  <c r="G12" i="11"/>
  <c r="G31" i="11"/>
  <c r="H77" i="24"/>
  <c r="G77" i="24"/>
  <c r="K19" i="11"/>
  <c r="G16" i="11"/>
  <c r="K7" i="11"/>
  <c r="K15" i="11"/>
  <c r="K16" i="11"/>
  <c r="G6" i="11"/>
  <c r="G28" i="11"/>
  <c r="G9" i="11"/>
  <c r="G13" i="11"/>
  <c r="K18" i="11"/>
  <c r="K6" i="11"/>
  <c r="K28" i="11"/>
  <c r="K9" i="11"/>
  <c r="G18" i="11"/>
  <c r="G30" i="11"/>
  <c r="K14" i="11"/>
  <c r="G11" i="11"/>
  <c r="K31" i="11"/>
  <c r="K12" i="11"/>
  <c r="K29" i="11"/>
  <c r="G19" i="11"/>
  <c r="K10" i="11"/>
  <c r="G7" i="11"/>
  <c r="K27" i="11"/>
  <c r="G17" i="11"/>
  <c r="K8" i="11"/>
  <c r="G29" i="11"/>
  <c r="K13" i="11"/>
  <c r="G10" i="11"/>
  <c r="K30" i="11"/>
  <c r="G27" i="11"/>
  <c r="K11" i="11"/>
  <c r="G8" i="11"/>
  <c r="D77" i="24"/>
  <c r="D20" i="24"/>
  <c r="E20" i="24"/>
  <c r="G20" i="24"/>
  <c r="J20" i="24"/>
  <c r="I20" i="24"/>
  <c r="F20" i="24"/>
  <c r="H20" i="24"/>
  <c r="K20" i="11" l="1"/>
  <c r="G20" i="11"/>
  <c r="L14" i="11"/>
  <c r="M14" i="11" s="1"/>
  <c r="L15" i="11"/>
  <c r="M15" i="11" s="1"/>
  <c r="L31" i="11"/>
  <c r="L18" i="11"/>
  <c r="M18" i="11" s="1"/>
  <c r="L6" i="11"/>
  <c r="L17" i="11"/>
  <c r="M17" i="11" s="1"/>
  <c r="L10" i="11"/>
  <c r="M10" i="11" s="1"/>
  <c r="L8" i="11"/>
  <c r="M8" i="11" s="1"/>
  <c r="L19" i="11"/>
  <c r="M19" i="11" s="1"/>
  <c r="L16" i="11"/>
  <c r="M16" i="11" s="1"/>
  <c r="L13" i="11"/>
  <c r="M13" i="11" s="1"/>
  <c r="L12" i="11"/>
  <c r="M12" i="11" s="1"/>
  <c r="L11" i="11"/>
  <c r="M11" i="11" s="1"/>
  <c r="L9" i="11"/>
  <c r="M9" i="11" s="1"/>
  <c r="L28" i="11"/>
  <c r="L7" i="11"/>
  <c r="M7" i="11" s="1"/>
  <c r="L27" i="11"/>
  <c r="L29" i="11"/>
  <c r="L30" i="11"/>
  <c r="M6" i="11" l="1"/>
  <c r="M20" i="11" s="1"/>
  <c r="L20" i="11"/>
  <c r="F8" i="20"/>
  <c r="F9" i="20"/>
  <c r="F10" i="20"/>
  <c r="F11" i="20"/>
  <c r="F12" i="20"/>
  <c r="F13" i="20"/>
  <c r="F14" i="20"/>
  <c r="F15" i="20"/>
  <c r="F16" i="20"/>
  <c r="F17" i="20"/>
  <c r="F18" i="20"/>
  <c r="F19" i="20"/>
  <c r="F20" i="20"/>
  <c r="F7" i="20"/>
  <c r="D7" i="20"/>
  <c r="D8" i="20"/>
  <c r="D9" i="20"/>
  <c r="D10" i="20"/>
  <c r="D11" i="20"/>
  <c r="D12" i="20"/>
  <c r="D13" i="20"/>
  <c r="D14" i="20"/>
  <c r="D15" i="20"/>
  <c r="D16" i="20"/>
  <c r="D17" i="20"/>
  <c r="D18" i="20"/>
  <c r="D19" i="20"/>
  <c r="D20" i="20"/>
  <c r="C7" i="20"/>
  <c r="E8" i="20"/>
  <c r="E9" i="20"/>
  <c r="E10" i="20"/>
  <c r="E11" i="20"/>
  <c r="E12" i="20"/>
  <c r="E13" i="20"/>
  <c r="E14" i="20"/>
  <c r="E15" i="20"/>
  <c r="E16" i="20"/>
  <c r="E17" i="20"/>
  <c r="E18" i="20"/>
  <c r="E19" i="20"/>
  <c r="E20" i="20"/>
  <c r="E7" i="20"/>
  <c r="C8" i="20"/>
  <c r="C9" i="20"/>
  <c r="C10" i="20"/>
  <c r="C11" i="20"/>
  <c r="C12" i="20"/>
  <c r="C13" i="20"/>
  <c r="C14" i="20"/>
  <c r="C15" i="20"/>
  <c r="C16" i="20"/>
  <c r="C17" i="20"/>
  <c r="C18" i="20"/>
  <c r="C19" i="20"/>
  <c r="C20" i="20"/>
  <c r="G20" i="20" l="1"/>
  <c r="G8" i="20"/>
  <c r="G18" i="20"/>
  <c r="G13" i="20"/>
  <c r="G9" i="20"/>
  <c r="G12" i="20"/>
  <c r="G14" i="20"/>
  <c r="G19" i="20"/>
  <c r="F21" i="20"/>
  <c r="G15" i="20"/>
  <c r="G16" i="20"/>
  <c r="D21" i="20"/>
  <c r="G17" i="20"/>
  <c r="G10" i="20"/>
  <c r="E21" i="20"/>
  <c r="G11" i="20"/>
  <c r="C21" i="20"/>
  <c r="G7" i="20"/>
  <c r="G21" i="20" l="1"/>
  <c r="I130" i="16" l="1"/>
  <c r="J138" i="16"/>
  <c r="D112" i="8" l="1"/>
  <c r="H8" i="3"/>
  <c r="D7" i="21"/>
  <c r="I7" i="21"/>
  <c r="L111" i="21"/>
  <c r="L112" i="21"/>
  <c r="L113" i="21"/>
  <c r="L114" i="21"/>
  <c r="L115" i="21"/>
  <c r="L116" i="21"/>
  <c r="L117" i="21"/>
  <c r="L118" i="21"/>
  <c r="L119" i="21"/>
  <c r="L120" i="21"/>
  <c r="L121" i="21"/>
  <c r="L122" i="21"/>
  <c r="L123" i="21"/>
  <c r="L124" i="21"/>
  <c r="L125" i="21"/>
  <c r="L126" i="21"/>
  <c r="L127" i="21"/>
  <c r="L42" i="21"/>
  <c r="L43" i="21"/>
  <c r="L44" i="21"/>
  <c r="L45" i="21"/>
  <c r="L46" i="21"/>
  <c r="L47" i="21"/>
  <c r="L48" i="21"/>
  <c r="L49" i="21"/>
  <c r="L51" i="21"/>
  <c r="L52" i="21"/>
  <c r="L53" i="21"/>
  <c r="L54" i="21"/>
  <c r="L55" i="21"/>
  <c r="L56" i="21"/>
  <c r="L57" i="21"/>
  <c r="L58" i="21"/>
  <c r="L59" i="21"/>
  <c r="L60" i="21"/>
  <c r="L61" i="21"/>
  <c r="L62" i="21"/>
  <c r="L63" i="21"/>
  <c r="L64" i="21"/>
  <c r="L65" i="21"/>
  <c r="L66" i="21"/>
  <c r="L67" i="21"/>
  <c r="L68" i="21"/>
  <c r="L69" i="21"/>
  <c r="L70" i="21"/>
  <c r="L71" i="21"/>
  <c r="L72" i="21"/>
  <c r="L73" i="21"/>
  <c r="L74" i="21"/>
  <c r="L75" i="21"/>
  <c r="L76" i="21"/>
  <c r="L77" i="21"/>
  <c r="L27" i="21"/>
  <c r="L28" i="21"/>
  <c r="L29" i="21"/>
  <c r="L30" i="21"/>
  <c r="L31" i="21"/>
  <c r="L32" i="21"/>
  <c r="L33" i="21"/>
  <c r="L34" i="21"/>
  <c r="L35" i="21"/>
  <c r="L7" i="21"/>
  <c r="K111" i="21"/>
  <c r="K112" i="21"/>
  <c r="K113" i="21"/>
  <c r="K114" i="21"/>
  <c r="K115" i="21"/>
  <c r="K116" i="21"/>
  <c r="K117" i="21"/>
  <c r="K118" i="21"/>
  <c r="K119" i="21"/>
  <c r="K120" i="21"/>
  <c r="K121" i="21"/>
  <c r="K122" i="21"/>
  <c r="K123" i="21"/>
  <c r="K124" i="21"/>
  <c r="K125" i="21"/>
  <c r="K126" i="21"/>
  <c r="K127" i="21"/>
  <c r="K42" i="21"/>
  <c r="K43" i="21"/>
  <c r="K44" i="21"/>
  <c r="K45" i="21"/>
  <c r="K46" i="21"/>
  <c r="K47" i="21"/>
  <c r="K48" i="21"/>
  <c r="K49" i="21"/>
  <c r="K51" i="21"/>
  <c r="K52" i="21"/>
  <c r="K53" i="21"/>
  <c r="K54" i="21"/>
  <c r="K55" i="21"/>
  <c r="K56" i="21"/>
  <c r="K57" i="21"/>
  <c r="K58" i="21"/>
  <c r="K59" i="21"/>
  <c r="K60" i="21"/>
  <c r="K61" i="21"/>
  <c r="K62" i="21"/>
  <c r="K63" i="21"/>
  <c r="K64" i="21"/>
  <c r="K65" i="21"/>
  <c r="K66" i="21"/>
  <c r="K67" i="21"/>
  <c r="K68" i="21"/>
  <c r="K69" i="21"/>
  <c r="K70" i="21"/>
  <c r="K71" i="21"/>
  <c r="K72" i="21"/>
  <c r="K73" i="21"/>
  <c r="K74" i="21"/>
  <c r="K75" i="21"/>
  <c r="K77" i="21"/>
  <c r="K27" i="21"/>
  <c r="K28" i="21"/>
  <c r="K29" i="21"/>
  <c r="K30" i="21"/>
  <c r="K31" i="21"/>
  <c r="K32" i="21"/>
  <c r="K33" i="21"/>
  <c r="K34" i="21"/>
  <c r="K35" i="21"/>
  <c r="K7" i="21"/>
  <c r="L8" i="21"/>
  <c r="L9" i="21"/>
  <c r="L10" i="21"/>
  <c r="L11" i="21"/>
  <c r="L12" i="21"/>
  <c r="L13" i="21"/>
  <c r="L14" i="21"/>
  <c r="L15" i="21"/>
  <c r="L16" i="21"/>
  <c r="L17" i="21"/>
  <c r="L18" i="21"/>
  <c r="L19" i="21"/>
  <c r="L20" i="21"/>
  <c r="K8" i="21"/>
  <c r="K9" i="21"/>
  <c r="K10" i="21"/>
  <c r="K11" i="21"/>
  <c r="K12" i="21"/>
  <c r="K13" i="21"/>
  <c r="K14" i="21"/>
  <c r="K15" i="21"/>
  <c r="K16" i="21"/>
  <c r="K17" i="21"/>
  <c r="K18" i="21"/>
  <c r="K19" i="21"/>
  <c r="K20" i="21"/>
  <c r="I111" i="21"/>
  <c r="I112" i="21"/>
  <c r="I113" i="21"/>
  <c r="I114" i="21"/>
  <c r="I115" i="21"/>
  <c r="I116" i="21"/>
  <c r="I117" i="21"/>
  <c r="I118" i="21"/>
  <c r="I119" i="21"/>
  <c r="I120" i="21"/>
  <c r="I121" i="21"/>
  <c r="I122" i="21"/>
  <c r="I123" i="21"/>
  <c r="I124" i="21"/>
  <c r="I125" i="21"/>
  <c r="I126" i="21"/>
  <c r="I127" i="21"/>
  <c r="I42" i="21"/>
  <c r="I43" i="21"/>
  <c r="I44" i="21"/>
  <c r="I45" i="21"/>
  <c r="I46" i="21"/>
  <c r="I47" i="21"/>
  <c r="I48" i="21"/>
  <c r="I49" i="21"/>
  <c r="I51" i="21"/>
  <c r="I52" i="21"/>
  <c r="I53" i="21"/>
  <c r="I54" i="21"/>
  <c r="I55" i="21"/>
  <c r="I56" i="21"/>
  <c r="I57" i="21"/>
  <c r="I58" i="21"/>
  <c r="I59" i="21"/>
  <c r="I60" i="21"/>
  <c r="I61" i="21"/>
  <c r="I62" i="21"/>
  <c r="I63" i="21"/>
  <c r="I64" i="21"/>
  <c r="I65" i="21"/>
  <c r="I66" i="21"/>
  <c r="I67" i="21"/>
  <c r="I68" i="21"/>
  <c r="I69" i="21"/>
  <c r="I70" i="21"/>
  <c r="I71" i="21"/>
  <c r="I72" i="21"/>
  <c r="I73" i="21"/>
  <c r="I74" i="21"/>
  <c r="I75" i="21"/>
  <c r="I76" i="21"/>
  <c r="I27" i="21"/>
  <c r="I28" i="21"/>
  <c r="I29" i="21"/>
  <c r="I30" i="21"/>
  <c r="I31" i="21"/>
  <c r="I32" i="21"/>
  <c r="I33" i="21"/>
  <c r="I34" i="21"/>
  <c r="I35" i="21"/>
  <c r="I8" i="21"/>
  <c r="I9" i="21"/>
  <c r="I10" i="21"/>
  <c r="I11" i="21"/>
  <c r="I12" i="21"/>
  <c r="I13" i="21"/>
  <c r="I14" i="21"/>
  <c r="I15" i="21"/>
  <c r="I16" i="21"/>
  <c r="I17" i="21"/>
  <c r="I18" i="21"/>
  <c r="I19" i="21"/>
  <c r="I20" i="21"/>
  <c r="H7" i="21"/>
  <c r="H111" i="21"/>
  <c r="H112" i="21"/>
  <c r="H113" i="21"/>
  <c r="H114" i="21"/>
  <c r="H115" i="21"/>
  <c r="H116" i="21"/>
  <c r="H117" i="21"/>
  <c r="H118" i="21"/>
  <c r="H119" i="21"/>
  <c r="H120" i="21"/>
  <c r="H121" i="21"/>
  <c r="H122" i="21"/>
  <c r="H123" i="21"/>
  <c r="H124" i="21"/>
  <c r="H125" i="21"/>
  <c r="H126" i="21"/>
  <c r="H127" i="21"/>
  <c r="H42" i="21"/>
  <c r="H43" i="21"/>
  <c r="H44" i="21"/>
  <c r="H45" i="21"/>
  <c r="H46" i="21"/>
  <c r="H47" i="21"/>
  <c r="H48" i="21"/>
  <c r="H49" i="21"/>
  <c r="H51" i="21"/>
  <c r="H52" i="21"/>
  <c r="H53" i="21"/>
  <c r="H54" i="21"/>
  <c r="H55" i="21"/>
  <c r="H56" i="21"/>
  <c r="H57" i="21"/>
  <c r="H58" i="21"/>
  <c r="H59" i="21"/>
  <c r="H60" i="21"/>
  <c r="H61" i="21"/>
  <c r="H62" i="21"/>
  <c r="H63" i="21"/>
  <c r="H64" i="21"/>
  <c r="H65" i="21"/>
  <c r="H66" i="21"/>
  <c r="H67" i="21"/>
  <c r="H69" i="21"/>
  <c r="H70" i="21"/>
  <c r="H71" i="21"/>
  <c r="H72" i="21"/>
  <c r="H73" i="21"/>
  <c r="H74" i="21"/>
  <c r="H75" i="21"/>
  <c r="H76" i="21"/>
  <c r="H77" i="21"/>
  <c r="H27" i="21"/>
  <c r="H28" i="21"/>
  <c r="H29" i="21"/>
  <c r="H30" i="21"/>
  <c r="H31" i="21"/>
  <c r="H32" i="21"/>
  <c r="H33" i="21"/>
  <c r="H34" i="21"/>
  <c r="H35" i="21"/>
  <c r="G111" i="21"/>
  <c r="G112" i="21"/>
  <c r="G113" i="21"/>
  <c r="G114" i="21"/>
  <c r="G115" i="21"/>
  <c r="G116" i="21"/>
  <c r="G117" i="21"/>
  <c r="G118" i="21"/>
  <c r="G119" i="21"/>
  <c r="G120" i="21"/>
  <c r="G121" i="21"/>
  <c r="G122" i="21"/>
  <c r="G123" i="21"/>
  <c r="G124" i="21"/>
  <c r="G125" i="21"/>
  <c r="G126" i="21"/>
  <c r="G127" i="21"/>
  <c r="G42" i="21"/>
  <c r="G43" i="21"/>
  <c r="G44" i="21"/>
  <c r="G45" i="21"/>
  <c r="G46" i="21"/>
  <c r="G47" i="21"/>
  <c r="G48" i="21"/>
  <c r="G49" i="21"/>
  <c r="G51" i="21"/>
  <c r="G52" i="21"/>
  <c r="G53" i="21"/>
  <c r="G54" i="21"/>
  <c r="G55" i="21"/>
  <c r="G56" i="21"/>
  <c r="G57" i="21"/>
  <c r="G58" i="21"/>
  <c r="G59" i="21"/>
  <c r="G60" i="21"/>
  <c r="G61" i="21"/>
  <c r="G62" i="21"/>
  <c r="G63" i="21"/>
  <c r="G64" i="21"/>
  <c r="G65" i="21"/>
  <c r="G66" i="21"/>
  <c r="G67" i="21"/>
  <c r="G68" i="21"/>
  <c r="G69" i="21"/>
  <c r="G70" i="21"/>
  <c r="G72" i="21"/>
  <c r="G73" i="21"/>
  <c r="G74" i="21"/>
  <c r="G75" i="21"/>
  <c r="G76" i="21"/>
  <c r="G77" i="21"/>
  <c r="G27" i="21"/>
  <c r="G28" i="21"/>
  <c r="G29" i="21"/>
  <c r="G30" i="21"/>
  <c r="G31" i="21"/>
  <c r="G32" i="21"/>
  <c r="G33" i="21"/>
  <c r="G34" i="21"/>
  <c r="G35" i="21"/>
  <c r="G7" i="21"/>
  <c r="H8" i="21"/>
  <c r="H9" i="21"/>
  <c r="H10" i="21"/>
  <c r="H11" i="21"/>
  <c r="H12" i="21"/>
  <c r="H13" i="21"/>
  <c r="H14" i="21"/>
  <c r="H15" i="21"/>
  <c r="H16" i="21"/>
  <c r="H17" i="21"/>
  <c r="H18" i="21"/>
  <c r="H19" i="21"/>
  <c r="H20" i="21"/>
  <c r="G8" i="21"/>
  <c r="G9" i="21"/>
  <c r="G10" i="21"/>
  <c r="G11" i="21"/>
  <c r="G12" i="21"/>
  <c r="G13" i="21"/>
  <c r="G14" i="21"/>
  <c r="G15" i="21"/>
  <c r="G16" i="21"/>
  <c r="G17" i="21"/>
  <c r="G18" i="21"/>
  <c r="G19" i="21"/>
  <c r="G20" i="21"/>
  <c r="F7" i="21"/>
  <c r="F111" i="21"/>
  <c r="F112" i="21"/>
  <c r="F113" i="21"/>
  <c r="F114" i="21"/>
  <c r="F115" i="21"/>
  <c r="F116" i="21"/>
  <c r="F117" i="21"/>
  <c r="F118" i="21"/>
  <c r="F119" i="21"/>
  <c r="F120" i="21"/>
  <c r="F121" i="21"/>
  <c r="F122" i="21"/>
  <c r="F123" i="21"/>
  <c r="F124" i="21"/>
  <c r="F125" i="21"/>
  <c r="F126" i="21"/>
  <c r="F127" i="21"/>
  <c r="F42" i="21"/>
  <c r="F43" i="21"/>
  <c r="F44" i="21"/>
  <c r="F45" i="21"/>
  <c r="F46" i="21"/>
  <c r="F47" i="21"/>
  <c r="F48" i="21"/>
  <c r="F49" i="21"/>
  <c r="F51" i="21"/>
  <c r="F52" i="21"/>
  <c r="F53" i="21"/>
  <c r="F54" i="21"/>
  <c r="F55" i="21"/>
  <c r="F56" i="21"/>
  <c r="F57" i="21"/>
  <c r="F58" i="21"/>
  <c r="F59" i="21"/>
  <c r="F60" i="21"/>
  <c r="F61" i="21"/>
  <c r="F62" i="21"/>
  <c r="F63" i="21"/>
  <c r="F64" i="21"/>
  <c r="F65" i="21"/>
  <c r="F66" i="21"/>
  <c r="F67" i="21"/>
  <c r="F68" i="21"/>
  <c r="F69" i="21"/>
  <c r="F70" i="21"/>
  <c r="F71" i="21"/>
  <c r="F72" i="21"/>
  <c r="F73" i="21"/>
  <c r="F75" i="21"/>
  <c r="F76" i="21"/>
  <c r="F77" i="21"/>
  <c r="F27" i="21"/>
  <c r="F28" i="21"/>
  <c r="F29" i="21"/>
  <c r="F30" i="21"/>
  <c r="F31" i="21"/>
  <c r="F32" i="21"/>
  <c r="F33" i="21"/>
  <c r="F34" i="21"/>
  <c r="F35" i="21"/>
  <c r="F8" i="21"/>
  <c r="F9" i="21"/>
  <c r="F10" i="21"/>
  <c r="F11" i="21"/>
  <c r="F12" i="21"/>
  <c r="F13" i="21"/>
  <c r="F14" i="21"/>
  <c r="F15" i="21"/>
  <c r="F16" i="21"/>
  <c r="F17" i="21"/>
  <c r="F18" i="21"/>
  <c r="F19" i="21"/>
  <c r="F20" i="21"/>
  <c r="E7" i="21"/>
  <c r="E111" i="21"/>
  <c r="E112" i="21"/>
  <c r="E113" i="21"/>
  <c r="E114" i="21"/>
  <c r="E115" i="21"/>
  <c r="E116" i="21"/>
  <c r="E117" i="21"/>
  <c r="E118" i="21"/>
  <c r="E119" i="21"/>
  <c r="E120" i="21"/>
  <c r="E121" i="21"/>
  <c r="E122" i="21"/>
  <c r="E123" i="21"/>
  <c r="E124" i="21"/>
  <c r="E125" i="21"/>
  <c r="E126" i="21"/>
  <c r="E127" i="21"/>
  <c r="E42" i="21"/>
  <c r="E43" i="21"/>
  <c r="E44" i="21"/>
  <c r="E45" i="21"/>
  <c r="E46" i="21"/>
  <c r="E47" i="21"/>
  <c r="E48" i="21"/>
  <c r="E49" i="21"/>
  <c r="E51" i="21"/>
  <c r="E52" i="21"/>
  <c r="E53" i="21"/>
  <c r="E54" i="21"/>
  <c r="E55" i="21"/>
  <c r="E56" i="21"/>
  <c r="E57" i="21"/>
  <c r="E58" i="21"/>
  <c r="E59" i="21"/>
  <c r="E60" i="21"/>
  <c r="E61" i="21"/>
  <c r="E62" i="21"/>
  <c r="E63" i="21"/>
  <c r="E64" i="21"/>
  <c r="E65" i="21"/>
  <c r="E66" i="21"/>
  <c r="E67" i="21"/>
  <c r="E68" i="21"/>
  <c r="E70" i="21"/>
  <c r="E71" i="21"/>
  <c r="E72" i="21"/>
  <c r="E73" i="21"/>
  <c r="E74" i="21"/>
  <c r="E75" i="21"/>
  <c r="E76" i="21"/>
  <c r="E77" i="21"/>
  <c r="E27" i="21"/>
  <c r="E28" i="21"/>
  <c r="E29" i="21"/>
  <c r="E30" i="21"/>
  <c r="E31" i="21"/>
  <c r="E32" i="21"/>
  <c r="E33" i="21"/>
  <c r="E34" i="21"/>
  <c r="E35" i="21"/>
  <c r="E8" i="21"/>
  <c r="E9" i="21"/>
  <c r="E10" i="21"/>
  <c r="E11" i="21"/>
  <c r="E12" i="21"/>
  <c r="E13" i="21"/>
  <c r="E14" i="21"/>
  <c r="E15" i="21"/>
  <c r="E16" i="21"/>
  <c r="E17" i="21"/>
  <c r="E18" i="21"/>
  <c r="E19" i="21"/>
  <c r="E20" i="21"/>
  <c r="D111" i="21"/>
  <c r="D112" i="21"/>
  <c r="D113" i="21"/>
  <c r="D114" i="21"/>
  <c r="D115" i="21"/>
  <c r="D116" i="21"/>
  <c r="D117" i="21"/>
  <c r="D118" i="21"/>
  <c r="D119" i="21"/>
  <c r="D120" i="21"/>
  <c r="D121" i="21"/>
  <c r="D122" i="21"/>
  <c r="D123" i="21"/>
  <c r="D124" i="21"/>
  <c r="D125" i="21"/>
  <c r="D126" i="21"/>
  <c r="D127" i="21"/>
  <c r="D42" i="21"/>
  <c r="D43" i="21"/>
  <c r="D44" i="21"/>
  <c r="D45" i="21"/>
  <c r="D46" i="21"/>
  <c r="D47" i="21"/>
  <c r="D48" i="21"/>
  <c r="D49" i="21"/>
  <c r="D51" i="21"/>
  <c r="D52" i="21"/>
  <c r="D53" i="21"/>
  <c r="D54" i="21"/>
  <c r="D55" i="21"/>
  <c r="D56" i="21"/>
  <c r="D57" i="21"/>
  <c r="D58" i="21"/>
  <c r="D59" i="21"/>
  <c r="D60" i="21"/>
  <c r="D61" i="21"/>
  <c r="D62" i="21"/>
  <c r="D63" i="21"/>
  <c r="D64" i="21"/>
  <c r="D65" i="21"/>
  <c r="D66" i="21"/>
  <c r="D67" i="21"/>
  <c r="D68" i="21"/>
  <c r="D69" i="21"/>
  <c r="D70" i="21"/>
  <c r="D71" i="21"/>
  <c r="D72" i="21"/>
  <c r="D74" i="21"/>
  <c r="D75" i="21"/>
  <c r="D76" i="21"/>
  <c r="D77" i="21"/>
  <c r="D27" i="21"/>
  <c r="D28" i="21"/>
  <c r="D29" i="21"/>
  <c r="D30" i="21"/>
  <c r="D31" i="21"/>
  <c r="D32" i="21"/>
  <c r="D33" i="21"/>
  <c r="D34" i="21"/>
  <c r="D35" i="21"/>
  <c r="D8" i="21"/>
  <c r="D9" i="21"/>
  <c r="D10" i="21"/>
  <c r="D11" i="21"/>
  <c r="D12" i="21"/>
  <c r="D13" i="21"/>
  <c r="D14" i="21"/>
  <c r="D15" i="21"/>
  <c r="D16" i="21"/>
  <c r="D17" i="21"/>
  <c r="D18" i="21"/>
  <c r="D19" i="21"/>
  <c r="D20" i="21"/>
  <c r="J76" i="21" l="1"/>
  <c r="J33" i="21"/>
  <c r="J48" i="21"/>
  <c r="K128" i="21"/>
  <c r="J27" i="21"/>
  <c r="J42" i="21"/>
  <c r="E128" i="21"/>
  <c r="H128" i="21"/>
  <c r="G128" i="21"/>
  <c r="F128" i="21"/>
  <c r="I128" i="21"/>
  <c r="L128" i="21"/>
  <c r="J32" i="21"/>
  <c r="J31" i="21"/>
  <c r="J70" i="21"/>
  <c r="J58" i="21"/>
  <c r="J46" i="21"/>
  <c r="J45" i="21"/>
  <c r="J119" i="21"/>
  <c r="J57" i="21"/>
  <c r="J29" i="21"/>
  <c r="J69" i="21"/>
  <c r="J12" i="21"/>
  <c r="J11" i="21"/>
  <c r="J10" i="21"/>
  <c r="D128" i="21"/>
  <c r="J72" i="21"/>
  <c r="J60" i="21"/>
  <c r="I78" i="21"/>
  <c r="H78" i="21"/>
  <c r="E78" i="21"/>
  <c r="G78" i="21"/>
  <c r="L78" i="21"/>
  <c r="K78" i="21"/>
  <c r="D78" i="21"/>
  <c r="F78" i="21"/>
  <c r="J122" i="21"/>
  <c r="J121" i="21"/>
  <c r="J120" i="21"/>
  <c r="J118" i="21"/>
  <c r="J71" i="21"/>
  <c r="J59" i="21"/>
  <c r="J47" i="21"/>
  <c r="J68" i="21"/>
  <c r="J56" i="21"/>
  <c r="J44" i="21"/>
  <c r="J66" i="21"/>
  <c r="J54" i="21"/>
  <c r="E36" i="21"/>
  <c r="H36" i="21"/>
  <c r="K21" i="21"/>
  <c r="L36" i="21"/>
  <c r="J67" i="21"/>
  <c r="J55" i="21"/>
  <c r="J43" i="21"/>
  <c r="J117" i="21"/>
  <c r="H21" i="21"/>
  <c r="L21" i="21"/>
  <c r="J116" i="21"/>
  <c r="G21" i="21"/>
  <c r="I36" i="21"/>
  <c r="J77" i="21"/>
  <c r="J65" i="21"/>
  <c r="J53" i="21"/>
  <c r="J127" i="21"/>
  <c r="J115" i="21"/>
  <c r="E21" i="21"/>
  <c r="I21" i="21"/>
  <c r="J20" i="21"/>
  <c r="J8" i="21"/>
  <c r="J18" i="21"/>
  <c r="K36" i="21"/>
  <c r="F21" i="21"/>
  <c r="G36" i="21"/>
  <c r="J9" i="21"/>
  <c r="J64" i="21"/>
  <c r="J52" i="21"/>
  <c r="J126" i="21"/>
  <c r="J114" i="21"/>
  <c r="J75" i="21"/>
  <c r="J63" i="21"/>
  <c r="J51" i="21"/>
  <c r="J125" i="21"/>
  <c r="J113" i="21"/>
  <c r="D21" i="21"/>
  <c r="J74" i="21"/>
  <c r="J62" i="21"/>
  <c r="J124" i="21"/>
  <c r="J112" i="21"/>
  <c r="D36" i="21"/>
  <c r="J34" i="21"/>
  <c r="J73" i="21"/>
  <c r="J61" i="21"/>
  <c r="J49" i="21"/>
  <c r="J123" i="21"/>
  <c r="J111" i="21"/>
  <c r="J16" i="21"/>
  <c r="J15" i="21"/>
  <c r="F36" i="21"/>
  <c r="J30" i="21"/>
  <c r="J28" i="21"/>
  <c r="J35" i="21"/>
  <c r="J19" i="21"/>
  <c r="J17" i="21"/>
  <c r="J7" i="21"/>
  <c r="J14" i="21"/>
  <c r="J13" i="21"/>
  <c r="J128" i="21" l="1"/>
  <c r="J78" i="21"/>
  <c r="J36" i="21"/>
  <c r="J21" i="21"/>
  <c r="I102" i="16" l="1"/>
  <c r="I103" i="16"/>
  <c r="I104" i="16"/>
  <c r="I105" i="16"/>
  <c r="I106" i="16"/>
  <c r="I107" i="16"/>
  <c r="I108" i="16"/>
  <c r="I109" i="16"/>
  <c r="I110" i="16"/>
  <c r="I111" i="16"/>
  <c r="I112" i="16"/>
  <c r="I113" i="16"/>
  <c r="I114" i="16"/>
  <c r="I115" i="16"/>
  <c r="I116" i="16"/>
  <c r="I117" i="16"/>
  <c r="I118" i="16"/>
  <c r="I119" i="16"/>
  <c r="I120" i="16"/>
  <c r="I121" i="16"/>
  <c r="I122" i="16"/>
  <c r="I123" i="16"/>
  <c r="I124" i="16"/>
  <c r="I125" i="16"/>
  <c r="I126" i="16"/>
  <c r="I127" i="16"/>
  <c r="I128" i="16"/>
  <c r="I129" i="16"/>
  <c r="I131" i="16"/>
  <c r="I132" i="16"/>
  <c r="I133" i="16"/>
  <c r="I134" i="16"/>
  <c r="I135" i="16"/>
  <c r="I136" i="16"/>
  <c r="I137" i="16"/>
  <c r="I93" i="16" l="1"/>
  <c r="I7" i="16" l="1"/>
  <c r="I8" i="16"/>
  <c r="I9" i="16"/>
  <c r="I10" i="16"/>
  <c r="I12" i="16"/>
  <c r="I13" i="16"/>
  <c r="I14" i="16"/>
  <c r="I15" i="16"/>
  <c r="I16" i="16"/>
  <c r="I18" i="16"/>
  <c r="I19" i="16"/>
  <c r="I20" i="16"/>
  <c r="I21" i="16"/>
  <c r="I22" i="16"/>
  <c r="I23" i="16"/>
  <c r="I24" i="16"/>
  <c r="I25" i="16"/>
  <c r="I26" i="16"/>
  <c r="I28" i="16"/>
  <c r="I29" i="16"/>
  <c r="I30" i="16"/>
  <c r="I31" i="16"/>
  <c r="I32" i="16"/>
  <c r="I33" i="16"/>
  <c r="I34" i="16"/>
  <c r="I35" i="16"/>
  <c r="I36" i="16"/>
  <c r="I38" i="16"/>
  <c r="I39" i="16"/>
  <c r="I40" i="16"/>
  <c r="I42" i="16"/>
  <c r="I43" i="16"/>
  <c r="I44" i="16"/>
  <c r="I45" i="16"/>
  <c r="I46" i="16"/>
  <c r="I47" i="16"/>
  <c r="I48" i="16"/>
  <c r="I49" i="16"/>
  <c r="I51" i="16"/>
  <c r="I52" i="16"/>
  <c r="I53" i="16"/>
  <c r="I54" i="16"/>
  <c r="I55" i="16"/>
  <c r="I57" i="16"/>
  <c r="I58" i="16"/>
  <c r="I59" i="16"/>
  <c r="I60" i="16"/>
  <c r="I61" i="16"/>
  <c r="I62" i="16"/>
  <c r="I64" i="16"/>
  <c r="I65" i="16"/>
  <c r="I66" i="16"/>
  <c r="I67" i="16"/>
  <c r="I69" i="16"/>
  <c r="I70" i="16"/>
  <c r="I71" i="16"/>
  <c r="I72" i="16"/>
  <c r="I73" i="16"/>
  <c r="F74" i="16"/>
  <c r="J74" i="16"/>
  <c r="J93" i="16"/>
  <c r="I74" i="16" l="1"/>
  <c r="H138" i="16"/>
  <c r="D138" i="16"/>
  <c r="F138" i="16"/>
  <c r="E138" i="16"/>
  <c r="G138" i="16"/>
  <c r="G93" i="16" l="1"/>
  <c r="F93" i="16"/>
  <c r="E93" i="16"/>
  <c r="D93" i="16"/>
  <c r="A47" i="17"/>
  <c r="A48" i="17"/>
  <c r="A49" i="17"/>
  <c r="A50" i="17"/>
  <c r="A51" i="17"/>
  <c r="A52" i="17"/>
  <c r="A53" i="17"/>
  <c r="A54" i="17"/>
  <c r="A55" i="17"/>
  <c r="A56" i="17"/>
  <c r="A57" i="17"/>
  <c r="A58" i="17"/>
  <c r="H93" i="16" l="1"/>
  <c r="H74" i="16"/>
  <c r="E74" i="16"/>
  <c r="D74" i="16"/>
  <c r="H48" i="17"/>
  <c r="H50" i="17"/>
  <c r="H52" i="17"/>
  <c r="H54" i="17"/>
  <c r="H55" i="17"/>
  <c r="H53" i="17"/>
  <c r="H51" i="17"/>
  <c r="G9" i="3"/>
  <c r="H17" i="17"/>
  <c r="B23" i="13"/>
  <c r="J9" i="3"/>
  <c r="G74" i="16" l="1"/>
  <c r="F45" i="7"/>
  <c r="D47" i="8" l="1"/>
  <c r="E47" i="8" s="1"/>
  <c r="D48" i="8"/>
  <c r="E48" i="8" s="1"/>
  <c r="D49" i="8"/>
  <c r="E49" i="8" s="1"/>
  <c r="D50" i="8"/>
  <c r="E50" i="8" s="1"/>
  <c r="D51" i="8"/>
  <c r="E51" i="8" s="1"/>
  <c r="D52" i="8"/>
  <c r="E52" i="8" s="1"/>
  <c r="D53" i="8"/>
  <c r="E53" i="8" s="1"/>
  <c r="D54" i="8"/>
  <c r="E54" i="8" s="1"/>
  <c r="D56" i="8"/>
  <c r="E56" i="8" s="1"/>
  <c r="D57" i="8"/>
  <c r="E57" i="8" s="1"/>
  <c r="D58" i="8"/>
  <c r="E58" i="8" s="1"/>
  <c r="D59" i="8"/>
  <c r="E59" i="8" s="1"/>
  <c r="D60" i="8"/>
  <c r="E60" i="8" s="1"/>
  <c r="D61" i="8"/>
  <c r="E61" i="8" s="1"/>
  <c r="D62" i="8"/>
  <c r="E62" i="8" s="1"/>
  <c r="D63" i="8"/>
  <c r="E63" i="8" s="1"/>
  <c r="D64" i="8"/>
  <c r="E64" i="8" s="1"/>
  <c r="D65" i="8"/>
  <c r="E65" i="8" s="1"/>
  <c r="D66" i="8"/>
  <c r="E66" i="8" s="1"/>
  <c r="D67" i="8"/>
  <c r="E67" i="8" s="1"/>
  <c r="D68" i="8"/>
  <c r="E68" i="8" s="1"/>
  <c r="D69" i="8"/>
  <c r="E69" i="8" s="1"/>
  <c r="D70" i="8"/>
  <c r="E70" i="8" s="1"/>
  <c r="D71" i="8"/>
  <c r="E71" i="8" s="1"/>
  <c r="D72" i="8"/>
  <c r="E72" i="8" s="1"/>
  <c r="D73" i="8"/>
  <c r="E73" i="8" s="1"/>
  <c r="D74" i="8"/>
  <c r="E74" i="8" s="1"/>
  <c r="D75" i="8"/>
  <c r="E75" i="8" s="1"/>
  <c r="D76" i="8"/>
  <c r="E76" i="8" s="1"/>
  <c r="D77" i="8"/>
  <c r="E77" i="8" s="1"/>
  <c r="D78" i="8"/>
  <c r="E78" i="8" s="1"/>
  <c r="D79" i="8"/>
  <c r="E79" i="8" s="1"/>
  <c r="D80" i="8"/>
  <c r="E80" i="8" s="1"/>
  <c r="D82" i="8"/>
  <c r="E82" i="8" s="1"/>
  <c r="D29" i="8"/>
  <c r="E29" i="8" s="1"/>
  <c r="D30" i="8"/>
  <c r="E30" i="8" s="1"/>
  <c r="D31" i="8"/>
  <c r="E31" i="8" s="1"/>
  <c r="D32" i="8"/>
  <c r="E32" i="8" s="1"/>
  <c r="D33" i="8"/>
  <c r="E33" i="8" s="1"/>
  <c r="D34" i="8"/>
  <c r="E34" i="8" s="1"/>
  <c r="D35" i="8"/>
  <c r="E35" i="8" s="1"/>
  <c r="D36" i="8"/>
  <c r="E36" i="8" s="1"/>
  <c r="D37" i="8"/>
  <c r="E37" i="8" s="1"/>
  <c r="D7" i="8"/>
  <c r="E7" i="8" s="1"/>
  <c r="D8" i="8"/>
  <c r="E8" i="8" s="1"/>
  <c r="D9" i="8"/>
  <c r="E9" i="8" s="1"/>
  <c r="D10" i="8"/>
  <c r="E10" i="8" s="1"/>
  <c r="D11" i="8"/>
  <c r="E11" i="8" s="1"/>
  <c r="D12" i="8"/>
  <c r="E12" i="8" s="1"/>
  <c r="D13" i="8"/>
  <c r="E13" i="8" s="1"/>
  <c r="D14" i="8"/>
  <c r="E14" i="8" s="1"/>
  <c r="D15" i="8"/>
  <c r="E15" i="8" s="1"/>
  <c r="D16" i="8"/>
  <c r="E16" i="8" s="1"/>
  <c r="D17" i="8"/>
  <c r="E17" i="8" s="1"/>
  <c r="D18" i="8"/>
  <c r="E18" i="8" s="1"/>
  <c r="D19" i="8"/>
  <c r="E19" i="8" s="1"/>
  <c r="BC76" i="2" l="1"/>
  <c r="BB76" i="2"/>
  <c r="BA76" i="2"/>
  <c r="HN76" i="2" l="1"/>
  <c r="HO76" i="2"/>
  <c r="HP76" i="2"/>
  <c r="AY76" i="2"/>
  <c r="HL76" i="2" l="1"/>
  <c r="J48" i="24"/>
  <c r="J77" i="24" s="1"/>
  <c r="G8" i="3"/>
  <c r="D113" i="8"/>
  <c r="D114" i="8"/>
  <c r="D115" i="8"/>
  <c r="D116" i="8"/>
  <c r="D117" i="8"/>
  <c r="D118" i="8"/>
  <c r="D119" i="8"/>
  <c r="D121" i="8"/>
  <c r="D122" i="8"/>
  <c r="D123" i="8"/>
  <c r="D124" i="8"/>
  <c r="D125" i="8"/>
  <c r="D126" i="8"/>
  <c r="D127" i="8"/>
  <c r="D128" i="8"/>
  <c r="E83" i="8"/>
  <c r="E38" i="8"/>
  <c r="E20" i="8"/>
  <c r="G16" i="17" l="1"/>
  <c r="G15" i="17"/>
  <c r="G14" i="17"/>
  <c r="G13" i="17"/>
  <c r="G8" i="17"/>
  <c r="I138" i="16" l="1"/>
  <c r="H32" i="17"/>
  <c r="H38" i="17"/>
  <c r="H60" i="17"/>
  <c r="G10" i="17"/>
  <c r="G17" i="17" s="1"/>
  <c r="H26" i="17"/>
  <c r="H33" i="17"/>
  <c r="H29" i="17"/>
  <c r="H31" i="17"/>
  <c r="H25" i="17"/>
  <c r="E39" i="17"/>
  <c r="H37" i="17"/>
  <c r="H59" i="17"/>
  <c r="F39" i="17"/>
  <c r="B39" i="17"/>
  <c r="G39" i="17"/>
  <c r="H35" i="17"/>
  <c r="H24" i="17"/>
  <c r="H34" i="17"/>
  <c r="H36" i="17"/>
  <c r="H30" i="17"/>
  <c r="H28" i="17"/>
  <c r="C39" i="17"/>
  <c r="D39" i="17"/>
  <c r="H27" i="17"/>
  <c r="H23" i="17"/>
  <c r="C23" i="13"/>
  <c r="C22" i="13"/>
  <c r="C21" i="13"/>
  <c r="B22" i="13"/>
  <c r="B21" i="13"/>
  <c r="C18" i="13"/>
  <c r="C17" i="13"/>
  <c r="C12" i="13"/>
  <c r="C11" i="13"/>
  <c r="C9" i="13"/>
  <c r="C8" i="13"/>
  <c r="C7" i="13"/>
  <c r="P30" i="12"/>
  <c r="O35" i="12"/>
  <c r="N35" i="12"/>
  <c r="M35" i="12"/>
  <c r="L35" i="12"/>
  <c r="K35" i="12"/>
  <c r="J35" i="12"/>
  <c r="I35" i="12"/>
  <c r="H35" i="12"/>
  <c r="F35" i="12"/>
  <c r="E35" i="12"/>
  <c r="D35" i="12"/>
  <c r="P6" i="12"/>
  <c r="P7" i="12"/>
  <c r="P8" i="12"/>
  <c r="P9" i="12"/>
  <c r="P10" i="12"/>
  <c r="P11" i="12"/>
  <c r="P12" i="12"/>
  <c r="P13" i="12"/>
  <c r="P15" i="12"/>
  <c r="P16" i="12"/>
  <c r="P17" i="12"/>
  <c r="P18" i="12"/>
  <c r="P19" i="12"/>
  <c r="P20" i="12"/>
  <c r="P21" i="12"/>
  <c r="P22" i="12"/>
  <c r="P23" i="12"/>
  <c r="P24" i="12"/>
  <c r="P25" i="12"/>
  <c r="P26" i="12"/>
  <c r="P27" i="12"/>
  <c r="P28" i="12"/>
  <c r="P29" i="12"/>
  <c r="P31" i="12"/>
  <c r="P32" i="12"/>
  <c r="P33" i="12"/>
  <c r="P34" i="12"/>
  <c r="P35" i="12"/>
  <c r="P36" i="12"/>
  <c r="P37" i="12"/>
  <c r="P39" i="12"/>
  <c r="P40" i="12"/>
  <c r="P41" i="12"/>
  <c r="N6" i="12"/>
  <c r="N7" i="12"/>
  <c r="N8" i="12"/>
  <c r="N9" i="12"/>
  <c r="N10" i="12"/>
  <c r="N11" i="12"/>
  <c r="N12" i="12"/>
  <c r="N13" i="12"/>
  <c r="N15" i="12"/>
  <c r="N16" i="12"/>
  <c r="N17" i="12"/>
  <c r="N18" i="12"/>
  <c r="N19" i="12"/>
  <c r="N20" i="12"/>
  <c r="N21" i="12"/>
  <c r="N22" i="12"/>
  <c r="N23" i="12"/>
  <c r="N24" i="12"/>
  <c r="N25" i="12"/>
  <c r="N26" i="12"/>
  <c r="N27" i="12"/>
  <c r="N28" i="12"/>
  <c r="N29" i="12"/>
  <c r="N30" i="12"/>
  <c r="N31" i="12"/>
  <c r="N32" i="12"/>
  <c r="N33" i="12"/>
  <c r="N34" i="12"/>
  <c r="N36" i="12"/>
  <c r="N37" i="12"/>
  <c r="N38" i="12"/>
  <c r="N39" i="12"/>
  <c r="N41" i="12"/>
  <c r="L6" i="12"/>
  <c r="L7" i="12"/>
  <c r="L8" i="12"/>
  <c r="L9" i="12"/>
  <c r="L10" i="12"/>
  <c r="L11" i="12"/>
  <c r="L12" i="12"/>
  <c r="L13" i="12"/>
  <c r="L15" i="12"/>
  <c r="L16" i="12"/>
  <c r="L17" i="12"/>
  <c r="L18" i="12"/>
  <c r="L19" i="12"/>
  <c r="L20" i="12"/>
  <c r="L21" i="12"/>
  <c r="L22" i="12"/>
  <c r="L23" i="12"/>
  <c r="L24" i="12"/>
  <c r="L25" i="12"/>
  <c r="L26" i="12"/>
  <c r="L27" i="12"/>
  <c r="L28" i="12"/>
  <c r="L29" i="12"/>
  <c r="L30" i="12"/>
  <c r="L31" i="12"/>
  <c r="L32" i="12"/>
  <c r="L33" i="12"/>
  <c r="L34" i="12"/>
  <c r="L36" i="12"/>
  <c r="L37" i="12"/>
  <c r="L38" i="12"/>
  <c r="L40" i="12"/>
  <c r="L41" i="12"/>
  <c r="O6" i="12"/>
  <c r="O7" i="12"/>
  <c r="O8" i="12"/>
  <c r="O9" i="12"/>
  <c r="O10" i="12"/>
  <c r="O11" i="12"/>
  <c r="O12" i="12"/>
  <c r="O13" i="12"/>
  <c r="O15" i="12"/>
  <c r="O16" i="12"/>
  <c r="O17" i="12"/>
  <c r="O18" i="12"/>
  <c r="O19" i="12"/>
  <c r="O20" i="12"/>
  <c r="O21" i="12"/>
  <c r="O22" i="12"/>
  <c r="O23" i="12"/>
  <c r="O24" i="12"/>
  <c r="O25" i="12"/>
  <c r="O26" i="12"/>
  <c r="O27" i="12"/>
  <c r="O28" i="12"/>
  <c r="O29" i="12"/>
  <c r="O30" i="12"/>
  <c r="O31" i="12"/>
  <c r="O32" i="12"/>
  <c r="O33" i="12"/>
  <c r="O34" i="12"/>
  <c r="O36" i="12"/>
  <c r="O37" i="12"/>
  <c r="O39" i="12"/>
  <c r="O40" i="12"/>
  <c r="O41" i="12"/>
  <c r="M6" i="12"/>
  <c r="M7" i="12"/>
  <c r="M8" i="12"/>
  <c r="M9" i="12"/>
  <c r="M10" i="12"/>
  <c r="M11" i="12"/>
  <c r="M12" i="12"/>
  <c r="M13" i="12"/>
  <c r="M15" i="12"/>
  <c r="M16" i="12"/>
  <c r="M17" i="12"/>
  <c r="M18" i="12"/>
  <c r="M19" i="12"/>
  <c r="M20" i="12"/>
  <c r="M21" i="12"/>
  <c r="M22" i="12"/>
  <c r="M23" i="12"/>
  <c r="M24" i="12"/>
  <c r="M25" i="12"/>
  <c r="M26" i="12"/>
  <c r="M27" i="12"/>
  <c r="M28" i="12"/>
  <c r="M29" i="12"/>
  <c r="M30" i="12"/>
  <c r="M31" i="12"/>
  <c r="M32" i="12"/>
  <c r="M33" i="12"/>
  <c r="M34" i="12"/>
  <c r="M36" i="12"/>
  <c r="M37" i="12"/>
  <c r="M38" i="12"/>
  <c r="M40" i="12"/>
  <c r="M41" i="12"/>
  <c r="K6" i="12"/>
  <c r="K7" i="12"/>
  <c r="K8" i="12"/>
  <c r="K9" i="12"/>
  <c r="K10" i="12"/>
  <c r="K11" i="12"/>
  <c r="K12" i="12"/>
  <c r="K13" i="12"/>
  <c r="K15" i="12"/>
  <c r="K16" i="12"/>
  <c r="K17" i="12"/>
  <c r="K18" i="12"/>
  <c r="K19" i="12"/>
  <c r="K20" i="12"/>
  <c r="K21" i="12"/>
  <c r="K22" i="12"/>
  <c r="K23" i="12"/>
  <c r="K24" i="12"/>
  <c r="K25" i="12"/>
  <c r="K26" i="12"/>
  <c r="K27" i="12"/>
  <c r="K28" i="12"/>
  <c r="K29" i="12"/>
  <c r="K30" i="12"/>
  <c r="K31" i="12"/>
  <c r="K32" i="12"/>
  <c r="K33" i="12"/>
  <c r="K34" i="12"/>
  <c r="K36" i="12"/>
  <c r="K37" i="12"/>
  <c r="K38" i="12"/>
  <c r="K39" i="12"/>
  <c r="K41" i="12"/>
  <c r="J6" i="12"/>
  <c r="J7" i="12"/>
  <c r="J8" i="12"/>
  <c r="J9" i="12"/>
  <c r="J10" i="12"/>
  <c r="J11" i="12"/>
  <c r="J12" i="12"/>
  <c r="J13" i="12"/>
  <c r="J15" i="12"/>
  <c r="J16" i="12"/>
  <c r="J17" i="12"/>
  <c r="J18" i="12"/>
  <c r="J19" i="12"/>
  <c r="J20" i="12"/>
  <c r="J21" i="12"/>
  <c r="J22" i="12"/>
  <c r="J23" i="12"/>
  <c r="J24" i="12"/>
  <c r="J25" i="12"/>
  <c r="J26" i="12"/>
  <c r="J27" i="12"/>
  <c r="J28" i="12"/>
  <c r="J29" i="12"/>
  <c r="J30" i="12"/>
  <c r="J31" i="12"/>
  <c r="J32" i="12"/>
  <c r="J33" i="12"/>
  <c r="J34" i="12"/>
  <c r="J36" i="12"/>
  <c r="J37" i="12"/>
  <c r="J38" i="12"/>
  <c r="J40" i="12"/>
  <c r="J41" i="12"/>
  <c r="I6" i="12"/>
  <c r="I7" i="12"/>
  <c r="I8" i="12"/>
  <c r="I9" i="12"/>
  <c r="I10" i="12"/>
  <c r="I11" i="12"/>
  <c r="I12" i="12"/>
  <c r="I13" i="12"/>
  <c r="I15" i="12"/>
  <c r="I16" i="12"/>
  <c r="I17" i="12"/>
  <c r="I18" i="12"/>
  <c r="I19" i="12"/>
  <c r="I20" i="12"/>
  <c r="I21" i="12"/>
  <c r="I22" i="12"/>
  <c r="I23" i="12"/>
  <c r="I24" i="12"/>
  <c r="I25" i="12"/>
  <c r="I26" i="12"/>
  <c r="I27" i="12"/>
  <c r="I28" i="12"/>
  <c r="I29" i="12"/>
  <c r="I30" i="12"/>
  <c r="I31" i="12"/>
  <c r="I32" i="12"/>
  <c r="I33" i="12"/>
  <c r="I34" i="12"/>
  <c r="I36" i="12"/>
  <c r="I37" i="12"/>
  <c r="I38" i="12"/>
  <c r="I39" i="12"/>
  <c r="I40" i="12"/>
  <c r="H6" i="12"/>
  <c r="H7" i="12"/>
  <c r="H8" i="12"/>
  <c r="H9" i="12"/>
  <c r="H10" i="12"/>
  <c r="H11" i="12"/>
  <c r="H12" i="12"/>
  <c r="H13" i="12"/>
  <c r="H15" i="12"/>
  <c r="H16" i="12"/>
  <c r="H17" i="12"/>
  <c r="H18" i="12"/>
  <c r="H19" i="12"/>
  <c r="H20" i="12"/>
  <c r="H21" i="12"/>
  <c r="H22" i="12"/>
  <c r="H23" i="12"/>
  <c r="H24" i="12"/>
  <c r="H25" i="12"/>
  <c r="H26" i="12"/>
  <c r="H27" i="12"/>
  <c r="H28" i="12"/>
  <c r="H29" i="12"/>
  <c r="H30" i="12"/>
  <c r="H31" i="12"/>
  <c r="H32" i="12"/>
  <c r="H33" i="12"/>
  <c r="H34" i="12"/>
  <c r="H36" i="12"/>
  <c r="H37" i="12"/>
  <c r="H38" i="12"/>
  <c r="H40" i="12"/>
  <c r="H41" i="12"/>
  <c r="F6" i="12"/>
  <c r="F7" i="12"/>
  <c r="F8" i="12"/>
  <c r="F9" i="12"/>
  <c r="F10" i="12"/>
  <c r="F11" i="12"/>
  <c r="F12" i="12"/>
  <c r="F13" i="12"/>
  <c r="F15" i="12"/>
  <c r="F16" i="12"/>
  <c r="F17" i="12"/>
  <c r="F18" i="12"/>
  <c r="F19" i="12"/>
  <c r="F20" i="12"/>
  <c r="F21" i="12"/>
  <c r="F22" i="12"/>
  <c r="F23" i="12"/>
  <c r="F24" i="12"/>
  <c r="F25" i="12"/>
  <c r="F26" i="12"/>
  <c r="F27" i="12"/>
  <c r="F28" i="12"/>
  <c r="F29" i="12"/>
  <c r="F30" i="12"/>
  <c r="F31" i="12"/>
  <c r="F32" i="12"/>
  <c r="F33" i="12"/>
  <c r="F34" i="12"/>
  <c r="F36" i="12"/>
  <c r="F37" i="12"/>
  <c r="F38" i="12"/>
  <c r="F39" i="12"/>
  <c r="F41" i="12"/>
  <c r="E6" i="12"/>
  <c r="E7" i="12"/>
  <c r="E8" i="12"/>
  <c r="E9" i="12"/>
  <c r="E10" i="12"/>
  <c r="E11" i="12"/>
  <c r="E12" i="12"/>
  <c r="E13" i="12"/>
  <c r="E15" i="12"/>
  <c r="E16" i="12"/>
  <c r="E17" i="12"/>
  <c r="E18" i="12"/>
  <c r="E19" i="12"/>
  <c r="E20" i="12"/>
  <c r="E21" i="12"/>
  <c r="E22" i="12"/>
  <c r="E23" i="12"/>
  <c r="E24" i="12"/>
  <c r="E25" i="12"/>
  <c r="E26" i="12"/>
  <c r="E27" i="12"/>
  <c r="E28" i="12"/>
  <c r="E29" i="12"/>
  <c r="E30" i="12"/>
  <c r="E31" i="12"/>
  <c r="E32" i="12"/>
  <c r="E33" i="12"/>
  <c r="E34" i="12"/>
  <c r="E36" i="12"/>
  <c r="E37" i="12"/>
  <c r="E39" i="12"/>
  <c r="E40" i="12"/>
  <c r="E41" i="12"/>
  <c r="D6" i="12"/>
  <c r="D7" i="12"/>
  <c r="D8" i="12"/>
  <c r="D9" i="12"/>
  <c r="D10" i="12"/>
  <c r="D11" i="12"/>
  <c r="D12" i="12"/>
  <c r="D13" i="12"/>
  <c r="D15" i="12"/>
  <c r="D16" i="12"/>
  <c r="D17" i="12"/>
  <c r="D18" i="12"/>
  <c r="D19" i="12"/>
  <c r="D20" i="12"/>
  <c r="D21" i="12"/>
  <c r="D22" i="12"/>
  <c r="D23" i="12"/>
  <c r="D24" i="12"/>
  <c r="D25" i="12"/>
  <c r="D26" i="12"/>
  <c r="D27" i="12"/>
  <c r="D28" i="12"/>
  <c r="D29" i="12"/>
  <c r="D30" i="12"/>
  <c r="D31" i="12"/>
  <c r="D32" i="12"/>
  <c r="D33" i="12"/>
  <c r="D34" i="12"/>
  <c r="D36" i="12"/>
  <c r="D37" i="12"/>
  <c r="D38" i="12"/>
  <c r="D40" i="12"/>
  <c r="G40" i="12" s="1"/>
  <c r="D41" i="12"/>
  <c r="R39" i="12" l="1"/>
  <c r="G39" i="12"/>
  <c r="C10" i="13"/>
  <c r="C24" i="13" s="1"/>
  <c r="R7" i="12"/>
  <c r="R9" i="12"/>
  <c r="R12" i="12"/>
  <c r="R37" i="12"/>
  <c r="R24" i="12"/>
  <c r="R34" i="12"/>
  <c r="R26" i="12"/>
  <c r="R22" i="12"/>
  <c r="R33" i="12"/>
  <c r="R38" i="12"/>
  <c r="R25" i="12"/>
  <c r="R13" i="12"/>
  <c r="R11" i="12"/>
  <c r="R32" i="12"/>
  <c r="R20" i="12"/>
  <c r="R8" i="12"/>
  <c r="R19" i="12"/>
  <c r="R23" i="12"/>
  <c r="R10" i="12"/>
  <c r="R31" i="12"/>
  <c r="R30" i="12"/>
  <c r="R18" i="12"/>
  <c r="R6" i="12"/>
  <c r="R36" i="12"/>
  <c r="R21" i="12"/>
  <c r="R29" i="12"/>
  <c r="R17" i="12"/>
  <c r="R41" i="12"/>
  <c r="R28" i="12"/>
  <c r="R16" i="12"/>
  <c r="R35" i="12"/>
  <c r="R40" i="12"/>
  <c r="R27" i="12"/>
  <c r="R15" i="12"/>
  <c r="K42" i="12"/>
  <c r="I42" i="12"/>
  <c r="J42" i="12"/>
  <c r="H42" i="12"/>
  <c r="M42" i="12"/>
  <c r="O42" i="12"/>
  <c r="Q42" i="12"/>
  <c r="E42" i="12"/>
  <c r="F42" i="12"/>
  <c r="D42" i="12"/>
  <c r="G25" i="12"/>
  <c r="G31" i="12"/>
  <c r="G19" i="12"/>
  <c r="G7" i="12"/>
  <c r="G26" i="12"/>
  <c r="G30" i="12"/>
  <c r="G29" i="12"/>
  <c r="G41" i="12"/>
  <c r="G27" i="12"/>
  <c r="G15" i="12"/>
  <c r="G18" i="12"/>
  <c r="G20" i="12"/>
  <c r="G8" i="12"/>
  <c r="G32" i="12"/>
  <c r="G33" i="12"/>
  <c r="G21" i="12"/>
  <c r="G9" i="12"/>
  <c r="G28" i="12"/>
  <c r="G16" i="12"/>
  <c r="G35" i="12"/>
  <c r="G24" i="12"/>
  <c r="G11" i="12"/>
  <c r="H58" i="17"/>
  <c r="D61" i="17"/>
  <c r="G61" i="17"/>
  <c r="E61" i="17"/>
  <c r="C61" i="17"/>
  <c r="H57" i="17"/>
  <c r="H47" i="17"/>
  <c r="B61" i="17"/>
  <c r="H39" i="17"/>
  <c r="K26" i="17" s="1"/>
  <c r="H49" i="17"/>
  <c r="F61" i="17"/>
  <c r="H56" i="17"/>
  <c r="G38" i="12"/>
  <c r="G10" i="12"/>
  <c r="G17" i="12"/>
  <c r="G13" i="12"/>
  <c r="G34" i="12"/>
  <c r="G22" i="12"/>
  <c r="G37" i="12"/>
  <c r="G36" i="12"/>
  <c r="G12" i="12"/>
  <c r="G23" i="12"/>
  <c r="G6" i="12"/>
  <c r="G42" i="12" l="1"/>
  <c r="L26" i="17"/>
  <c r="H61" i="17"/>
  <c r="R42" i="12" l="1"/>
  <c r="J131" i="11" l="1"/>
  <c r="H131" i="11"/>
  <c r="E131" i="11"/>
  <c r="D131" i="11"/>
  <c r="J126" i="11"/>
  <c r="H126" i="11"/>
  <c r="F126" i="11"/>
  <c r="E126" i="11"/>
  <c r="D126" i="11"/>
  <c r="J129" i="11"/>
  <c r="F129" i="11"/>
  <c r="D129" i="11"/>
  <c r="J128" i="11"/>
  <c r="H128" i="11"/>
  <c r="F128" i="11"/>
  <c r="E128" i="11"/>
  <c r="D128" i="11"/>
  <c r="J127" i="11"/>
  <c r="H127" i="11"/>
  <c r="F127" i="11"/>
  <c r="E127" i="11"/>
  <c r="D127" i="11"/>
  <c r="J130" i="11"/>
  <c r="K130" i="11" s="1"/>
  <c r="H130" i="11"/>
  <c r="F130" i="11"/>
  <c r="E130" i="11"/>
  <c r="D130" i="11"/>
  <c r="J125" i="11"/>
  <c r="H125" i="11"/>
  <c r="F125" i="11"/>
  <c r="E125" i="11"/>
  <c r="D125" i="11"/>
  <c r="J124" i="11"/>
  <c r="H124" i="11"/>
  <c r="F124" i="11"/>
  <c r="E124" i="11"/>
  <c r="D124" i="11"/>
  <c r="H132" i="11"/>
  <c r="F132" i="11"/>
  <c r="E132" i="11"/>
  <c r="D132" i="11"/>
  <c r="J123" i="11"/>
  <c r="H123" i="11"/>
  <c r="F123" i="11"/>
  <c r="E123" i="11"/>
  <c r="D123" i="11"/>
  <c r="J122" i="11"/>
  <c r="H122" i="11"/>
  <c r="F122" i="11"/>
  <c r="E122" i="11"/>
  <c r="D122" i="11"/>
  <c r="J121" i="11"/>
  <c r="H121" i="11"/>
  <c r="F121" i="11"/>
  <c r="E121" i="11"/>
  <c r="D121" i="11"/>
  <c r="J120" i="11"/>
  <c r="H120" i="11"/>
  <c r="F120" i="11"/>
  <c r="E120" i="11"/>
  <c r="D120" i="11"/>
  <c r="J119" i="11"/>
  <c r="H119" i="11"/>
  <c r="F119" i="11"/>
  <c r="E119" i="11"/>
  <c r="D119" i="11"/>
  <c r="J118" i="11"/>
  <c r="H118" i="11"/>
  <c r="F118" i="11"/>
  <c r="E118" i="11"/>
  <c r="D118" i="11"/>
  <c r="J117" i="11"/>
  <c r="H117" i="11"/>
  <c r="F117" i="11"/>
  <c r="E117" i="11"/>
  <c r="D117" i="11"/>
  <c r="J116" i="11"/>
  <c r="H116" i="11"/>
  <c r="F116" i="11"/>
  <c r="E116" i="11"/>
  <c r="J78" i="11"/>
  <c r="I78" i="11"/>
  <c r="H78" i="11"/>
  <c r="E78" i="11"/>
  <c r="D78" i="11"/>
  <c r="J77" i="11"/>
  <c r="I77" i="11"/>
  <c r="H77" i="11"/>
  <c r="F77" i="11"/>
  <c r="D77" i="11"/>
  <c r="J51" i="11"/>
  <c r="I51" i="11"/>
  <c r="H51" i="11"/>
  <c r="F51" i="11"/>
  <c r="E51" i="11"/>
  <c r="D51" i="11"/>
  <c r="J76" i="11"/>
  <c r="I76" i="11"/>
  <c r="H76" i="11"/>
  <c r="F76" i="11"/>
  <c r="E76" i="11"/>
  <c r="D76" i="11"/>
  <c r="J75" i="11"/>
  <c r="I75" i="11"/>
  <c r="H75" i="11"/>
  <c r="F75" i="11"/>
  <c r="E75" i="11"/>
  <c r="D75" i="11"/>
  <c r="J74" i="11"/>
  <c r="H74" i="11"/>
  <c r="F74" i="11"/>
  <c r="E74" i="11"/>
  <c r="D74" i="11"/>
  <c r="J73" i="11"/>
  <c r="I73" i="11"/>
  <c r="H73" i="11"/>
  <c r="F73" i="11"/>
  <c r="E73" i="11"/>
  <c r="D73" i="11"/>
  <c r="J72" i="11"/>
  <c r="I72" i="11"/>
  <c r="F72" i="11"/>
  <c r="E72" i="11"/>
  <c r="D72" i="11"/>
  <c r="J71" i="11"/>
  <c r="I71" i="11"/>
  <c r="H71" i="11"/>
  <c r="F71" i="11"/>
  <c r="E71" i="11"/>
  <c r="J70" i="11"/>
  <c r="I70" i="11"/>
  <c r="H70" i="11"/>
  <c r="F70" i="11"/>
  <c r="E70" i="11"/>
  <c r="D70" i="11"/>
  <c r="J69" i="11"/>
  <c r="I69" i="11"/>
  <c r="H69" i="11"/>
  <c r="F69" i="11"/>
  <c r="E69" i="11"/>
  <c r="D69" i="11"/>
  <c r="J68" i="11"/>
  <c r="I68" i="11"/>
  <c r="H68" i="11"/>
  <c r="F68" i="11"/>
  <c r="E68" i="11"/>
  <c r="D68" i="11"/>
  <c r="J67" i="11"/>
  <c r="I67" i="11"/>
  <c r="H67" i="11"/>
  <c r="F67" i="11"/>
  <c r="E67" i="11"/>
  <c r="D67" i="11"/>
  <c r="J66" i="11"/>
  <c r="I66" i="11"/>
  <c r="H66" i="11"/>
  <c r="F66" i="11"/>
  <c r="E66" i="11"/>
  <c r="D66" i="11"/>
  <c r="J65" i="11"/>
  <c r="I65" i="11"/>
  <c r="H65" i="11"/>
  <c r="F65" i="11"/>
  <c r="E65" i="11"/>
  <c r="D65" i="11"/>
  <c r="J64" i="11"/>
  <c r="I64" i="11"/>
  <c r="H64" i="11"/>
  <c r="F64" i="11"/>
  <c r="E64" i="11"/>
  <c r="D64" i="11"/>
  <c r="J63" i="11"/>
  <c r="I63" i="11"/>
  <c r="H63" i="11"/>
  <c r="F63" i="11"/>
  <c r="E63" i="11"/>
  <c r="D63" i="11"/>
  <c r="J62" i="11"/>
  <c r="I62" i="11"/>
  <c r="H62" i="11"/>
  <c r="F62" i="11"/>
  <c r="E62" i="11"/>
  <c r="D62" i="11"/>
  <c r="J61" i="11"/>
  <c r="I61" i="11"/>
  <c r="H61" i="11"/>
  <c r="F61" i="11"/>
  <c r="E61" i="11"/>
  <c r="D61" i="11"/>
  <c r="J60" i="11"/>
  <c r="I60" i="11"/>
  <c r="H60" i="11"/>
  <c r="F60" i="11"/>
  <c r="E60" i="11"/>
  <c r="D60" i="11"/>
  <c r="J59" i="11"/>
  <c r="I59" i="11"/>
  <c r="H59" i="11"/>
  <c r="F59" i="11"/>
  <c r="E59" i="11"/>
  <c r="D59" i="11"/>
  <c r="J58" i="11"/>
  <c r="I58" i="11"/>
  <c r="H58" i="11"/>
  <c r="F58" i="11"/>
  <c r="E58" i="11"/>
  <c r="D58" i="11"/>
  <c r="J57" i="11"/>
  <c r="I57" i="11"/>
  <c r="H57" i="11"/>
  <c r="F57" i="11"/>
  <c r="E57" i="11"/>
  <c r="D57" i="11"/>
  <c r="J56" i="11"/>
  <c r="I56" i="11"/>
  <c r="H56" i="11"/>
  <c r="F56" i="11"/>
  <c r="E56" i="11"/>
  <c r="D56" i="11"/>
  <c r="J55" i="11"/>
  <c r="I55" i="11"/>
  <c r="H55" i="11"/>
  <c r="F55" i="11"/>
  <c r="E55" i="11"/>
  <c r="D55" i="11"/>
  <c r="J54" i="11"/>
  <c r="I54" i="11"/>
  <c r="H54" i="11"/>
  <c r="F54" i="11"/>
  <c r="E54" i="11"/>
  <c r="D54" i="11"/>
  <c r="J53" i="11"/>
  <c r="I53" i="11"/>
  <c r="H53" i="11"/>
  <c r="F53" i="11"/>
  <c r="E53" i="11"/>
  <c r="D53" i="11"/>
  <c r="J50" i="11"/>
  <c r="I50" i="11"/>
  <c r="H50" i="11"/>
  <c r="F50" i="11"/>
  <c r="E50" i="11"/>
  <c r="D50" i="11"/>
  <c r="J49" i="11"/>
  <c r="I49" i="11"/>
  <c r="H49" i="11"/>
  <c r="F49" i="11"/>
  <c r="E49" i="11"/>
  <c r="D49" i="11"/>
  <c r="J48" i="11"/>
  <c r="I48" i="11"/>
  <c r="H48" i="11"/>
  <c r="F48" i="11"/>
  <c r="E48" i="11"/>
  <c r="D48" i="11"/>
  <c r="J47" i="11"/>
  <c r="I47" i="11"/>
  <c r="H47" i="11"/>
  <c r="F47" i="11"/>
  <c r="E47" i="11"/>
  <c r="D47" i="11"/>
  <c r="J46" i="11"/>
  <c r="I46" i="11"/>
  <c r="H46" i="11"/>
  <c r="F46" i="11"/>
  <c r="E46" i="11"/>
  <c r="D46" i="11"/>
  <c r="J45" i="11"/>
  <c r="I45" i="11"/>
  <c r="H45" i="11"/>
  <c r="F45" i="11"/>
  <c r="E45" i="11"/>
  <c r="D45" i="11"/>
  <c r="J44" i="11"/>
  <c r="I44" i="11"/>
  <c r="H44" i="11"/>
  <c r="F44" i="11"/>
  <c r="E44" i="11"/>
  <c r="D44" i="11"/>
  <c r="J43" i="11"/>
  <c r="I43" i="11"/>
  <c r="H43" i="11"/>
  <c r="F43" i="11"/>
  <c r="E43" i="11"/>
  <c r="D43" i="11"/>
  <c r="J35" i="11"/>
  <c r="I35" i="11"/>
  <c r="H35" i="11"/>
  <c r="F35" i="11"/>
  <c r="E35" i="11"/>
  <c r="D35" i="11"/>
  <c r="J34" i="11"/>
  <c r="I34" i="11"/>
  <c r="H34" i="11"/>
  <c r="F34" i="11"/>
  <c r="E34" i="11"/>
  <c r="D34" i="11"/>
  <c r="J33" i="11"/>
  <c r="I33" i="11"/>
  <c r="H33" i="11"/>
  <c r="F33" i="11"/>
  <c r="E33" i="11"/>
  <c r="D33" i="11"/>
  <c r="J32" i="11"/>
  <c r="I32" i="11"/>
  <c r="H32" i="11"/>
  <c r="F32" i="11"/>
  <c r="E32" i="11"/>
  <c r="D32" i="11"/>
  <c r="K67" i="11" l="1"/>
  <c r="G72" i="11"/>
  <c r="E133" i="11"/>
  <c r="D79" i="11"/>
  <c r="I36" i="11"/>
  <c r="J36" i="11"/>
  <c r="F133" i="11"/>
  <c r="H133" i="11"/>
  <c r="H79" i="11"/>
  <c r="J133" i="11"/>
  <c r="E36" i="11"/>
  <c r="F36" i="11"/>
  <c r="H36" i="11"/>
  <c r="D36" i="11"/>
  <c r="D133" i="11"/>
  <c r="G130" i="11"/>
  <c r="L130" i="11" s="1"/>
  <c r="D129" i="8"/>
  <c r="D83" i="8"/>
  <c r="D38" i="8"/>
  <c r="D20" i="8"/>
  <c r="G117" i="11"/>
  <c r="G120" i="11"/>
  <c r="G123" i="11"/>
  <c r="G125" i="11"/>
  <c r="G116" i="11"/>
  <c r="G119" i="11"/>
  <c r="G122" i="11"/>
  <c r="G124" i="11"/>
  <c r="G127" i="11"/>
  <c r="G126" i="11"/>
  <c r="G118" i="11"/>
  <c r="G121" i="11"/>
  <c r="G132" i="11"/>
  <c r="G129" i="11"/>
  <c r="G128" i="11"/>
  <c r="G34" i="11"/>
  <c r="G44" i="11"/>
  <c r="G47" i="11"/>
  <c r="G50" i="11"/>
  <c r="G54" i="11"/>
  <c r="G57" i="11"/>
  <c r="G60" i="11"/>
  <c r="G63" i="11"/>
  <c r="G66" i="11"/>
  <c r="G69" i="11"/>
  <c r="G75" i="11"/>
  <c r="G32" i="11"/>
  <c r="G35" i="11"/>
  <c r="G45" i="11"/>
  <c r="G48" i="11"/>
  <c r="G55" i="11"/>
  <c r="G58" i="11"/>
  <c r="G61" i="11"/>
  <c r="G64" i="11"/>
  <c r="G67" i="11"/>
  <c r="G70" i="11"/>
  <c r="G73" i="11"/>
  <c r="G76" i="11"/>
  <c r="K127" i="11"/>
  <c r="K126" i="11"/>
  <c r="G77" i="11"/>
  <c r="K118" i="11"/>
  <c r="K121" i="11"/>
  <c r="K132" i="11"/>
  <c r="K120" i="11"/>
  <c r="K123" i="11"/>
  <c r="K125" i="11"/>
  <c r="K128" i="11"/>
  <c r="K131" i="11"/>
  <c r="K116" i="11"/>
  <c r="K119" i="11"/>
  <c r="K122" i="11"/>
  <c r="K124" i="11"/>
  <c r="K32" i="11"/>
  <c r="K35" i="11"/>
  <c r="K129" i="11"/>
  <c r="G131" i="11"/>
  <c r="K34" i="11"/>
  <c r="K44" i="11"/>
  <c r="K47" i="11"/>
  <c r="K50" i="11"/>
  <c r="K54" i="11"/>
  <c r="K57" i="11"/>
  <c r="K60" i="11"/>
  <c r="K63" i="11"/>
  <c r="K72" i="11"/>
  <c r="K75" i="11"/>
  <c r="K77" i="11"/>
  <c r="K117" i="11"/>
  <c r="K33" i="11"/>
  <c r="K43" i="11"/>
  <c r="K46" i="11"/>
  <c r="K65" i="11"/>
  <c r="K68" i="11"/>
  <c r="K71" i="11"/>
  <c r="K74" i="11"/>
  <c r="K51" i="11"/>
  <c r="K45" i="11"/>
  <c r="K66" i="11"/>
  <c r="K69" i="11"/>
  <c r="G33" i="11"/>
  <c r="G43" i="11"/>
  <c r="G46" i="11"/>
  <c r="G49" i="11"/>
  <c r="G53" i="11"/>
  <c r="G56" i="11"/>
  <c r="G59" i="11"/>
  <c r="G62" i="11"/>
  <c r="G65" i="11"/>
  <c r="G68" i="11"/>
  <c r="G71" i="11"/>
  <c r="G74" i="11"/>
  <c r="G51" i="11"/>
  <c r="K49" i="11"/>
  <c r="K53" i="11"/>
  <c r="K56" i="11"/>
  <c r="K59" i="11"/>
  <c r="K62" i="11"/>
  <c r="G78" i="11"/>
  <c r="K48" i="11"/>
  <c r="K55" i="11"/>
  <c r="K58" i="11"/>
  <c r="K61" i="11"/>
  <c r="K64" i="11"/>
  <c r="K70" i="11"/>
  <c r="K73" i="11"/>
  <c r="K76" i="11"/>
  <c r="K78" i="11"/>
  <c r="L68" i="11" l="1"/>
  <c r="N68" i="11" s="1"/>
  <c r="K133" i="11"/>
  <c r="K79" i="11"/>
  <c r="G133" i="11"/>
  <c r="G36" i="11"/>
  <c r="G79" i="11"/>
  <c r="K36" i="11"/>
  <c r="L35" i="11"/>
  <c r="L33" i="11"/>
  <c r="L34" i="11"/>
  <c r="L32" i="11"/>
  <c r="L125" i="11"/>
  <c r="L116" i="11"/>
  <c r="L118" i="11"/>
  <c r="L117" i="11"/>
  <c r="L123" i="11"/>
  <c r="L122" i="11"/>
  <c r="L120" i="11"/>
  <c r="L119" i="11"/>
  <c r="L124" i="11"/>
  <c r="L63" i="11"/>
  <c r="N63" i="11" s="1"/>
  <c r="L50" i="11"/>
  <c r="N50" i="11" s="1"/>
  <c r="L126" i="11"/>
  <c r="L127" i="11"/>
  <c r="L60" i="11"/>
  <c r="N60" i="11" s="1"/>
  <c r="L70" i="11"/>
  <c r="N70" i="11" s="1"/>
  <c r="L57" i="11"/>
  <c r="N57" i="11" s="1"/>
  <c r="L132" i="11"/>
  <c r="L47" i="11"/>
  <c r="N47" i="11" s="1"/>
  <c r="L43" i="11"/>
  <c r="N43" i="11" s="1"/>
  <c r="L54" i="11"/>
  <c r="N54" i="11" s="1"/>
  <c r="L128" i="11"/>
  <c r="L72" i="11"/>
  <c r="N72" i="11" s="1"/>
  <c r="L67" i="11"/>
  <c r="N67" i="11" s="1"/>
  <c r="L46" i="11"/>
  <c r="N46" i="11" s="1"/>
  <c r="L73" i="11"/>
  <c r="N73" i="11" s="1"/>
  <c r="L69" i="11"/>
  <c r="N69" i="11" s="1"/>
  <c r="L129" i="11"/>
  <c r="L61" i="11"/>
  <c r="N61" i="11" s="1"/>
  <c r="L121" i="11"/>
  <c r="L64" i="11"/>
  <c r="N64" i="11" s="1"/>
  <c r="L49" i="11"/>
  <c r="N49" i="11" s="1"/>
  <c r="L44" i="11"/>
  <c r="N44" i="11" s="1"/>
  <c r="L66" i="11"/>
  <c r="N66" i="11" s="1"/>
  <c r="L77" i="11"/>
  <c r="N77" i="11" s="1"/>
  <c r="L75" i="11"/>
  <c r="N75" i="11" s="1"/>
  <c r="L76" i="11"/>
  <c r="N76" i="11" s="1"/>
  <c r="L131" i="11"/>
  <c r="L45" i="11"/>
  <c r="N45" i="11" s="1"/>
  <c r="L48" i="11"/>
  <c r="N48" i="11" s="1"/>
  <c r="L55" i="11"/>
  <c r="N55" i="11" s="1"/>
  <c r="L58" i="11"/>
  <c r="N58" i="11" s="1"/>
  <c r="L78" i="11"/>
  <c r="N78" i="11" s="1"/>
  <c r="L59" i="11"/>
  <c r="N59" i="11" s="1"/>
  <c r="L65" i="11"/>
  <c r="N65" i="11" s="1"/>
  <c r="L74" i="11"/>
  <c r="N74" i="11" s="1"/>
  <c r="L56" i="11"/>
  <c r="N56" i="11" s="1"/>
  <c r="L51" i="11"/>
  <c r="N51" i="11" s="1"/>
  <c r="L71" i="11"/>
  <c r="N71" i="11" s="1"/>
  <c r="L62" i="11"/>
  <c r="N62" i="11" s="1"/>
  <c r="L53" i="11"/>
  <c r="N53" i="11" s="1"/>
  <c r="M79" i="11" l="1"/>
  <c r="L36" i="11"/>
  <c r="L79" i="11"/>
  <c r="L133" i="11"/>
  <c r="B59" i="3"/>
  <c r="C59" i="3"/>
  <c r="E59" i="3"/>
  <c r="F59" i="3"/>
  <c r="G59" i="3"/>
  <c r="B60" i="3"/>
  <c r="C60" i="3"/>
  <c r="D60" i="3"/>
  <c r="E60" i="3"/>
  <c r="F60" i="3"/>
  <c r="G60" i="3"/>
  <c r="F6" i="7" l="1"/>
  <c r="F79" i="7"/>
  <c r="G79" i="7"/>
  <c r="A52" i="3" l="1"/>
  <c r="A55" i="3"/>
  <c r="A51" i="3"/>
  <c r="A54" i="3"/>
  <c r="A49" i="3"/>
  <c r="A50" i="3"/>
  <c r="A56" i="3"/>
  <c r="A53" i="3"/>
  <c r="A57" i="3"/>
  <c r="A58" i="3"/>
  <c r="A47" i="3"/>
  <c r="A48" i="3"/>
  <c r="G45" i="7"/>
  <c r="G46" i="7"/>
  <c r="G47" i="7"/>
  <c r="G48" i="7"/>
  <c r="G49" i="7"/>
  <c r="G50" i="7"/>
  <c r="G51" i="7"/>
  <c r="G52" i="7"/>
  <c r="G54" i="7"/>
  <c r="G55" i="7"/>
  <c r="G56" i="7"/>
  <c r="G57" i="7"/>
  <c r="G58" i="7"/>
  <c r="G59" i="7"/>
  <c r="G60" i="7"/>
  <c r="G61" i="7"/>
  <c r="G62" i="7"/>
  <c r="G63" i="7"/>
  <c r="G64" i="7"/>
  <c r="G65" i="7"/>
  <c r="G66" i="7"/>
  <c r="G67" i="7"/>
  <c r="G68" i="7"/>
  <c r="G69" i="7"/>
  <c r="G70" i="7"/>
  <c r="G71" i="7"/>
  <c r="G72" i="7"/>
  <c r="G73" i="7"/>
  <c r="G74" i="7"/>
  <c r="G75" i="7"/>
  <c r="G76" i="7"/>
  <c r="G78" i="7"/>
  <c r="G80" i="7"/>
  <c r="G28" i="7"/>
  <c r="G29" i="7"/>
  <c r="G30" i="7"/>
  <c r="G31" i="7"/>
  <c r="G32" i="7"/>
  <c r="G33" i="7"/>
  <c r="G34" i="7"/>
  <c r="G35" i="7"/>
  <c r="G36" i="7"/>
  <c r="G6" i="7"/>
  <c r="G7" i="7"/>
  <c r="G8" i="7"/>
  <c r="G9" i="7"/>
  <c r="G10" i="7"/>
  <c r="G11" i="7"/>
  <c r="G12" i="7"/>
  <c r="G13" i="7"/>
  <c r="G14" i="7"/>
  <c r="G15" i="7"/>
  <c r="G16" i="7"/>
  <c r="G17" i="7"/>
  <c r="G18" i="7"/>
  <c r="G19" i="7"/>
  <c r="F46" i="7"/>
  <c r="F47" i="7"/>
  <c r="F48" i="7"/>
  <c r="F49" i="7"/>
  <c r="F50" i="7"/>
  <c r="F51" i="7"/>
  <c r="F52" i="7"/>
  <c r="F54" i="7"/>
  <c r="F55" i="7"/>
  <c r="F56" i="7"/>
  <c r="F57" i="7"/>
  <c r="F58" i="7"/>
  <c r="F59" i="7"/>
  <c r="F60" i="7"/>
  <c r="F61" i="7"/>
  <c r="F62" i="7"/>
  <c r="F63" i="7"/>
  <c r="F64" i="7"/>
  <c r="F65" i="7"/>
  <c r="F66" i="7"/>
  <c r="F67" i="7"/>
  <c r="F68" i="7"/>
  <c r="F69" i="7"/>
  <c r="F70" i="7"/>
  <c r="F71" i="7"/>
  <c r="F72" i="7"/>
  <c r="F73" i="7"/>
  <c r="F74" i="7"/>
  <c r="F75" i="7"/>
  <c r="F76" i="7"/>
  <c r="F77" i="7"/>
  <c r="F80" i="7"/>
  <c r="F28" i="7"/>
  <c r="F29" i="7"/>
  <c r="F30" i="7"/>
  <c r="F31" i="7"/>
  <c r="F32" i="7"/>
  <c r="F33" i="7"/>
  <c r="F34" i="7"/>
  <c r="F35" i="7"/>
  <c r="F36" i="7"/>
  <c r="F7" i="7"/>
  <c r="F8" i="7"/>
  <c r="F9" i="7"/>
  <c r="F10" i="7"/>
  <c r="F11" i="7"/>
  <c r="F12" i="7"/>
  <c r="F13" i="7"/>
  <c r="F14" i="7"/>
  <c r="F15" i="7"/>
  <c r="F16" i="7"/>
  <c r="F17" i="7"/>
  <c r="F18" i="7"/>
  <c r="F19" i="7"/>
  <c r="E45" i="7"/>
  <c r="E46" i="7"/>
  <c r="E47" i="7"/>
  <c r="E48" i="7"/>
  <c r="E49" i="7"/>
  <c r="E50" i="7"/>
  <c r="E51" i="7"/>
  <c r="E52" i="7"/>
  <c r="E54" i="7"/>
  <c r="E55" i="7"/>
  <c r="E56" i="7"/>
  <c r="E57" i="7"/>
  <c r="E58" i="7"/>
  <c r="E59" i="7"/>
  <c r="E60" i="7"/>
  <c r="E61" i="7"/>
  <c r="E62" i="7"/>
  <c r="E63" i="7"/>
  <c r="E64" i="7"/>
  <c r="E65" i="7"/>
  <c r="E66" i="7"/>
  <c r="E67" i="7"/>
  <c r="E68" i="7"/>
  <c r="E69" i="7"/>
  <c r="E70" i="7"/>
  <c r="E71" i="7"/>
  <c r="E72" i="7"/>
  <c r="E73" i="7"/>
  <c r="E74" i="7"/>
  <c r="E75" i="7"/>
  <c r="E76" i="7"/>
  <c r="E77" i="7"/>
  <c r="E78" i="7"/>
  <c r="E80" i="7"/>
  <c r="E28" i="7"/>
  <c r="E29" i="7"/>
  <c r="E30" i="7"/>
  <c r="E31" i="7"/>
  <c r="E32" i="7"/>
  <c r="E33" i="7"/>
  <c r="E34" i="7"/>
  <c r="E35" i="7"/>
  <c r="E36" i="7"/>
  <c r="E6" i="7"/>
  <c r="E7" i="7"/>
  <c r="E8" i="7"/>
  <c r="E9" i="7"/>
  <c r="E10" i="7"/>
  <c r="E11" i="7"/>
  <c r="E12" i="7"/>
  <c r="E13" i="7"/>
  <c r="E14" i="7"/>
  <c r="E15" i="7"/>
  <c r="E16" i="7"/>
  <c r="E17" i="7"/>
  <c r="E18" i="7"/>
  <c r="E19" i="7"/>
  <c r="D6" i="7"/>
  <c r="D45" i="7"/>
  <c r="D46" i="7"/>
  <c r="D47" i="7"/>
  <c r="D48" i="7"/>
  <c r="D49" i="7"/>
  <c r="D50" i="7"/>
  <c r="D51" i="7"/>
  <c r="D52" i="7"/>
  <c r="D54" i="7"/>
  <c r="D55" i="7"/>
  <c r="D56" i="7"/>
  <c r="D57" i="7"/>
  <c r="D58" i="7"/>
  <c r="D59" i="7"/>
  <c r="D60" i="7"/>
  <c r="D61" i="7"/>
  <c r="D62" i="7"/>
  <c r="D63" i="7"/>
  <c r="D64" i="7"/>
  <c r="D65" i="7"/>
  <c r="D66" i="7"/>
  <c r="D67" i="7"/>
  <c r="D68" i="7"/>
  <c r="D69" i="7"/>
  <c r="D70" i="7"/>
  <c r="D71" i="7"/>
  <c r="D72" i="7"/>
  <c r="D73" i="7"/>
  <c r="D74" i="7"/>
  <c r="D76" i="7"/>
  <c r="D77" i="7"/>
  <c r="D78" i="7"/>
  <c r="D79" i="7"/>
  <c r="D80" i="7"/>
  <c r="D28" i="7"/>
  <c r="D29" i="7"/>
  <c r="D30" i="7"/>
  <c r="D31" i="7"/>
  <c r="D32" i="7"/>
  <c r="D33" i="7"/>
  <c r="D34" i="7"/>
  <c r="D35" i="7"/>
  <c r="D36" i="7"/>
  <c r="D7" i="7"/>
  <c r="D8" i="7"/>
  <c r="D9" i="7"/>
  <c r="D10" i="7"/>
  <c r="D11" i="7"/>
  <c r="D12" i="7"/>
  <c r="D13" i="7"/>
  <c r="D14" i="7"/>
  <c r="D15" i="7"/>
  <c r="D16" i="7"/>
  <c r="D17" i="7"/>
  <c r="D18" i="7"/>
  <c r="D19" i="7"/>
  <c r="H15" i="3"/>
  <c r="G15" i="3" s="1"/>
  <c r="G61" i="3" l="1"/>
  <c r="C61" i="3"/>
  <c r="D61" i="3"/>
  <c r="E61" i="3"/>
  <c r="F61" i="3"/>
  <c r="B61" i="3"/>
  <c r="G37" i="7"/>
  <c r="E37" i="7"/>
  <c r="F37" i="7"/>
  <c r="E20" i="7"/>
  <c r="G20" i="7"/>
  <c r="D20" i="7"/>
  <c r="F20" i="7"/>
  <c r="E81" i="7"/>
  <c r="F81" i="7"/>
  <c r="G81" i="7"/>
  <c r="D37" i="7"/>
  <c r="D81" i="7"/>
  <c r="H19" i="3" l="1"/>
  <c r="H18" i="3"/>
  <c r="H16" i="3"/>
  <c r="G16" i="3" s="1"/>
  <c r="H14" i="3"/>
  <c r="G14" i="3" s="1"/>
  <c r="H13" i="3"/>
  <c r="G12" i="3"/>
  <c r="B23" i="3"/>
  <c r="F37" i="3"/>
  <c r="E33" i="3"/>
  <c r="C31" i="3"/>
  <c r="A102" i="11" l="1"/>
  <c r="A46" i="12"/>
  <c r="A97" i="24"/>
  <c r="A26" i="8"/>
  <c r="A81" i="21"/>
  <c r="A98" i="21"/>
  <c r="A80" i="24"/>
  <c r="A89" i="8"/>
  <c r="A99" i="16"/>
  <c r="A84" i="11"/>
  <c r="A23" i="24"/>
  <c r="A3" i="24"/>
  <c r="A38" i="24"/>
  <c r="A107" i="24"/>
  <c r="A108" i="21"/>
  <c r="A24" i="11"/>
  <c r="A24" i="21"/>
  <c r="A39" i="21"/>
  <c r="A3" i="6"/>
  <c r="A4" i="21"/>
  <c r="G13" i="3"/>
  <c r="H17" i="3"/>
  <c r="A3" i="16"/>
  <c r="A81" i="16"/>
  <c r="A113" i="11"/>
  <c r="A3" i="12"/>
  <c r="A109" i="8"/>
  <c r="A40" i="11"/>
  <c r="A3" i="11"/>
  <c r="A44" i="8"/>
  <c r="A3" i="8"/>
  <c r="H53" i="3"/>
  <c r="H54" i="3"/>
  <c r="H52" i="3"/>
  <c r="H56" i="3"/>
  <c r="H47" i="3"/>
  <c r="H55" i="3"/>
  <c r="H48" i="3"/>
  <c r="H51" i="3"/>
  <c r="H57" i="3"/>
  <c r="G23" i="3" l="1"/>
  <c r="G24" i="3"/>
  <c r="G25" i="3"/>
  <c r="G26" i="3"/>
  <c r="G27" i="3"/>
  <c r="G28" i="3"/>
  <c r="G29" i="3"/>
  <c r="G30" i="3"/>
  <c r="G31" i="3"/>
  <c r="G32" i="3"/>
  <c r="G33" i="3"/>
  <c r="G34" i="3"/>
  <c r="G35" i="3"/>
  <c r="G36" i="3"/>
  <c r="G37" i="3"/>
  <c r="G38" i="3"/>
  <c r="F23" i="3"/>
  <c r="F24" i="3"/>
  <c r="F25" i="3"/>
  <c r="F26" i="3"/>
  <c r="F27" i="3"/>
  <c r="F28" i="3"/>
  <c r="F29" i="3"/>
  <c r="F30" i="3"/>
  <c r="F31" i="3"/>
  <c r="F32" i="3"/>
  <c r="F33" i="3"/>
  <c r="F34" i="3"/>
  <c r="F35" i="3"/>
  <c r="F36" i="3"/>
  <c r="F38" i="3"/>
  <c r="E23" i="3"/>
  <c r="E24" i="3"/>
  <c r="E25" i="3"/>
  <c r="E26" i="3"/>
  <c r="E27" i="3"/>
  <c r="E28" i="3"/>
  <c r="E29" i="3"/>
  <c r="E30" i="3"/>
  <c r="E31" i="3"/>
  <c r="E32" i="3"/>
  <c r="E34" i="3"/>
  <c r="E35" i="3"/>
  <c r="E36" i="3"/>
  <c r="E37" i="3"/>
  <c r="E38" i="3"/>
  <c r="B33" i="3"/>
  <c r="D33" i="3"/>
  <c r="D23" i="3"/>
  <c r="D24" i="3"/>
  <c r="D25" i="3"/>
  <c r="D26" i="3"/>
  <c r="D27" i="3"/>
  <c r="D28" i="3"/>
  <c r="D29" i="3"/>
  <c r="D30" i="3"/>
  <c r="D31" i="3"/>
  <c r="D32" i="3"/>
  <c r="D34" i="3"/>
  <c r="D35" i="3"/>
  <c r="D36" i="3"/>
  <c r="D37" i="3"/>
  <c r="D38" i="3"/>
  <c r="C38" i="3"/>
  <c r="C37" i="3"/>
  <c r="C36" i="3"/>
  <c r="C35" i="3"/>
  <c r="C34" i="3"/>
  <c r="C33" i="3"/>
  <c r="C32" i="3"/>
  <c r="C30" i="3"/>
  <c r="C29" i="3"/>
  <c r="C28" i="3"/>
  <c r="C27" i="3"/>
  <c r="C26" i="3"/>
  <c r="C25" i="3"/>
  <c r="C24" i="3"/>
  <c r="C23" i="3"/>
  <c r="H58" i="3"/>
  <c r="H60" i="3"/>
  <c r="H59" i="3"/>
  <c r="H50" i="3"/>
  <c r="H49" i="3"/>
  <c r="B38" i="3"/>
  <c r="B37" i="3"/>
  <c r="B36" i="3"/>
  <c r="B35" i="3"/>
  <c r="B34" i="3"/>
  <c r="B32" i="3"/>
  <c r="B31" i="3"/>
  <c r="B30" i="3"/>
  <c r="B29" i="3"/>
  <c r="B28" i="3"/>
  <c r="B27" i="3"/>
  <c r="B26" i="3"/>
  <c r="B25" i="3"/>
  <c r="B24" i="3"/>
  <c r="G10" i="3" l="1"/>
  <c r="H31" i="3"/>
  <c r="H33" i="3"/>
  <c r="H28" i="3"/>
  <c r="H25" i="3"/>
  <c r="H38" i="3"/>
  <c r="H61" i="3"/>
  <c r="H30" i="3"/>
  <c r="H32" i="3"/>
  <c r="H34" i="3"/>
  <c r="H37" i="3"/>
  <c r="H26" i="3"/>
  <c r="H27" i="3"/>
  <c r="H35" i="3"/>
  <c r="H23" i="3"/>
  <c r="H36" i="3"/>
  <c r="H24" i="3"/>
  <c r="H29" i="3"/>
  <c r="F39" i="3"/>
  <c r="G39" i="3"/>
  <c r="E39" i="3"/>
  <c r="D39" i="3"/>
  <c r="C39" i="3"/>
  <c r="B39" i="3"/>
  <c r="G17" i="3" l="1"/>
  <c r="H39" i="3"/>
  <c r="J26" i="3" l="1"/>
  <c r="L26"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D50" authorId="0" shapeId="0" xr:uid="{28254F3C-75FA-4095-9E7D-8080BF348BBA}">
      <text>
        <r>
          <rPr>
            <sz val="12"/>
            <color indexed="81"/>
            <rFont val="Besley"/>
            <family val="2"/>
            <scheme val="major"/>
          </rPr>
          <t>Texas A&amp;M University, 
System, &amp; Agencies</t>
        </r>
      </text>
    </comment>
    <comment ref="E50" authorId="0" shapeId="0" xr:uid="{D9A6875E-0953-4458-A43B-B81599B0E8B1}">
      <text>
        <r>
          <rPr>
            <sz val="12"/>
            <color indexed="81"/>
            <rFont val="Besley"/>
            <family val="2"/>
            <scheme val="major"/>
          </rPr>
          <t>Texas A&amp;M University, 
System, &amp; Agencies</t>
        </r>
      </text>
    </comment>
    <comment ref="F50" authorId="0" shapeId="0" xr:uid="{30FBFB11-EC29-42B1-9E4D-DD59FEBCF824}">
      <text>
        <r>
          <rPr>
            <sz val="12"/>
            <color indexed="81"/>
            <rFont val="Besley"/>
            <family val="2"/>
            <scheme val="major"/>
          </rPr>
          <t>Texas A&amp;M University, 
System, &amp; Agencies</t>
        </r>
      </text>
    </comment>
    <comment ref="G50" authorId="0" shapeId="0" xr:uid="{D01527BB-071B-4E39-94C5-40DCB53CDB70}">
      <text>
        <r>
          <rPr>
            <sz val="12"/>
            <color indexed="81"/>
            <rFont val="Besley"/>
            <family val="2"/>
            <scheme val="major"/>
          </rPr>
          <t>Texas A&amp;M University, 
System, &amp; Agencies</t>
        </r>
      </text>
    </comment>
    <comment ref="H50" authorId="0" shapeId="0" xr:uid="{15D19582-6FEE-4CC7-B498-B90042A4B41E}">
      <text>
        <r>
          <rPr>
            <sz val="12"/>
            <color indexed="81"/>
            <rFont val="Besley"/>
            <family val="2"/>
            <scheme val="major"/>
          </rPr>
          <t>Texas A&amp;M University, 
System, &amp; Agencies</t>
        </r>
      </text>
    </comment>
    <comment ref="I50" authorId="0" shapeId="0" xr:uid="{174EFF1C-F6B1-4620-A55E-90B5DF0DA5D6}">
      <text>
        <r>
          <rPr>
            <sz val="12"/>
            <color indexed="81"/>
            <rFont val="Besley"/>
            <family val="2"/>
            <scheme val="major"/>
          </rPr>
          <t>Texas A&amp;M University, 
System, &amp; Agencies</t>
        </r>
      </text>
    </comment>
    <comment ref="J50" authorId="0" shapeId="0" xr:uid="{BEB71E45-55B7-4D78-9181-D807C0DDB070}">
      <text>
        <r>
          <rPr>
            <sz val="12"/>
            <color indexed="81"/>
            <rFont val="Besley"/>
            <family val="2"/>
            <scheme val="major"/>
          </rPr>
          <t>Texas A&amp;M University, 
System, &amp; Agencies</t>
        </r>
      </text>
    </comment>
    <comment ref="K50" authorId="0" shapeId="0" xr:uid="{F154B7BF-E744-4EB8-A2BF-EB05E4734486}">
      <text>
        <r>
          <rPr>
            <sz val="12"/>
            <color indexed="81"/>
            <rFont val="Besley"/>
            <family val="2"/>
            <scheme val="major"/>
          </rPr>
          <t>Texas A&amp;M University, 
System, &amp; Agencies</t>
        </r>
      </text>
    </comment>
    <comment ref="L50" authorId="0" shapeId="0" xr:uid="{90F1E102-A183-4E97-90AA-E21E96B75D4E}">
      <text>
        <r>
          <rPr>
            <sz val="12"/>
            <color indexed="81"/>
            <rFont val="Besley"/>
            <family val="2"/>
            <scheme val="major"/>
          </rPr>
          <t>Texas A&amp;M University, 
System, &amp; Agencies</t>
        </r>
      </text>
    </comment>
    <comment ref="A69" authorId="0" shapeId="0" xr:uid="{0A2DBD39-625D-4DBE-8C42-3B16E0D64098}">
      <text>
        <r>
          <rPr>
            <sz val="12"/>
            <color indexed="81"/>
            <rFont val="Besley"/>
            <family val="2"/>
            <scheme val="major"/>
          </rPr>
          <t>Sul Ross Alpine &amp; Sul Ross Rio Grande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D49" authorId="0" shapeId="0" xr:uid="{C0764F38-267B-4111-BD5F-370E17208AC6}">
      <text>
        <r>
          <rPr>
            <sz val="12"/>
            <color indexed="81"/>
            <rFont val="Besley"/>
            <family val="2"/>
            <scheme val="major"/>
          </rPr>
          <t>Texas A&amp;M University, 
System, &amp; Agencies</t>
        </r>
      </text>
    </comment>
    <comment ref="E49" authorId="0" shapeId="0" xr:uid="{10277BBE-D80F-4352-90F4-C7CE17055B21}">
      <text>
        <r>
          <rPr>
            <sz val="12"/>
            <color indexed="81"/>
            <rFont val="Besley"/>
            <family val="2"/>
            <scheme val="major"/>
          </rPr>
          <t>Texas A&amp;M University, 
System, &amp; Agencies</t>
        </r>
      </text>
    </comment>
    <comment ref="F49" authorId="0" shapeId="0" xr:uid="{DA872077-DF5C-4132-8645-5E3E7FFB3058}">
      <text>
        <r>
          <rPr>
            <sz val="12"/>
            <color indexed="81"/>
            <rFont val="Besley"/>
            <family val="2"/>
            <scheme val="major"/>
          </rPr>
          <t>Texas A&amp;M University, 
System, &amp; Agencies</t>
        </r>
      </text>
    </comment>
    <comment ref="G49" authorId="0" shapeId="0" xr:uid="{D36C97F0-7BF4-423F-8FB4-AA6744D49E9B}">
      <text>
        <r>
          <rPr>
            <sz val="12"/>
            <color indexed="81"/>
            <rFont val="Besley"/>
            <family val="2"/>
            <scheme val="major"/>
          </rPr>
          <t>Texas A&amp;M University, 
System, &amp; Agencies</t>
        </r>
      </text>
    </comment>
    <comment ref="H49" authorId="0" shapeId="0" xr:uid="{9D836219-42D3-4E72-9577-A91BA924C5EE}">
      <text>
        <r>
          <rPr>
            <sz val="12"/>
            <color indexed="81"/>
            <rFont val="Besley"/>
            <family val="2"/>
            <scheme val="major"/>
          </rPr>
          <t>Texas A&amp;M University, 
System, &amp; Agencies</t>
        </r>
      </text>
    </comment>
    <comment ref="I49" authorId="0" shapeId="0" xr:uid="{F296EA54-FDC9-427C-958A-86E7811862F1}">
      <text>
        <r>
          <rPr>
            <sz val="12"/>
            <color indexed="81"/>
            <rFont val="Besley"/>
            <family val="2"/>
            <scheme val="major"/>
          </rPr>
          <t>Texas A&amp;M University, 
System, &amp; Agencies</t>
        </r>
      </text>
    </comment>
    <comment ref="J49" authorId="0" shapeId="0" xr:uid="{9110D501-145E-42C9-A010-672675451EC7}">
      <text>
        <r>
          <rPr>
            <sz val="12"/>
            <color indexed="81"/>
            <rFont val="Besley"/>
            <family val="2"/>
            <scheme val="major"/>
          </rPr>
          <t>Texas A&amp;M University, 
System, &amp; Agencies</t>
        </r>
      </text>
    </comment>
    <comment ref="K49" authorId="0" shapeId="0" xr:uid="{0E1B4690-2E67-493E-9D59-5FC1DCF7E8F3}">
      <text>
        <r>
          <rPr>
            <sz val="12"/>
            <color indexed="81"/>
            <rFont val="Besley"/>
            <family val="2"/>
            <scheme val="major"/>
          </rPr>
          <t>Texas A&amp;M University, 
System, &amp; Agencies</t>
        </r>
      </text>
    </comment>
    <comment ref="L49" authorId="0" shapeId="0" xr:uid="{12AE44B4-3C79-4607-AAE9-5DE8FE2D1DD4}">
      <text>
        <r>
          <rPr>
            <sz val="12"/>
            <color indexed="81"/>
            <rFont val="Besley"/>
            <family val="2"/>
            <scheme val="major"/>
          </rPr>
          <t>Texas A&amp;M University, 
System, &amp; Agencies</t>
        </r>
      </text>
    </comment>
    <comment ref="M49" authorId="0" shapeId="0" xr:uid="{12925165-6D0B-4A56-808D-D674E18E668D}">
      <text>
        <r>
          <rPr>
            <sz val="12"/>
            <color indexed="81"/>
            <rFont val="Besley"/>
            <family val="2"/>
            <scheme val="major"/>
          </rPr>
          <t>Texas A&amp;M University, 
System, &amp; Agencies</t>
        </r>
      </text>
    </comment>
    <comment ref="N49" authorId="0" shapeId="0" xr:uid="{BC3BD0A0-86B3-4534-A941-D4CE015403F1}">
      <text>
        <r>
          <rPr>
            <sz val="12"/>
            <color indexed="81"/>
            <rFont val="Besley"/>
            <family val="2"/>
            <scheme val="major"/>
          </rPr>
          <t>Texas A&amp;M University, 
System, &amp; Agencies</t>
        </r>
      </text>
    </comment>
    <comment ref="O49" authorId="0" shapeId="0" xr:uid="{11B621FE-4871-418C-AD17-84CA5D53D636}">
      <text>
        <r>
          <rPr>
            <sz val="12"/>
            <color indexed="81"/>
            <rFont val="Besley"/>
            <family val="2"/>
            <scheme val="major"/>
          </rPr>
          <t>Texas A&amp;M University, 
System, &amp; Agencies</t>
        </r>
      </text>
    </comment>
    <comment ref="P49" authorId="0" shapeId="0" xr:uid="{236DBB9A-2FA3-4778-ABF0-95C8D26B75CC}">
      <text>
        <r>
          <rPr>
            <sz val="12"/>
            <color indexed="81"/>
            <rFont val="Besley"/>
            <family val="2"/>
            <scheme val="major"/>
          </rPr>
          <t>Texas A&amp;M University, 
System, &amp; Agencies</t>
        </r>
      </text>
    </comment>
    <comment ref="Q49" authorId="0" shapeId="0" xr:uid="{2229F9D9-C4FF-4BD5-B2AB-99BA75877FE1}">
      <text>
        <r>
          <rPr>
            <sz val="12"/>
            <color indexed="81"/>
            <rFont val="Besley"/>
            <family val="2"/>
            <scheme val="major"/>
          </rPr>
          <t>Texas A&amp;M University, 
System, &amp; Agencies</t>
        </r>
      </text>
    </comment>
    <comment ref="R49" authorId="0" shapeId="0" xr:uid="{ABC08D5B-D3E6-4F62-9B2A-881D4D348B85}">
      <text>
        <r>
          <rPr>
            <sz val="12"/>
            <color indexed="81"/>
            <rFont val="Besley"/>
            <family val="2"/>
            <scheme val="major"/>
          </rPr>
          <t>Texas A&amp;M University, 
System, &amp; Agencies</t>
        </r>
      </text>
    </comment>
    <comment ref="S49" authorId="0" shapeId="0" xr:uid="{4C17F144-8DF7-4DA4-A2D4-421EECFEBD57}">
      <text>
        <r>
          <rPr>
            <sz val="12"/>
            <color indexed="81"/>
            <rFont val="Besley"/>
            <family val="2"/>
            <scheme val="major"/>
          </rPr>
          <t>Texas A&amp;M University, 
System, &amp; Agencies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D14" authorId="0" shapeId="0" xr:uid="{C389D4AA-B668-42EB-AF56-4EA473F5387D}">
      <text>
        <r>
          <rPr>
            <sz val="12"/>
            <color indexed="81"/>
            <rFont val="Besley"/>
            <family val="2"/>
            <scheme val="major"/>
          </rPr>
          <t>Texas A&amp;M University, 
System, &amp; Agencies</t>
        </r>
      </text>
    </comment>
    <comment ref="E14" authorId="0" shapeId="0" xr:uid="{38492D4C-8C6B-4137-A6B1-AF7F13D005BB}">
      <text>
        <r>
          <rPr>
            <sz val="12"/>
            <color indexed="81"/>
            <rFont val="Besley"/>
            <family val="2"/>
            <scheme val="major"/>
          </rPr>
          <t>Texas A&amp;M University, 
System, &amp; Agencies</t>
        </r>
      </text>
    </comment>
    <comment ref="F14" authorId="0" shapeId="0" xr:uid="{6CD12832-094F-4721-92FC-512DD3C1CF7C}">
      <text>
        <r>
          <rPr>
            <sz val="12"/>
            <color indexed="81"/>
            <rFont val="Besley"/>
            <family val="2"/>
            <scheme val="major"/>
          </rPr>
          <t>Texas A&amp;M University, 
System, &amp; Agencies</t>
        </r>
      </text>
    </comment>
    <comment ref="G14" authorId="0" shapeId="0" xr:uid="{1AA62EF2-EC57-4BB7-8C77-D4C969ABD045}">
      <text>
        <r>
          <rPr>
            <sz val="12"/>
            <color indexed="81"/>
            <rFont val="Besley"/>
            <family val="2"/>
            <scheme val="major"/>
          </rPr>
          <t>Texas A&amp;M University, 
System, &amp; Agencies</t>
        </r>
      </text>
    </comment>
    <comment ref="H14" authorId="0" shapeId="0" xr:uid="{720DF293-A862-4644-BD28-1D861CCBF1D3}">
      <text>
        <r>
          <rPr>
            <sz val="12"/>
            <color indexed="81"/>
            <rFont val="Besley"/>
            <family val="2"/>
            <scheme val="major"/>
          </rPr>
          <t>Texas A&amp;M University, 
System, &amp; Agencies</t>
        </r>
      </text>
    </comment>
    <comment ref="I14" authorId="0" shapeId="0" xr:uid="{6DA5E62E-96A6-4DBC-A009-72A452465781}">
      <text>
        <r>
          <rPr>
            <sz val="12"/>
            <color indexed="81"/>
            <rFont val="Besley"/>
            <family val="2"/>
            <scheme val="major"/>
          </rPr>
          <t>Texas A&amp;M University, 
System, &amp; Agencies</t>
        </r>
      </text>
    </comment>
    <comment ref="J14" authorId="0" shapeId="0" xr:uid="{C6F39885-9E63-4BA0-9A41-3F0892CF3F41}">
      <text>
        <r>
          <rPr>
            <sz val="12"/>
            <color indexed="81"/>
            <rFont val="Besley"/>
            <family val="2"/>
            <scheme val="major"/>
          </rPr>
          <t>Texas A&amp;M University, 
System, &amp; Agencies</t>
        </r>
      </text>
    </comment>
    <comment ref="K14" authorId="0" shapeId="0" xr:uid="{339395A5-FBAB-4656-84F5-625AE5C27DA0}">
      <text>
        <r>
          <rPr>
            <sz val="12"/>
            <color indexed="81"/>
            <rFont val="Besley"/>
            <family val="2"/>
            <scheme val="major"/>
          </rPr>
          <t>Texas A&amp;M University, 
System, &amp; Agencies</t>
        </r>
      </text>
    </comment>
    <comment ref="L14" authorId="0" shapeId="0" xr:uid="{AEAD8930-484A-4F3A-8B8D-9F5F71AC488F}">
      <text>
        <r>
          <rPr>
            <sz val="12"/>
            <color indexed="81"/>
            <rFont val="Besley"/>
            <family val="2"/>
            <scheme val="major"/>
          </rPr>
          <t>Texas A&amp;M University, 
System, &amp; Agencies</t>
        </r>
      </text>
    </comment>
    <comment ref="M14" authorId="0" shapeId="0" xr:uid="{50169CEA-D29A-44D3-81F5-6A12C4929259}">
      <text>
        <r>
          <rPr>
            <sz val="12"/>
            <color indexed="81"/>
            <rFont val="Besley"/>
            <family val="2"/>
            <scheme val="major"/>
          </rPr>
          <t>Texas A&amp;M University, 
System, &amp; Agencies</t>
        </r>
      </text>
    </comment>
    <comment ref="N14" authorId="0" shapeId="0" xr:uid="{5E5ECC76-EEAC-488C-A215-8103C211912D}">
      <text>
        <r>
          <rPr>
            <sz val="12"/>
            <color indexed="81"/>
            <rFont val="Besley"/>
            <family val="2"/>
            <scheme val="major"/>
          </rPr>
          <t>Texas A&amp;M University, 
System, &amp; Agencies</t>
        </r>
      </text>
    </comment>
    <comment ref="O14" authorId="0" shapeId="0" xr:uid="{435F4E80-4B66-4DA8-80D9-5311EDE80A09}">
      <text>
        <r>
          <rPr>
            <sz val="12"/>
            <color indexed="81"/>
            <rFont val="Besley"/>
            <family val="2"/>
            <scheme val="major"/>
          </rPr>
          <t>Texas A&amp;M University, 
System, &amp; Agencies</t>
        </r>
      </text>
    </comment>
    <comment ref="P14" authorId="0" shapeId="0" xr:uid="{A4AF15F0-9DC0-4B0F-8286-70C007A411A2}">
      <text>
        <r>
          <rPr>
            <sz val="12"/>
            <color indexed="81"/>
            <rFont val="Besley"/>
            <family val="2"/>
            <scheme val="major"/>
          </rPr>
          <t>Texas A&amp;M University, 
System, &amp; Agencies</t>
        </r>
      </text>
    </comment>
    <comment ref="Q14" authorId="0" shapeId="0" xr:uid="{865E58CD-F1F9-46E7-8B2C-2728B59B17FA}">
      <text>
        <r>
          <rPr>
            <sz val="12"/>
            <color indexed="81"/>
            <rFont val="Besley"/>
            <family val="2"/>
            <scheme val="major"/>
          </rPr>
          <t>Texas A&amp;M University, 
System, &amp; Agencies</t>
        </r>
      </text>
    </comment>
    <comment ref="R14" authorId="0" shapeId="0" xr:uid="{99656B0D-7475-4127-95E8-DEF5C754630D}">
      <text>
        <r>
          <rPr>
            <sz val="12"/>
            <color indexed="81"/>
            <rFont val="Besley"/>
            <family val="2"/>
            <scheme val="major"/>
          </rPr>
          <t>Texas A&amp;M University, 
System, &amp; Agencies</t>
        </r>
      </text>
    </comment>
    <comment ref="A33" authorId="0" shapeId="0" xr:uid="{E4416823-538C-4E4A-9200-725DE1BFE3E9}">
      <text>
        <r>
          <rPr>
            <sz val="12"/>
            <color indexed="81"/>
            <rFont val="Besley"/>
            <family val="2"/>
            <scheme val="major"/>
          </rPr>
          <t>Sul Ross Alpine &amp; Sul Ross Rio Grande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53" authorId="0" shapeId="0" xr:uid="{D6E49C18-8C79-4444-AE3F-3C24B53663F1}">
      <text>
        <r>
          <rPr>
            <sz val="12"/>
            <color indexed="81"/>
            <rFont val="Besley"/>
            <family val="2"/>
            <scheme val="major"/>
          </rPr>
          <t>TAMU only for Space Model</t>
        </r>
      </text>
    </comment>
    <comment ref="A72" authorId="0" shapeId="0" xr:uid="{61C03EBD-A775-44EC-AE8B-F8284079ED28}">
      <text>
        <r>
          <rPr>
            <sz val="12"/>
            <color indexed="81"/>
            <rFont val="Besley"/>
            <family val="2"/>
            <scheme val="major"/>
          </rPr>
          <t>Sul Ross Alpine &amp; Sul Ross Rio Grande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52" authorId="0" shapeId="0" xr:uid="{76176489-0123-40BA-B479-55FE96B362F7}">
      <text>
        <r>
          <rPr>
            <sz val="12"/>
            <color indexed="81"/>
            <rFont val="Besley"/>
            <family val="2"/>
            <scheme val="major"/>
          </rPr>
          <t>Texas A&amp;M University, 
System, &amp; Agencies</t>
        </r>
      </text>
    </comment>
    <comment ref="D52" authorId="0" shapeId="0" xr:uid="{B2C5EE28-A7A1-4802-8F5C-29525413FCDD}">
      <text>
        <r>
          <rPr>
            <sz val="12"/>
            <color indexed="81"/>
            <rFont val="Besley"/>
            <family val="2"/>
            <scheme val="major"/>
          </rPr>
          <t>Texas A&amp;M University, 
System, &amp; Agencies</t>
        </r>
      </text>
    </comment>
    <comment ref="E52" authorId="0" shapeId="0" xr:uid="{53FC20A3-9F49-4590-B238-1446E7EE5B69}">
      <text>
        <r>
          <rPr>
            <sz val="12"/>
            <color indexed="81"/>
            <rFont val="Besley"/>
            <family val="2"/>
            <scheme val="major"/>
          </rPr>
          <t>Texas A&amp;M University, 
System, &amp; Agencies</t>
        </r>
      </text>
    </comment>
    <comment ref="F52" authorId="0" shapeId="0" xr:uid="{F5010CE3-D6F1-47CE-93D7-C50742AD6D2B}">
      <text>
        <r>
          <rPr>
            <sz val="12"/>
            <color indexed="81"/>
            <rFont val="Besley"/>
            <family val="2"/>
            <scheme val="major"/>
          </rPr>
          <t>Texas A&amp;M University, 
System, &amp; Agencies</t>
        </r>
      </text>
    </comment>
    <comment ref="G52" authorId="0" shapeId="0" xr:uid="{CD8F364B-A4EF-4EE6-BFDF-01F8557ABC2A}">
      <text>
        <r>
          <rPr>
            <sz val="12"/>
            <color indexed="81"/>
            <rFont val="Besley"/>
            <family val="2"/>
            <scheme val="major"/>
          </rPr>
          <t>Texas A&amp;M University, 
System, &amp; Agencies</t>
        </r>
      </text>
    </comment>
    <comment ref="H52" authorId="0" shapeId="0" xr:uid="{C3B788A0-7A88-404F-AA1F-A018C8860361}">
      <text>
        <r>
          <rPr>
            <sz val="12"/>
            <color indexed="81"/>
            <rFont val="Besley"/>
            <family val="2"/>
            <scheme val="major"/>
          </rPr>
          <t>Texas A&amp;M University, 
System, &amp; Agencies</t>
        </r>
      </text>
    </comment>
    <comment ref="I52" authorId="0" shapeId="0" xr:uid="{9C1445DA-B5E7-4051-8AF8-19F767783EBA}">
      <text>
        <r>
          <rPr>
            <sz val="12"/>
            <color indexed="81"/>
            <rFont val="Besley"/>
            <family val="2"/>
            <scheme val="major"/>
          </rPr>
          <t>Texas A&amp;M University, 
System, &amp; Agencies</t>
        </r>
      </text>
    </comment>
    <comment ref="J52" authorId="0" shapeId="0" xr:uid="{7185BEA4-9C08-47F5-BCCF-3A111BDA05FE}">
      <text>
        <r>
          <rPr>
            <sz val="12"/>
            <color indexed="81"/>
            <rFont val="Besley"/>
            <family val="2"/>
            <scheme val="major"/>
          </rPr>
          <t>Texas A&amp;M University, 
System, &amp; Agencies</t>
        </r>
      </text>
    </comment>
    <comment ref="K52" authorId="0" shapeId="0" xr:uid="{A3413C76-10C4-4335-8C35-E8614EC8D71F}">
      <text>
        <r>
          <rPr>
            <sz val="12"/>
            <color indexed="81"/>
            <rFont val="Besley"/>
            <family val="2"/>
            <scheme val="major"/>
          </rPr>
          <t>Texas A&amp;M University, 
System, &amp; Agencies</t>
        </r>
      </text>
    </comment>
    <comment ref="L52" authorId="0" shapeId="0" xr:uid="{3A5BCC35-1C4B-4239-8226-B50B7DC333E1}">
      <text>
        <r>
          <rPr>
            <sz val="12"/>
            <color indexed="81"/>
            <rFont val="Besley"/>
            <family val="2"/>
            <scheme val="major"/>
          </rPr>
          <t>Texas A&amp;M University, 
System, &amp; Agencies</t>
        </r>
      </text>
    </comment>
    <comment ref="M52" authorId="0" shapeId="0" xr:uid="{AD7AD5FE-9044-4207-AAA2-007F4C3FCE00}">
      <text>
        <r>
          <rPr>
            <sz val="12"/>
            <color indexed="81"/>
            <rFont val="Besley"/>
            <family val="2"/>
            <scheme val="major"/>
          </rPr>
          <t>Texas A&amp;M University, 
System, &amp; Agencies</t>
        </r>
      </text>
    </comment>
    <comment ref="A71" authorId="0" shapeId="0" xr:uid="{93FA8D2B-5444-4E55-BE92-C5040FEE81E7}">
      <text>
        <r>
          <rPr>
            <sz val="12"/>
            <color indexed="81"/>
            <rFont val="Besley"/>
            <family val="2"/>
            <scheme val="major"/>
          </rPr>
          <t>Sul Ross Alpine &amp; Sul Ross Rio Grande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D55" authorId="0" shapeId="0" xr:uid="{A0B1216C-66DD-452D-AE2C-525947FF9A60}">
      <text>
        <r>
          <rPr>
            <sz val="12"/>
            <color indexed="81"/>
            <rFont val="Besley"/>
            <family val="2"/>
            <scheme val="major"/>
          </rPr>
          <t>Texas A&amp;M University, 
System, &amp; Agencies</t>
        </r>
      </text>
    </comment>
    <comment ref="A74" authorId="0" shapeId="0" xr:uid="{9E2F0959-ED63-4325-9AA2-F043E4B5BC1E}">
      <text>
        <r>
          <rPr>
            <sz val="12"/>
            <color indexed="81"/>
            <rFont val="Besley"/>
            <family val="2"/>
            <scheme val="major"/>
          </rPr>
          <t>Sul Ross Alpine &amp; Sul Ross Rio Grande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EE2" authorId="0" shapeId="0" xr:uid="{0CCEE97F-10DD-4805-8D0E-60ED3616D650}">
      <text>
        <r>
          <rPr>
            <sz val="11"/>
            <color indexed="81"/>
            <rFont val="Segoe UI"/>
            <family val="2"/>
          </rPr>
          <t xml:space="preserve">HRI cells for Cancer are in row #47, but to be consisent the data has been shifted to align with the other research reports. </t>
        </r>
      </text>
    </comment>
    <comment ref="EF2" authorId="0" shapeId="0" xr:uid="{91B581AE-6600-4C5C-8E9A-01D12BAF46F0}">
      <text>
        <r>
          <rPr>
            <sz val="11"/>
            <color indexed="81"/>
            <rFont val="Segoe UI"/>
            <family val="2"/>
          </rPr>
          <t xml:space="preserve">HRI cells for Cancer are in row #47, but to be consisent the data has been shifted to align with the other research reports. </t>
        </r>
      </text>
    </comment>
    <comment ref="EG2" authorId="0" shapeId="0" xr:uid="{7F601B1B-E93A-4847-A53F-02BEB4314572}">
      <text>
        <r>
          <rPr>
            <sz val="11"/>
            <color indexed="81"/>
            <rFont val="Segoe UI"/>
            <family val="2"/>
          </rPr>
          <t xml:space="preserve">HRI cells for Cancer are in row #47, but to be consisent the data has been shifted to align with the other research reports. </t>
        </r>
      </text>
    </comment>
    <comment ref="EH2" authorId="0" shapeId="0" xr:uid="{54B9E7D2-E802-46C3-AF1B-669AA2611090}">
      <text>
        <r>
          <rPr>
            <sz val="11"/>
            <color indexed="81"/>
            <rFont val="Segoe UI"/>
            <family val="2"/>
          </rPr>
          <t xml:space="preserve">HRI cells for Cancer are in row #47, but to be consisent the data has been shifted to align with the other research reports. </t>
        </r>
      </text>
    </comment>
    <comment ref="EI2" authorId="0" shapeId="0" xr:uid="{5A71E36A-D1F9-481B-A9EA-BF6615138292}">
      <text>
        <r>
          <rPr>
            <sz val="11"/>
            <color indexed="81"/>
            <rFont val="Segoe UI"/>
            <family val="2"/>
          </rPr>
          <t xml:space="preserve">HRI cells for Cancer are in row #47, but to be consisent the data has been shifted to align with the other research reports. </t>
        </r>
      </text>
    </comment>
    <comment ref="EJ2" authorId="0" shapeId="0" xr:uid="{76A7D5C4-1002-49BA-ABA0-DBE1A0550298}">
      <text>
        <r>
          <rPr>
            <sz val="11"/>
            <color indexed="81"/>
            <rFont val="Segoe UI"/>
            <family val="2"/>
          </rPr>
          <t xml:space="preserve">HRI cells for Cancer are in row #47, but to be consisent the data has been shifted to align with the other research reports. </t>
        </r>
      </text>
    </comment>
    <comment ref="GG2" authorId="0" shapeId="0" xr:uid="{4416DA64-99FD-45AE-BCC2-52725631D82E}">
      <text>
        <r>
          <rPr>
            <sz val="11"/>
            <color indexed="81"/>
            <rFont val="Segoe UI"/>
            <family val="2"/>
          </rPr>
          <t xml:space="preserve">HRI cells for Human Stem Cell - Adult are in row #51, but to be consisent the data has been shifted to align with the other research reports. </t>
        </r>
      </text>
    </comment>
    <comment ref="GH2" authorId="0" shapeId="0" xr:uid="{7010C97C-E4D1-40AA-94B6-5EC5A384F987}">
      <text>
        <r>
          <rPr>
            <sz val="11"/>
            <color indexed="81"/>
            <rFont val="Segoe UI"/>
            <family val="2"/>
          </rPr>
          <t xml:space="preserve">HRI cells for Human Stem Cell - Adult are in row #51, but to be consisent the data has been shifted to align with the other research reports. </t>
        </r>
      </text>
    </comment>
    <comment ref="GI2" authorId="0" shapeId="0" xr:uid="{30846A65-A91C-436B-9153-22B4587C39EC}">
      <text>
        <r>
          <rPr>
            <sz val="11"/>
            <color indexed="81"/>
            <rFont val="Segoe UI"/>
            <family val="2"/>
          </rPr>
          <t xml:space="preserve">HRI cells for Human Stem Cell - Adult are in row #51, but to be consisent the data has been shifted to align with the other research reports. </t>
        </r>
      </text>
    </comment>
    <comment ref="GJ2" authorId="0" shapeId="0" xr:uid="{2B0AAF8A-EFBF-412F-B638-A0020A78CEAF}">
      <text>
        <r>
          <rPr>
            <sz val="11"/>
            <color indexed="81"/>
            <rFont val="Segoe UI"/>
            <family val="2"/>
          </rPr>
          <t xml:space="preserve">HRI cells for Human Stem Cell - Adult are in row #51, but to be consisent the data has been shifted to align with the other research reports. </t>
        </r>
      </text>
    </comment>
    <comment ref="GK2" authorId="0" shapeId="0" xr:uid="{6FF7E625-2A18-4A43-8002-6D91CF7FC7DB}">
      <text>
        <r>
          <rPr>
            <sz val="11"/>
            <color indexed="81"/>
            <rFont val="Segoe UI"/>
            <family val="2"/>
          </rPr>
          <t xml:space="preserve">HRI cells for Human Stem Cell - Adult are in row #51, but to be consisent the data has been shifted to align with the other research reports. </t>
        </r>
      </text>
    </comment>
    <comment ref="GL2" authorId="0" shapeId="0" xr:uid="{8123ECF1-9C0E-4C73-9E5D-7EEBE94C42D2}">
      <text>
        <r>
          <rPr>
            <sz val="11"/>
            <color indexed="81"/>
            <rFont val="Segoe UI"/>
            <family val="2"/>
          </rPr>
          <t xml:space="preserve">HRI cells for Human Stem Cell - Adult are in row #51, but to be consisent the data has been shifted to align with the other research reports. </t>
        </r>
      </text>
    </comment>
    <comment ref="GM2" authorId="0" shapeId="0" xr:uid="{FA85A955-71F5-4C79-B876-77D23965D553}">
      <text>
        <r>
          <rPr>
            <sz val="11"/>
            <color indexed="81"/>
            <rFont val="Segoe UI"/>
            <family val="2"/>
          </rPr>
          <t xml:space="preserve">HRI cells for Human Stem Cell - Embryonic are in row #52, but to be consisent the data has been shifted to align with the other research reports. </t>
        </r>
      </text>
    </comment>
    <comment ref="GN2" authorId="0" shapeId="0" xr:uid="{86000636-8C75-4F74-862E-C3D31E891E6C}">
      <text>
        <r>
          <rPr>
            <sz val="11"/>
            <color indexed="81"/>
            <rFont val="Segoe UI"/>
            <family val="2"/>
          </rPr>
          <t xml:space="preserve">HRI cells for Human Stem Cell - Embryonic are in row #52, but to be consisent the data has been shifted to align with the other research reports. </t>
        </r>
      </text>
    </comment>
    <comment ref="GO2" authorId="0" shapeId="0" xr:uid="{3565AC55-7CBC-4987-A34F-E92BBC398EF1}">
      <text>
        <r>
          <rPr>
            <sz val="11"/>
            <color indexed="81"/>
            <rFont val="Segoe UI"/>
            <family val="2"/>
          </rPr>
          <t xml:space="preserve">HRI cells for Human Stem Cell - Embryonic are in row #52, but to be consisent the data has been shifted to align with the other research reports. </t>
        </r>
      </text>
    </comment>
    <comment ref="GP2" authorId="0" shapeId="0" xr:uid="{935F03BB-F7C4-435E-B79F-78F68CA9D7D6}">
      <text>
        <r>
          <rPr>
            <sz val="11"/>
            <color indexed="81"/>
            <rFont val="Segoe UI"/>
            <family val="2"/>
          </rPr>
          <t xml:space="preserve">HRI cells for Human Stem Cell - Embryonic are in row #52, but to be consisent the data has been shifted to align with the other research reports. </t>
        </r>
      </text>
    </comment>
    <comment ref="GQ2" authorId="0" shapeId="0" xr:uid="{835900B0-F379-4110-8D03-DB0F3F3C78C4}">
      <text>
        <r>
          <rPr>
            <sz val="11"/>
            <color indexed="81"/>
            <rFont val="Segoe UI"/>
            <family val="2"/>
          </rPr>
          <t xml:space="preserve">HRI cells for Human Stem Cell - Embryonic are in row #52, but to be consisent the data has been shifted to align with the other research reports. </t>
        </r>
      </text>
    </comment>
    <comment ref="GR2" authorId="0" shapeId="0" xr:uid="{75D33ADF-9044-45C2-AEA5-F97ACF2D094A}">
      <text>
        <r>
          <rPr>
            <sz val="11"/>
            <color indexed="81"/>
            <rFont val="Segoe UI"/>
            <family val="2"/>
          </rPr>
          <t xml:space="preserve">HRI cells for Human Stem Cell - Embryonic are in row #52, but to be consisent the data has been shifted to align with the other research reports. </t>
        </r>
      </text>
    </comment>
    <comment ref="H16" authorId="0" shapeId="0" xr:uid="{81D145DC-3A5E-4CA6-AFDB-A874FECA69AB}">
      <text>
        <r>
          <rPr>
            <sz val="12"/>
            <color indexed="81"/>
            <rFont val="Segoeui"/>
          </rPr>
          <t>Value in Research Survey was placed in wrong cell. Corrected Input to reflect R&amp;D Exp</t>
        </r>
        <r>
          <rPr>
            <sz val="9"/>
            <color indexed="81"/>
            <rFont val="Tahoma"/>
            <family val="2"/>
          </rPr>
          <t xml:space="preserve">
</t>
        </r>
      </text>
    </comment>
    <comment ref="A25" authorId="0" shapeId="0" xr:uid="{9C0C6C93-5B16-430E-9CDB-AD8482C87911}">
      <text>
        <r>
          <rPr>
            <sz val="12"/>
            <color indexed="81"/>
            <rFont val="Besley"/>
            <family val="2"/>
            <scheme val="major"/>
          </rPr>
          <t>Sul Ross Alpine &amp; Sul Ross Rio Grande</t>
        </r>
      </text>
    </comment>
    <comment ref="GY35" authorId="0" shapeId="0" xr:uid="{037733CA-C6E2-4B45-8FF6-970059F674FA}">
      <text>
        <r>
          <rPr>
            <sz val="10"/>
            <color indexed="81"/>
            <rFont val="Besley"/>
            <scheme val="major"/>
          </rPr>
          <t>Formula corrected in submissed file.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130" authorId="0" shapeId="0" xr:uid="{25821A32-9B19-499C-9D3C-139D812974CB}">
      <text>
        <r>
          <rPr>
            <sz val="12"/>
            <color indexed="81"/>
            <rFont val="Besley"/>
            <family val="2"/>
            <scheme val="major"/>
          </rPr>
          <t>Sul Ross Alpine &amp; Sul Ross Rio Grande</t>
        </r>
      </text>
    </comment>
  </commentList>
</comments>
</file>

<file path=xl/sharedStrings.xml><?xml version="1.0" encoding="utf-8"?>
<sst xmlns="http://schemas.openxmlformats.org/spreadsheetml/2006/main" count="3482" uniqueCount="1007">
  <si>
    <t>Texas Public Universities</t>
  </si>
  <si>
    <t>Institution Name</t>
  </si>
  <si>
    <t>FICE</t>
  </si>
  <si>
    <t>State Approp.</t>
  </si>
  <si>
    <t>Res. Exp.</t>
  </si>
  <si>
    <t>E&amp;G Exp.</t>
  </si>
  <si>
    <t>SRECNP Res. Exp.</t>
  </si>
  <si>
    <t>Res. Not From Rest. Res. Fnd Group</t>
  </si>
  <si>
    <t>Cap Outlay</t>
  </si>
  <si>
    <t>Exp. Not SAM</t>
  </si>
  <si>
    <t>Hackerman</t>
  </si>
  <si>
    <t>Federal PT</t>
  </si>
  <si>
    <t>State PT</t>
  </si>
  <si>
    <t>Adj1</t>
  </si>
  <si>
    <t>Adj2</t>
  </si>
  <si>
    <t>Adj3</t>
  </si>
  <si>
    <t>Explain1</t>
  </si>
  <si>
    <t>Explain2</t>
  </si>
  <si>
    <t>Explain3</t>
  </si>
  <si>
    <t>UNIV</t>
  </si>
  <si>
    <t>The University of Texas at Arlington</t>
  </si>
  <si>
    <t>The University of Texas at Dallas</t>
  </si>
  <si>
    <t>The University of Texas at El Paso</t>
  </si>
  <si>
    <t>The University of Texas of the Permian Basin</t>
  </si>
  <si>
    <t>The University of Texas at San Antonio</t>
  </si>
  <si>
    <t>The University of Texas at Tyler</t>
  </si>
  <si>
    <t>Stephen F. Austin State University</t>
  </si>
  <si>
    <t>Texas A&amp;M University</t>
  </si>
  <si>
    <t>Texas A&amp;M University at Galveston</t>
  </si>
  <si>
    <t>Prairie View A&amp;M University</t>
  </si>
  <si>
    <t>Tarleton State University</t>
  </si>
  <si>
    <t>Texas A&amp;M University - Corpus Christi</t>
  </si>
  <si>
    <t>Texas A&amp;M University - Kingsville</t>
  </si>
  <si>
    <t>Texas A&amp;M International University</t>
  </si>
  <si>
    <t>West Texas A&amp;M University</t>
  </si>
  <si>
    <t>Texas A&amp;M University - Commerce</t>
  </si>
  <si>
    <t>Texas A&amp;M University - Texarkana</t>
  </si>
  <si>
    <t>Texas A&amp;M University - Central Texas</t>
  </si>
  <si>
    <t>Texas A&amp;M University - San Antonio</t>
  </si>
  <si>
    <t>University of Houston - Clear Lake</t>
  </si>
  <si>
    <t>University of Houston - Downtown</t>
  </si>
  <si>
    <t>University of Houston - Victoria</t>
  </si>
  <si>
    <t xml:space="preserve">Lamar University </t>
  </si>
  <si>
    <t>Sam Houston State University - All Disciplines (A+H+NF)</t>
  </si>
  <si>
    <t>Texas State University</t>
  </si>
  <si>
    <t>Sul Ross State University</t>
  </si>
  <si>
    <t>Texas Tech University</t>
  </si>
  <si>
    <t>Angelo State University</t>
  </si>
  <si>
    <t>University of North Texas</t>
  </si>
  <si>
    <t>University of North Texas at Dallas</t>
  </si>
  <si>
    <t>Midwestern State University</t>
  </si>
  <si>
    <t>Texas Southern University</t>
  </si>
  <si>
    <t>Texas Woman's University</t>
  </si>
  <si>
    <t>Texas A&amp;M AgriLife Research</t>
  </si>
  <si>
    <t>Texas A&amp;M AgriLife Extension Service</t>
  </si>
  <si>
    <t>Texas A&amp;M Engineering Experiment Station</t>
  </si>
  <si>
    <t>Texas A&amp;M Engineering Extension Service</t>
  </si>
  <si>
    <t>Texas A&amp;M Forest Service</t>
  </si>
  <si>
    <t>Texas A&amp;M Transportation Institute</t>
  </si>
  <si>
    <t>Texas A&amp;M Vet. Medical Diagnostic Laboratory</t>
  </si>
  <si>
    <t>Texas Division of Emergency Management</t>
  </si>
  <si>
    <t>Texas A&amp;M System Shared Services Center</t>
  </si>
  <si>
    <t>TSTC</t>
  </si>
  <si>
    <t>Lamar Institute of Technology</t>
  </si>
  <si>
    <t>Lamar State College - Orange</t>
  </si>
  <si>
    <t>Lamar State College - Port Arthur</t>
  </si>
  <si>
    <t>Texas State Technical College - Harlingen</t>
  </si>
  <si>
    <t>Texas State Technical College - West Texas</t>
  </si>
  <si>
    <t>Texas State Technical College - Marshall</t>
  </si>
  <si>
    <t>Texas State Technical College - Waco</t>
  </si>
  <si>
    <t>Texas State Technical College - North Texas</t>
  </si>
  <si>
    <t>Texas State Technical College - Fort Bend</t>
  </si>
  <si>
    <t>Texas State Technical College - System</t>
  </si>
  <si>
    <t>Alicia Placette</t>
  </si>
  <si>
    <t>aaplacette@lit.edu</t>
  </si>
  <si>
    <t>Jamie Oltz</t>
  </si>
  <si>
    <t>Jamie.Oltz@lsco.edu</t>
  </si>
  <si>
    <t>Kim Tran</t>
  </si>
  <si>
    <t>trankt6@lamarpa.edu</t>
  </si>
  <si>
    <t>Jessica Montalvo</t>
  </si>
  <si>
    <t>jessica.montalvo@tstc.edu</t>
  </si>
  <si>
    <t>jkmontalvo@tstc.edu</t>
  </si>
  <si>
    <t>Anju Motwani</t>
  </si>
  <si>
    <t>anju.motwani@tstc.edu</t>
  </si>
  <si>
    <t>Agricultural Sciences</t>
  </si>
  <si>
    <t>Biological and Other Life Sciences</t>
  </si>
  <si>
    <t>Computer Science</t>
  </si>
  <si>
    <t>Engineering</t>
  </si>
  <si>
    <t>Environmental Sciences</t>
  </si>
  <si>
    <t>Mathematical Sciences</t>
  </si>
  <si>
    <t>Medical Sciences</t>
  </si>
  <si>
    <t>Physical Sciences</t>
  </si>
  <si>
    <t>Psychology</t>
  </si>
  <si>
    <t>Social Sciences</t>
  </si>
  <si>
    <t>Other Sciences not classified above</t>
  </si>
  <si>
    <t>Arts and Humanities</t>
  </si>
  <si>
    <t>Business Administration</t>
  </si>
  <si>
    <t>Education</t>
  </si>
  <si>
    <t>Law</t>
  </si>
  <si>
    <t>Other Non-Science Activities</t>
  </si>
  <si>
    <t>Federal</t>
  </si>
  <si>
    <t>State Appropriations</t>
  </si>
  <si>
    <t>State Contracts/Grants</t>
  </si>
  <si>
    <t>Institution Resources</t>
  </si>
  <si>
    <t>Name</t>
  </si>
  <si>
    <t>Phone No.</t>
  </si>
  <si>
    <t>Email</t>
  </si>
  <si>
    <t>K9</t>
  </si>
  <si>
    <t>K12</t>
  </si>
  <si>
    <t>L8</t>
  </si>
  <si>
    <t>L13</t>
  </si>
  <si>
    <t>L14</t>
  </si>
  <si>
    <t>L15</t>
  </si>
  <si>
    <t>L16</t>
  </si>
  <si>
    <t>L18</t>
  </si>
  <si>
    <t>L19</t>
  </si>
  <si>
    <t>F22</t>
  </si>
  <si>
    <t>G22</t>
  </si>
  <si>
    <t>H22</t>
  </si>
  <si>
    <t>I22</t>
  </si>
  <si>
    <t>J22</t>
  </si>
  <si>
    <t>K22</t>
  </si>
  <si>
    <t>F23</t>
  </si>
  <si>
    <t>G23</t>
  </si>
  <si>
    <t>H23</t>
  </si>
  <si>
    <t>I23</t>
  </si>
  <si>
    <t>J23</t>
  </si>
  <si>
    <t>K23</t>
  </si>
  <si>
    <t>F24</t>
  </si>
  <si>
    <t>G24</t>
  </si>
  <si>
    <t>H24</t>
  </si>
  <si>
    <t>I24</t>
  </si>
  <si>
    <t>J24</t>
  </si>
  <si>
    <t>K24</t>
  </si>
  <si>
    <t>F25</t>
  </si>
  <si>
    <t>G25</t>
  </si>
  <si>
    <t>H25</t>
  </si>
  <si>
    <t>I25</t>
  </si>
  <si>
    <t>J25</t>
  </si>
  <si>
    <t>K25</t>
  </si>
  <si>
    <t>F26</t>
  </si>
  <si>
    <t>G26</t>
  </si>
  <si>
    <t>H26</t>
  </si>
  <si>
    <t>I26</t>
  </si>
  <si>
    <t>J26</t>
  </si>
  <si>
    <t>K26</t>
  </si>
  <si>
    <t>F27</t>
  </si>
  <si>
    <t>G27</t>
  </si>
  <si>
    <t>H27</t>
  </si>
  <si>
    <t>I27</t>
  </si>
  <si>
    <t>J27</t>
  </si>
  <si>
    <t>K27</t>
  </si>
  <si>
    <t>F28</t>
  </si>
  <si>
    <t>G28</t>
  </si>
  <si>
    <t>H28</t>
  </si>
  <si>
    <t>I28</t>
  </si>
  <si>
    <t>J28</t>
  </si>
  <si>
    <t>K28</t>
  </si>
  <si>
    <t>F29</t>
  </si>
  <si>
    <t>G29</t>
  </si>
  <si>
    <t>H29</t>
  </si>
  <si>
    <t>I29</t>
  </si>
  <si>
    <t>J29</t>
  </si>
  <si>
    <t>K29</t>
  </si>
  <si>
    <t>F30</t>
  </si>
  <si>
    <t>G30</t>
  </si>
  <si>
    <t>H30</t>
  </si>
  <si>
    <t>I30</t>
  </si>
  <si>
    <t>J30</t>
  </si>
  <si>
    <t>K30</t>
  </si>
  <si>
    <t>F31</t>
  </si>
  <si>
    <t>G31</t>
  </si>
  <si>
    <t>H31</t>
  </si>
  <si>
    <t>I31</t>
  </si>
  <si>
    <t>J31</t>
  </si>
  <si>
    <t>K31</t>
  </si>
  <si>
    <t>F32</t>
  </si>
  <si>
    <t>G32</t>
  </si>
  <si>
    <t>H32</t>
  </si>
  <si>
    <t>I32</t>
  </si>
  <si>
    <t>J32</t>
  </si>
  <si>
    <t>K32</t>
  </si>
  <si>
    <t>F33</t>
  </si>
  <si>
    <t>G33</t>
  </si>
  <si>
    <t>H33</t>
  </si>
  <si>
    <t>I33</t>
  </si>
  <si>
    <t>J33</t>
  </si>
  <si>
    <t>K33</t>
  </si>
  <si>
    <t>F34</t>
  </si>
  <si>
    <t>G34</t>
  </si>
  <si>
    <t>H34</t>
  </si>
  <si>
    <t>I34</t>
  </si>
  <si>
    <t>J34</t>
  </si>
  <si>
    <t>K34</t>
  </si>
  <si>
    <t>F35</t>
  </si>
  <si>
    <t>G35</t>
  </si>
  <si>
    <t>H35</t>
  </si>
  <si>
    <t>I35</t>
  </si>
  <si>
    <t>J35</t>
  </si>
  <si>
    <t>K35</t>
  </si>
  <si>
    <t>F36</t>
  </si>
  <si>
    <t>G36</t>
  </si>
  <si>
    <t>H36</t>
  </si>
  <si>
    <t>I36</t>
  </si>
  <si>
    <t>J36</t>
  </si>
  <si>
    <t>K36</t>
  </si>
  <si>
    <t>F37</t>
  </si>
  <si>
    <t>G37</t>
  </si>
  <si>
    <t>H37</t>
  </si>
  <si>
    <t>I37</t>
  </si>
  <si>
    <t>J37</t>
  </si>
  <si>
    <t>K37</t>
  </si>
  <si>
    <t>F42</t>
  </si>
  <si>
    <t>G42</t>
  </si>
  <si>
    <t>H42</t>
  </si>
  <si>
    <t>I42</t>
  </si>
  <si>
    <t>J42</t>
  </si>
  <si>
    <t>K42</t>
  </si>
  <si>
    <t>F46</t>
  </si>
  <si>
    <t>G46</t>
  </si>
  <si>
    <t>H46</t>
  </si>
  <si>
    <t>I46</t>
  </si>
  <si>
    <t>J46</t>
  </si>
  <si>
    <t>K46</t>
  </si>
  <si>
    <t>F47</t>
  </si>
  <si>
    <t>G47</t>
  </si>
  <si>
    <t>H47</t>
  </si>
  <si>
    <t>I47</t>
  </si>
  <si>
    <t>J47</t>
  </si>
  <si>
    <t>K47</t>
  </si>
  <si>
    <t>F48</t>
  </si>
  <si>
    <t>G48</t>
  </si>
  <si>
    <t>H48</t>
  </si>
  <si>
    <t>I48</t>
  </si>
  <si>
    <t>J48</t>
  </si>
  <si>
    <t>K48</t>
  </si>
  <si>
    <t>F49</t>
  </si>
  <si>
    <t>G49</t>
  </si>
  <si>
    <t>H49</t>
  </si>
  <si>
    <t>I49</t>
  </si>
  <si>
    <t>J49</t>
  </si>
  <si>
    <t>K49</t>
  </si>
  <si>
    <t>F50</t>
  </si>
  <si>
    <t>G50</t>
  </si>
  <si>
    <t>H50</t>
  </si>
  <si>
    <t>I50</t>
  </si>
  <si>
    <t>J50</t>
  </si>
  <si>
    <t>K50</t>
  </si>
  <si>
    <t>F51</t>
  </si>
  <si>
    <t>G51</t>
  </si>
  <si>
    <t>H51</t>
  </si>
  <si>
    <t>I51</t>
  </si>
  <si>
    <t>J51</t>
  </si>
  <si>
    <t>K51</t>
  </si>
  <si>
    <t>F52</t>
  </si>
  <si>
    <t>G52</t>
  </si>
  <si>
    <t>H52</t>
  </si>
  <si>
    <t>I52</t>
  </si>
  <si>
    <t>J52</t>
  </si>
  <si>
    <t>K52</t>
  </si>
  <si>
    <t>F53</t>
  </si>
  <si>
    <t>G53</t>
  </si>
  <si>
    <t>H53</t>
  </si>
  <si>
    <t>I53</t>
  </si>
  <si>
    <t>J53</t>
  </si>
  <si>
    <t>K53</t>
  </si>
  <si>
    <t>F54</t>
  </si>
  <si>
    <t>G54</t>
  </si>
  <si>
    <t>H54</t>
  </si>
  <si>
    <t>I54</t>
  </si>
  <si>
    <t>J54</t>
  </si>
  <si>
    <t>K54</t>
  </si>
  <si>
    <t>F55</t>
  </si>
  <si>
    <t>G55</t>
  </si>
  <si>
    <t>H55</t>
  </si>
  <si>
    <t>I55</t>
  </si>
  <si>
    <t>J55</t>
  </si>
  <si>
    <t>K55</t>
  </si>
  <si>
    <t>M10:M12</t>
  </si>
  <si>
    <t>X61</t>
  </si>
  <si>
    <t>X68</t>
  </si>
  <si>
    <t>O92</t>
  </si>
  <si>
    <t>Q92</t>
  </si>
  <si>
    <t>T92</t>
  </si>
  <si>
    <t>RR K 7</t>
  </si>
  <si>
    <t>RR K 8</t>
  </si>
  <si>
    <t>RR K9</t>
  </si>
  <si>
    <t>RR K 12</t>
  </si>
  <si>
    <t>RR K 14</t>
  </si>
  <si>
    <t>RR K 17</t>
  </si>
  <si>
    <t>RR K 18</t>
  </si>
  <si>
    <t>RR K 21</t>
  </si>
  <si>
    <t>RR K 22</t>
  </si>
  <si>
    <t>RR K 23</t>
  </si>
  <si>
    <t>RR E 21</t>
  </si>
  <si>
    <t>RR E 22</t>
  </si>
  <si>
    <t>RR E 23</t>
  </si>
  <si>
    <t>Austin College</t>
  </si>
  <si>
    <t>R &amp; D Expenses not meeting the narrow definition of R &amp; D used in the Research Expenditures Survey (Must be a positive number.)</t>
  </si>
  <si>
    <t>Other Research-related Equipment Expenditures (noncurrent fund expenditures, etc. - do not include R &amp; D plant expenses or construction)</t>
  </si>
  <si>
    <t>R &amp; D Expenses as defined for the Research Expenditure Survey</t>
  </si>
  <si>
    <t>Indirect Costs associated with Expenses for R &amp; D as defined for this survey</t>
  </si>
  <si>
    <t>Capital Outlay for research equipment (do not include R &amp; D plant expenses or construction)</t>
  </si>
  <si>
    <t>Expenditures for conduct of R &amp; D made by institution's research foundation or 501© corporation on behalf of the institution and not report in institution AFR, including indirect costs not reported above</t>
  </si>
  <si>
    <t>Pass-throughs from other Texas A&amp;M members not reported in R &amp; D Expenditures as defined for the Research Expenditure Survey</t>
  </si>
  <si>
    <t>Abilene Christian University</t>
  </si>
  <si>
    <t>Baylor University</t>
  </si>
  <si>
    <t/>
  </si>
  <si>
    <t>Huston-Tillotson University</t>
  </si>
  <si>
    <t>LeTourneau University</t>
  </si>
  <si>
    <t>McMurry University</t>
  </si>
  <si>
    <t>Parker University</t>
  </si>
  <si>
    <t>Southern Methodist University</t>
  </si>
  <si>
    <t>Southwestern University</t>
  </si>
  <si>
    <t>University of Dallas</t>
  </si>
  <si>
    <t>Texas Lutheran University</t>
  </si>
  <si>
    <t>Texas Wesleyan University</t>
  </si>
  <si>
    <t>Trinity University</t>
  </si>
  <si>
    <t>Texas Christian University</t>
  </si>
  <si>
    <t xml:space="preserve"> </t>
  </si>
  <si>
    <t>Debra Johnson</t>
  </si>
  <si>
    <t>debra.johson@uta.edu</t>
  </si>
  <si>
    <t>Don Simpson</t>
  </si>
  <si>
    <t>dsimpson@austin.utexas.edu</t>
  </si>
  <si>
    <t>Cindy Milligan</t>
  </si>
  <si>
    <t>cxm133830@utdallas.edu</t>
  </si>
  <si>
    <t>Daniel Dominguez</t>
  </si>
  <si>
    <t>drdominguez@utep.edu</t>
  </si>
  <si>
    <t>Lilia M. St. Clair</t>
  </si>
  <si>
    <t>lilia.stclair@utrgv.edu</t>
  </si>
  <si>
    <t>Jana Juarez</t>
  </si>
  <si>
    <t>juarez_j@utpb.edu</t>
  </si>
  <si>
    <t>Sheri Hardison</t>
  </si>
  <si>
    <t>sheri.hardison@utsa.edu</t>
  </si>
  <si>
    <t>Brenda Golemon</t>
  </si>
  <si>
    <t>bgolemon@uttyler.edu</t>
  </si>
  <si>
    <t>Judith Kruwell</t>
  </si>
  <si>
    <t>kruwelljf@sfasu.edu</t>
  </si>
  <si>
    <t>Cris Sowden</t>
  </si>
  <si>
    <t>crisla@tamu.edu</t>
  </si>
  <si>
    <t>Tracy Crowley</t>
  </si>
  <si>
    <t>tcrowley@tamus.edu</t>
  </si>
  <si>
    <t>Charlotte Hotz</t>
  </si>
  <si>
    <t>cahotz@central.uh.edu</t>
  </si>
  <si>
    <t>Tanjina Rahman</t>
  </si>
  <si>
    <t>rahman@uhcl.edu</t>
  </si>
  <si>
    <t>Tiffany Luong</t>
  </si>
  <si>
    <t>nguyent@uhd.edu</t>
  </si>
  <si>
    <t>June Nelson</t>
  </si>
  <si>
    <t>nelsonj@uhv.edu</t>
  </si>
  <si>
    <t>Nancy Bergeron</t>
  </si>
  <si>
    <t>ncbergeron@lamar.edu</t>
  </si>
  <si>
    <t>Jennifer Jones</t>
  </si>
  <si>
    <t>jl093@shsu.edu</t>
  </si>
  <si>
    <t>jlj093@shsu.edu</t>
  </si>
  <si>
    <t>Cindy Haley</t>
  </si>
  <si>
    <t>cindy.haley@txstate.edu</t>
  </si>
  <si>
    <t>Bonnie Albright</t>
  </si>
  <si>
    <t>bonnie.albright@sulross.edu</t>
  </si>
  <si>
    <t>Lori Eppler</t>
  </si>
  <si>
    <t>lori.eppler@ttu.edu</t>
  </si>
  <si>
    <t>Gina Councilman</t>
  </si>
  <si>
    <t>gina.councilman@angelo.edu</t>
  </si>
  <si>
    <t>Kristel Mcclaran</t>
  </si>
  <si>
    <t>kristel.mcclaran@unt.edu</t>
  </si>
  <si>
    <t>Gia Doss</t>
  </si>
  <si>
    <t>gia.doss@untdallas.edu</t>
  </si>
  <si>
    <t>Chris Stovall</t>
  </si>
  <si>
    <t>chris.stovall@msutexas.edu</t>
  </si>
  <si>
    <t>June Orth</t>
  </si>
  <si>
    <t>borth@twu.edu</t>
  </si>
  <si>
    <t>Remove business meals per NRUF audit</t>
  </si>
  <si>
    <t>Construction</t>
  </si>
  <si>
    <t>Pass Throughs</t>
  </si>
  <si>
    <t>Competitively awarded grants and contracts funded by state appropriations specifically identified by the legislature as for research.</t>
  </si>
  <si>
    <t>Expenditures with service dates not in FY 23</t>
  </si>
  <si>
    <t>Research Scholarships</t>
  </si>
  <si>
    <t>TEES</t>
  </si>
  <si>
    <t>Expenditures from TRIP eligible gifts.</t>
  </si>
  <si>
    <t>Restricted research participant support listed as scholarships on matrix</t>
  </si>
  <si>
    <t>Restricted research financial aid listed as scholarships on matrix</t>
  </si>
  <si>
    <t>Competitively awarded THWRC &amp; TARC grants funded from state appropriations</t>
  </si>
  <si>
    <t>Competitively awarded state appropriated grants</t>
  </si>
  <si>
    <t>IDT's expense</t>
  </si>
  <si>
    <t>HRI</t>
  </si>
  <si>
    <t>The University of Texas Southwestern Medical Center</t>
  </si>
  <si>
    <t>The University of Texas Medical Branch at Galveston</t>
  </si>
  <si>
    <t>The University of Texas Health Science Center at Houston</t>
  </si>
  <si>
    <t>The University of Texas Health Science Center at San Antonio</t>
  </si>
  <si>
    <t>The University of Texas M.D. Anderson Cancer Center</t>
  </si>
  <si>
    <t>The University of Texas Health Science Center at Tyler</t>
  </si>
  <si>
    <t>Texas A&amp;M University System Health Science Center</t>
  </si>
  <si>
    <t>University of North Texas Health Science Center at Fort Worth</t>
  </si>
  <si>
    <t>Texas Tech University Health Sciences Center</t>
  </si>
  <si>
    <t>Texas Tech University Health Sciences Center at El Paso</t>
  </si>
  <si>
    <t>The University of Texas Rio Grande Valley Medical School (M)</t>
  </si>
  <si>
    <t>The University of Texas at Austin Medical School (M)</t>
  </si>
  <si>
    <t>University of Houston Medical School (M)</t>
  </si>
  <si>
    <t>Sam Houston State University Medical School</t>
  </si>
  <si>
    <t>HRI - F46</t>
  </si>
  <si>
    <t>HRI - G46</t>
  </si>
  <si>
    <t>HRI - H46</t>
  </si>
  <si>
    <t>HRI - I46</t>
  </si>
  <si>
    <t>HRI - J46</t>
  </si>
  <si>
    <t>HRI - K46</t>
  </si>
  <si>
    <t>HRI - F48</t>
  </si>
  <si>
    <t>HRI - G48</t>
  </si>
  <si>
    <t>HRI - H48</t>
  </si>
  <si>
    <t>HRI - I48</t>
  </si>
  <si>
    <t>HRI - J48</t>
  </si>
  <si>
    <t>HRI - K48</t>
  </si>
  <si>
    <t>HRI - F49</t>
  </si>
  <si>
    <t>HRI - G49</t>
  </si>
  <si>
    <t>HRI - H49</t>
  </si>
  <si>
    <t>HRI - I49</t>
  </si>
  <si>
    <t>HRI - J49</t>
  </si>
  <si>
    <t>HRI - K49</t>
  </si>
  <si>
    <t>HRI - F50</t>
  </si>
  <si>
    <t>HRI - G50</t>
  </si>
  <si>
    <t>HRI - H50</t>
  </si>
  <si>
    <t>HRI - I50</t>
  </si>
  <si>
    <t>HRI - J50</t>
  </si>
  <si>
    <t>HRI - K50</t>
  </si>
  <si>
    <t>John Schmidt</t>
  </si>
  <si>
    <t>john.schmidt@utsouthwestern.edu</t>
  </si>
  <si>
    <t>Joshua Tucker</t>
  </si>
  <si>
    <t>joatucker@utmb.edu</t>
  </si>
  <si>
    <t>Scott Barnett</t>
  </si>
  <si>
    <t>Scott.Barnett@uth.tmc.edu</t>
  </si>
  <si>
    <t>Yinwen Li</t>
  </si>
  <si>
    <t>liy2@uthscsa.edu</t>
  </si>
  <si>
    <t>Duy Tran</t>
  </si>
  <si>
    <t>ddtran2@mdanderson.org</t>
  </si>
  <si>
    <t>Julie Meisinger</t>
  </si>
  <si>
    <t>julie.meisinger@unthsc.edu</t>
  </si>
  <si>
    <t>Rebecca Aguilar</t>
  </si>
  <si>
    <t>rebecca.aguilar@ttuhsc.edu</t>
  </si>
  <si>
    <t>Robert Ortega</t>
  </si>
  <si>
    <t>robert.ortega@ttuhsc.edu</t>
  </si>
  <si>
    <t>N/A</t>
  </si>
  <si>
    <t>Agricultural Sci. Fed</t>
  </si>
  <si>
    <t>Agricultural Sci. St. Approp.</t>
  </si>
  <si>
    <t>Agricultural Sci. St. C&amp;G</t>
  </si>
  <si>
    <t>Agricultural Sci. Inst Res</t>
  </si>
  <si>
    <t>Agricultural Sci. PFP</t>
  </si>
  <si>
    <t>Agricultural Sci. PNP</t>
  </si>
  <si>
    <t>Biological &amp; Other Life Sci. Fed</t>
  </si>
  <si>
    <t>Biological &amp; Other Life Sci. St. Approp.</t>
  </si>
  <si>
    <t>Biological &amp; Other Life Sci. St. C&amp;G</t>
  </si>
  <si>
    <t>Biological &amp; Other Life Sci. Inst Res</t>
  </si>
  <si>
    <t>Biological &amp; Other Life Sci. PFP</t>
  </si>
  <si>
    <t>Biological &amp; Other Life Sci. PNP</t>
  </si>
  <si>
    <t>Comp. Sci. Fed</t>
  </si>
  <si>
    <t>Comp. Sci. St. Approp.</t>
  </si>
  <si>
    <t>Comp. Sci. St. C&amp;G</t>
  </si>
  <si>
    <t>Comp. Sci. Inst Res</t>
  </si>
  <si>
    <t>Comp. Sci. PFP</t>
  </si>
  <si>
    <t>Comp. Sci. PNP</t>
  </si>
  <si>
    <t>Engineering Fed</t>
  </si>
  <si>
    <t>Engineering St. Approp.</t>
  </si>
  <si>
    <t>Engineering St. C&amp;G</t>
  </si>
  <si>
    <t>Engineering Inst Res</t>
  </si>
  <si>
    <t>Engineering PFP</t>
  </si>
  <si>
    <t>Engineering PNP</t>
  </si>
  <si>
    <t>Env Sci. Fed</t>
  </si>
  <si>
    <t>Env Sci. St. Approp.</t>
  </si>
  <si>
    <t>Env Sci. St. C&amp;G</t>
  </si>
  <si>
    <t>Env Sci. Inst Res</t>
  </si>
  <si>
    <t>Env Sci. PFP</t>
  </si>
  <si>
    <t>Env Sci. PNP</t>
  </si>
  <si>
    <t>Math Fed</t>
  </si>
  <si>
    <t>Math St. Approp.</t>
  </si>
  <si>
    <t>Math St. C&amp;G</t>
  </si>
  <si>
    <t>Math Inst Res</t>
  </si>
  <si>
    <t>Math PFP</t>
  </si>
  <si>
    <t>Math PNP</t>
  </si>
  <si>
    <t>Medical Fed</t>
  </si>
  <si>
    <t>Physical Sci. Fed</t>
  </si>
  <si>
    <t>Physical Sci. St. Approp.</t>
  </si>
  <si>
    <t>Physical Sci. St. C&amp;G</t>
  </si>
  <si>
    <t>Physical Sci. Inst Res</t>
  </si>
  <si>
    <t>Physical Sci. PFP</t>
  </si>
  <si>
    <t>Physical Sci. PNP</t>
  </si>
  <si>
    <t>Psychology Fed</t>
  </si>
  <si>
    <t>Psychology St. Approp.</t>
  </si>
  <si>
    <t>Psychology St. C&amp;G</t>
  </si>
  <si>
    <t>Psychology Inst Res</t>
  </si>
  <si>
    <t>Psychology PFP</t>
  </si>
  <si>
    <t>Psychology PNP</t>
  </si>
  <si>
    <t>Social Sci. Fed</t>
  </si>
  <si>
    <t>Social Sci. St. Approp.</t>
  </si>
  <si>
    <t>Social Sci. St. C&amp;G</t>
  </si>
  <si>
    <t>Social Sci. Inst Res</t>
  </si>
  <si>
    <t>Social Sci. PFP</t>
  </si>
  <si>
    <t>Social Sci. PNP</t>
  </si>
  <si>
    <t>Arts &amp; Humanities Fed</t>
  </si>
  <si>
    <t>Arts &amp; Humanities St. Approp.</t>
  </si>
  <si>
    <t>Arts &amp; Humanities St. C&amp;G</t>
  </si>
  <si>
    <t>Arts &amp; Humanities Inst Res</t>
  </si>
  <si>
    <t>Arts &amp; Humanities PFP</t>
  </si>
  <si>
    <t>Arts &amp; Humanities PNP</t>
  </si>
  <si>
    <t>Business Fed</t>
  </si>
  <si>
    <t>Business St. Approp.</t>
  </si>
  <si>
    <t>Business St. C&amp;G</t>
  </si>
  <si>
    <t>Business Inst Res</t>
  </si>
  <si>
    <t>Business PFP</t>
  </si>
  <si>
    <t>Business PNP</t>
  </si>
  <si>
    <t>Education Fed</t>
  </si>
  <si>
    <t>Education St. Approp.</t>
  </si>
  <si>
    <t>Education St. C&amp;G</t>
  </si>
  <si>
    <t>Education Inst Res</t>
  </si>
  <si>
    <t>Education PFP</t>
  </si>
  <si>
    <t>Education PNP</t>
  </si>
  <si>
    <t>Law Fed</t>
  </si>
  <si>
    <t>Law St. Approp.</t>
  </si>
  <si>
    <t>Law St. C&amp;G</t>
  </si>
  <si>
    <t>Law Inst Res</t>
  </si>
  <si>
    <t>Law PFP</t>
  </si>
  <si>
    <t>Law PNP</t>
  </si>
  <si>
    <t>Other Non-Sci. Fed</t>
  </si>
  <si>
    <t>Other Non-Sci. St. Approp.</t>
  </si>
  <si>
    <t>Other Non-Sci. St. C&amp;G</t>
  </si>
  <si>
    <t>Other Non-Sci. Inst Res</t>
  </si>
  <si>
    <t>Other Non-Sci. PFP</t>
  </si>
  <si>
    <t>Other Non-Sci. PNP</t>
  </si>
  <si>
    <t>Aging Fed</t>
  </si>
  <si>
    <t>BioTech Fed</t>
  </si>
  <si>
    <t>BioTech St. Approp.</t>
  </si>
  <si>
    <t>BioTech St. C&amp;G</t>
  </si>
  <si>
    <t>BioTech Inst Res</t>
  </si>
  <si>
    <t>BioTech PFP</t>
  </si>
  <si>
    <t>BioTech PNP</t>
  </si>
  <si>
    <t>Energy Fed</t>
  </si>
  <si>
    <t>Energy St. Approp.</t>
  </si>
  <si>
    <t>Energy St. C&amp;G</t>
  </si>
  <si>
    <t>Energy Inst Res</t>
  </si>
  <si>
    <t>Energy PFP</t>
  </si>
  <si>
    <t>Energy PNP</t>
  </si>
  <si>
    <t>CHHD Fed</t>
  </si>
  <si>
    <t>CHHD St. Approp.</t>
  </si>
  <si>
    <t>CHHD St. C&amp;G</t>
  </si>
  <si>
    <t>CHHD Inst Res</t>
  </si>
  <si>
    <t>CHHD PFP</t>
  </si>
  <si>
    <t>CHHD PNP</t>
  </si>
  <si>
    <t>Manufacturing Tech Fed</t>
  </si>
  <si>
    <t>Manufacturing Tech St. Approp.</t>
  </si>
  <si>
    <t>Manufacturing Tech St. C&amp;G</t>
  </si>
  <si>
    <t>Manufacturing Tech Inst Res</t>
  </si>
  <si>
    <t>Manufacturing Tech PFP</t>
  </si>
  <si>
    <t>Manufacturing Tech PNP</t>
  </si>
  <si>
    <t>Mental Hlth Fed</t>
  </si>
  <si>
    <t>Mental Hlth St. Approp.</t>
  </si>
  <si>
    <t>Mental Hlth St. C&amp;G</t>
  </si>
  <si>
    <t>Mental Hlth Inst Res</t>
  </si>
  <si>
    <t>Mental Hlth PFP</t>
  </si>
  <si>
    <t>Mental Hlth PNP</t>
  </si>
  <si>
    <t>Materials Sci. Fed</t>
  </si>
  <si>
    <t>Materials Sci. St. Approp.</t>
  </si>
  <si>
    <t>Materials Sci. St. C&amp;G</t>
  </si>
  <si>
    <t>Materials Sci. Inst Res</t>
  </si>
  <si>
    <t>Materials Sci. PFP</t>
  </si>
  <si>
    <t>Materials Sci. PNP</t>
  </si>
  <si>
    <t>Micro &amp; Comp. Tech Fed</t>
  </si>
  <si>
    <t>Micro &amp; Comp. Tech St. Approp.</t>
  </si>
  <si>
    <t>Micro &amp; Comp. Tech St. C&amp;G</t>
  </si>
  <si>
    <t>Micro &amp; Comp. Tech Inst Res</t>
  </si>
  <si>
    <t>Micro &amp; Comp. Tech PFP</t>
  </si>
  <si>
    <t>Micro &amp; Comp. Tech PNP</t>
  </si>
  <si>
    <t>Water Resources Fed</t>
  </si>
  <si>
    <t>Water Resources St. Approp.</t>
  </si>
  <si>
    <t>Water Resources St. C&amp;G</t>
  </si>
  <si>
    <t>Water Resources Inst Res</t>
  </si>
  <si>
    <t>Water Resources PFP</t>
  </si>
  <si>
    <t>Water Resources PNP</t>
  </si>
  <si>
    <t>Stem Cell - Adult Fed</t>
  </si>
  <si>
    <t>Stem Cell - Adult St. Approp.</t>
  </si>
  <si>
    <t>Stem Cell - Adult St. C&amp;G</t>
  </si>
  <si>
    <t>Stem Cell - Adult Inst Res</t>
  </si>
  <si>
    <t>Stem Cell - Adult PFP</t>
  </si>
  <si>
    <t>Stem Cell - Adult PNP</t>
  </si>
  <si>
    <t>Stem Cell - Embryonic Fed</t>
  </si>
  <si>
    <t>Stem Cell - Embryonic St. Approp.</t>
  </si>
  <si>
    <t>Stem Cell - Embryonic St. C&amp;G</t>
  </si>
  <si>
    <t>Stem Cell - Embryonic Inst Res</t>
  </si>
  <si>
    <t>Stem Cell - Embryonic PFP</t>
  </si>
  <si>
    <t>Stem Cell - Embryonic PNP</t>
  </si>
  <si>
    <t>Type</t>
  </si>
  <si>
    <t>Funding</t>
  </si>
  <si>
    <t>1st Row</t>
  </si>
  <si>
    <t>R &amp; D Exp Not meeting narrow def</t>
  </si>
  <si>
    <t>Other Res-related Eq Exp</t>
  </si>
  <si>
    <t>R &amp; D Expenses</t>
  </si>
  <si>
    <t>IDC assoc w/Exp for R &amp; D</t>
  </si>
  <si>
    <t>Capital Outlay (Res Equip)</t>
  </si>
  <si>
    <t>R&amp;D Exp - Inst foundation/501(c)(3)</t>
  </si>
  <si>
    <t>Pass-Thru from other Texas A&amp;M members</t>
  </si>
  <si>
    <t>Total R &amp; D Exp as a Sub</t>
  </si>
  <si>
    <t>Total R &amp; D Exp to a Sub</t>
  </si>
  <si>
    <t>Glenda Wright</t>
  </si>
  <si>
    <t>glenda.wright@tsu.edu</t>
  </si>
  <si>
    <t>Total Expenses for R &amp; D as reported on the Schedule of Revenues, Expenses, and Changes in Net Position</t>
  </si>
  <si>
    <t>For the Year Ended August 31, 2023</t>
  </si>
  <si>
    <t>Summary of R &amp; D Expenditures</t>
  </si>
  <si>
    <t>Total</t>
  </si>
  <si>
    <t>R &amp; D Expenditures By Funding Source</t>
  </si>
  <si>
    <t>Select Areas of Special Interest</t>
  </si>
  <si>
    <t>Total R &amp; D Expenditures</t>
  </si>
  <si>
    <t>Medical St. Approp.</t>
  </si>
  <si>
    <t>Medical St. C&amp;G</t>
  </si>
  <si>
    <t>Medical Inst Res</t>
  </si>
  <si>
    <t>Medical PFP</t>
  </si>
  <si>
    <t>Medical PNP</t>
  </si>
  <si>
    <t>Other Sci. Fed</t>
  </si>
  <si>
    <t>Other Sci. St. Approp.</t>
  </si>
  <si>
    <t>Other Sci. St. C&amp;G</t>
  </si>
  <si>
    <t>Other Sci. Inst Res</t>
  </si>
  <si>
    <t>Other Sci. PFP</t>
  </si>
  <si>
    <t>Other Sci. PNP</t>
  </si>
  <si>
    <t>Aerospace Fed</t>
  </si>
  <si>
    <t>Aerospace St. Approp.</t>
  </si>
  <si>
    <t>Aerospace St. C&amp;G</t>
  </si>
  <si>
    <t>Aerospace Inst Res</t>
  </si>
  <si>
    <t>Aerospace PFP</t>
  </si>
  <si>
    <t>Aerospace PNP</t>
  </si>
  <si>
    <t>Aging St. Approp.</t>
  </si>
  <si>
    <t>Aging St. C&amp;G</t>
  </si>
  <si>
    <t>Aging Inst Res</t>
  </si>
  <si>
    <t>Aging PFP</t>
  </si>
  <si>
    <t>Aging PNP</t>
  </si>
  <si>
    <t>Cancer Fed</t>
  </si>
  <si>
    <t>Cancer St. Approp.</t>
  </si>
  <si>
    <t>Cancer St. C&amp;G</t>
  </si>
  <si>
    <t>Cancer Inst Res</t>
  </si>
  <si>
    <t>Cancer PFP</t>
  </si>
  <si>
    <t>Cancer PNP</t>
  </si>
  <si>
    <t>Cardiovascular Fed</t>
  </si>
  <si>
    <t>Cardiovascular St. Approp.</t>
  </si>
  <si>
    <t>Cardiovascular St. C&amp;G</t>
  </si>
  <si>
    <t>Cardiovascular Inst Res</t>
  </si>
  <si>
    <t>Cardiovascular PFP</t>
  </si>
  <si>
    <t>Cardiovascular PNP</t>
  </si>
  <si>
    <t>Amount of Total R &amp; D Expenditures your institution received as a Sub recipient</t>
  </si>
  <si>
    <t>Amount of Total R &amp; D Expenditures your institution passed through to Sub recipients</t>
  </si>
  <si>
    <t>Statements of Sources and Uses</t>
  </si>
  <si>
    <t>Academic Institutions</t>
  </si>
  <si>
    <t>Health - Related Institutions</t>
  </si>
  <si>
    <t>Utility Survey Ordering</t>
  </si>
  <si>
    <t xml:space="preserve">Total </t>
  </si>
  <si>
    <t>Institution Type</t>
  </si>
  <si>
    <t>Fund Ordering</t>
  </si>
  <si>
    <t>Texas A&amp;M University System</t>
  </si>
  <si>
    <t>S130</t>
  </si>
  <si>
    <t>Texas State System</t>
  </si>
  <si>
    <t>S270</t>
  </si>
  <si>
    <t>Texas Tech University System</t>
  </si>
  <si>
    <t>S310</t>
  </si>
  <si>
    <t>University of North Texas System</t>
  </si>
  <si>
    <t>S330</t>
  </si>
  <si>
    <t>The University of Texas System</t>
  </si>
  <si>
    <t>S40</t>
  </si>
  <si>
    <t>University of Houston - All Disciplines (A+H+M)</t>
  </si>
  <si>
    <t>University of Houston System</t>
  </si>
  <si>
    <t>S230</t>
  </si>
  <si>
    <t>Higher Education Fund 
- As Adjusted</t>
  </si>
  <si>
    <t>Universities, Health-Related Institutions, Lamar State Colleges, and TSTC</t>
  </si>
  <si>
    <t>Texas A&amp;M Research Foundation</t>
  </si>
  <si>
    <t>Texas A&amp;M Office of Sponsored Research Services</t>
  </si>
  <si>
    <t>Texas A&amp;M office of Technology &amp; Commercialization</t>
  </si>
  <si>
    <t>Report Category</t>
  </si>
  <si>
    <t>State 
Appropriation</t>
  </si>
  <si>
    <t>State 
Contracts/Grants</t>
  </si>
  <si>
    <t>State</t>
  </si>
  <si>
    <t>Institutional 
Resources</t>
  </si>
  <si>
    <t>Private 
For Profit</t>
  </si>
  <si>
    <t>Private 
Nonprofit</t>
  </si>
  <si>
    <t>Private</t>
  </si>
  <si>
    <t>Restricted 
Research</t>
  </si>
  <si>
    <t>Restricted Research including Capital Outlay from the AFR</t>
  </si>
  <si>
    <t>Other 1  (e.g. - other added back amounts)</t>
  </si>
  <si>
    <t>Other 2 (e.g. - internal audit adjustments)</t>
  </si>
  <si>
    <t>Other 3 (All other adjustments)</t>
  </si>
  <si>
    <t>Less research expenses not from the restricted funds group</t>
  </si>
  <si>
    <t>Add back capital outlay for restricted funds programs coded research</t>
  </si>
  <si>
    <t>Less amounts of expenses that do not meet SAMs restricted research standards (enter as negative)</t>
  </si>
  <si>
    <t>Add expenditures from competitively awarded grants and contracts funded by state appropriations specifically identified by the legislature as for research (e.g. NHARP).</t>
  </si>
  <si>
    <t>Less Federal Pass-throughs (enter as negative)</t>
  </si>
  <si>
    <t>Less State Pass-throughs (enter as negative)</t>
  </si>
  <si>
    <t xml:space="preserve">Other Adjustments </t>
  </si>
  <si>
    <t>Explanation:</t>
  </si>
  <si>
    <t>Restricted Research Meeting the Definition of Standards and Accounting Methods (SAMs)</t>
  </si>
  <si>
    <t>East Texas Baptist University</t>
  </si>
  <si>
    <t>Letourneau University</t>
  </si>
  <si>
    <t>Mcmurry University</t>
  </si>
  <si>
    <t>Rice University</t>
  </si>
  <si>
    <t>University Of Dallas</t>
  </si>
  <si>
    <t>Wayland Baptist University</t>
  </si>
  <si>
    <t>Doctoral</t>
  </si>
  <si>
    <t>Master's</t>
  </si>
  <si>
    <t xml:space="preserve">Amount - Adj.1 </t>
  </si>
  <si>
    <t>Amount - Adj.3</t>
  </si>
  <si>
    <t>Amount - Adj.2</t>
  </si>
  <si>
    <t>Optometry</t>
  </si>
  <si>
    <t>Private/Independent</t>
  </si>
  <si>
    <t>PVT</t>
  </si>
  <si>
    <t>SRECNP</t>
  </si>
  <si>
    <t>Schedule of Revenues, Expenses, and Changes in Net Position</t>
  </si>
  <si>
    <t>Definitions</t>
  </si>
  <si>
    <t>Published Date</t>
  </si>
  <si>
    <t>2) Source: FY 2023 Sources &amp; Uses Survey, Fund Group Detail (FGD) Worksheet, Space Projection Model Input</t>
  </si>
  <si>
    <t>1) Source: FY 2023 Sources &amp; Uses Survey, Research Expenditure Worksheet (cells L15 &amp; L16)</t>
  </si>
  <si>
    <t>(A+H)</t>
  </si>
  <si>
    <t>(M)</t>
  </si>
  <si>
    <t>Medical</t>
  </si>
  <si>
    <t xml:space="preserve">Academic + Health Professions </t>
  </si>
  <si>
    <t>The University of Texas at Austin (A+H)</t>
  </si>
  <si>
    <t>The University of Texas at Rio Grande Valley (A+H)</t>
  </si>
  <si>
    <t>University of Houston (A+H)</t>
  </si>
  <si>
    <t>Sam Houston State University (A+H)</t>
  </si>
  <si>
    <t>Research Per SRECNP</t>
  </si>
  <si>
    <t>This section is intended to provide information on expenditures in areas of special interest to the public. The list is not all-inclusive. The totals of the Areas of Special Interest will not normally be equal to the "Total Expenditures for Conduct of R&amp;D". Further, expenditures may overlap two or more categories (e.g., a given project may be reported both as materials science and microelectronics or as aging and mental health). Institutions may need to use ad hoc estimators to come up with these numbers.</t>
  </si>
  <si>
    <t>Abbrev.</t>
  </si>
  <si>
    <t>Description</t>
  </si>
  <si>
    <t>Abbreviations | Acronyms</t>
  </si>
  <si>
    <t>Private 
For-Profit</t>
  </si>
  <si>
    <t>Private 
Non-Profit</t>
  </si>
  <si>
    <t>Research 
Per SRECNP</t>
  </si>
  <si>
    <t>Total Restricted 
Research Expenditures</t>
  </si>
  <si>
    <t>Explanation - Adj.3 
(All other adjustments)</t>
  </si>
  <si>
    <t>Explanation - Adj.2 
(e.g. - internal audit adjustments)</t>
  </si>
  <si>
    <t>Explanation - Adj.1 
(e.g. - other added back amounts)</t>
  </si>
  <si>
    <t>Federal 
Pass-Throughs</t>
  </si>
  <si>
    <t>State 
Pass-Throughs</t>
  </si>
  <si>
    <t>Table of Contents</t>
  </si>
  <si>
    <t>Research Expenditures</t>
  </si>
  <si>
    <t>Restricted Research</t>
  </si>
  <si>
    <t>Input</t>
  </si>
  <si>
    <t>Hidden Lists</t>
  </si>
  <si>
    <t>(A+H+M)</t>
  </si>
  <si>
    <t>Annual Financial Report</t>
  </si>
  <si>
    <t>AFR</t>
  </si>
  <si>
    <t xml:space="preserve">1) Red shaded cells indicates this is not a reportable research category for this type of institution.
2) Human stem cell research - Adult and Embryonic were added to the areas of special interest section beginning in Fiscal Year (FY) 2013 as required by Texas Education Code, Chapter 61 Subchapter C, Section 61.0662 (d).
</t>
  </si>
  <si>
    <t>Human Stem Cells - Adult²</t>
  </si>
  <si>
    <t>Human Stem Cells - Embryonic²</t>
  </si>
  <si>
    <t xml:space="preserve">Data as reported on the FY 2023 - Sources &amp; Uses Survey of Research Expenditures. </t>
  </si>
  <si>
    <t>Less pass-through expenses to institutions eligible for either the Texas Comprehensive Research Fund (TCRF) or the Core Research 
Support Fund (CRSF):</t>
  </si>
  <si>
    <t>1) Red shaded cells indicates this is not a reportable research category for this type of institution.
2) Human stem cell research - Adult and Embryonic were added to the areas of special interest section beginning in Fiscal Year (FY) 2013 as required by Texas Education Code, Chapter 61 Subchapter C, Section 61.0662 (d).</t>
  </si>
  <si>
    <t>501(c)(3)¹</t>
  </si>
  <si>
    <t>Research 
Expenditures²</t>
  </si>
  <si>
    <t>TEES 
Pass-through¹</t>
  </si>
  <si>
    <t>Current E &amp; G 
Expenditures²</t>
  </si>
  <si>
    <t>Contact Person for Selected Institution</t>
  </si>
  <si>
    <t>Number</t>
  </si>
  <si>
    <t>BAT SCH</t>
  </si>
  <si>
    <t>Continuing Ed. SCH</t>
  </si>
  <si>
    <t>Grad School of Biomedical Sciences</t>
  </si>
  <si>
    <t>Medical School</t>
  </si>
  <si>
    <t>School of Health Professions</t>
  </si>
  <si>
    <t>School of Nursing</t>
  </si>
  <si>
    <t>School of Public Health</t>
  </si>
  <si>
    <t>Allied Health (Dental)</t>
  </si>
  <si>
    <t>Dental Branch/Academics</t>
  </si>
  <si>
    <t>Dental School</t>
  </si>
  <si>
    <t>Medical School/Academics</t>
  </si>
  <si>
    <t>School of Biomedical Informatics</t>
  </si>
  <si>
    <t>Dental Hygiene</t>
  </si>
  <si>
    <t>Dental School/Academics</t>
  </si>
  <si>
    <t>Biomedical Science</t>
  </si>
  <si>
    <t>Public Health</t>
  </si>
  <si>
    <t>School of Medicine/Academic</t>
  </si>
  <si>
    <t>School of Podiatric Medicine</t>
  </si>
  <si>
    <t>Gayle G. Hunt School of Nursing</t>
  </si>
  <si>
    <t>Paul L. Foster School of Medicine</t>
  </si>
  <si>
    <t>School of Dental Medicine</t>
  </si>
  <si>
    <t>Department of Public Health</t>
  </si>
  <si>
    <t>School of Allied Health</t>
  </si>
  <si>
    <t>School of Medicine</t>
  </si>
  <si>
    <t>School of Pharmacy</t>
  </si>
  <si>
    <t>Southwestern Medical School</t>
  </si>
  <si>
    <t xml:space="preserve">Peter O’Donnell Jr. School of Public Health </t>
  </si>
  <si>
    <t>Texas College of Osteopathic Medicine</t>
  </si>
  <si>
    <t>Baylor Col Dentistry-Advanced Educ</t>
  </si>
  <si>
    <t>Baylor Col Dentistry-Dental School</t>
  </si>
  <si>
    <t>Baylor College Dentistry-Dental Hygiene</t>
  </si>
  <si>
    <t>College of Medicine</t>
  </si>
  <si>
    <t>College of Medicine Academic</t>
  </si>
  <si>
    <t>College of Nursing</t>
  </si>
  <si>
    <t>College of Pharmacy</t>
  </si>
  <si>
    <t>School of Rural Public Health</t>
  </si>
  <si>
    <t>Undergraduate</t>
  </si>
  <si>
    <t>1) Includes post-baccalaureate, master's, AUD, DPT, and PharmD.</t>
  </si>
  <si>
    <t>Medical Center</t>
  </si>
  <si>
    <t>Professional &amp; Special-Prof</t>
  </si>
  <si>
    <t>Academic
 SCH</t>
  </si>
  <si>
    <t>Technical
 SCH</t>
  </si>
  <si>
    <t>Order</t>
  </si>
  <si>
    <t>State Funded 
FTSE²</t>
  </si>
  <si>
    <t xml:space="preserve">FICE </t>
  </si>
  <si>
    <t>Institutions</t>
  </si>
  <si>
    <t>Biological &amp; Other Life Sciences</t>
  </si>
  <si>
    <t>Indirect Costs Associated w/ R &amp; D</t>
  </si>
  <si>
    <t>Capital Outlay for Research</t>
  </si>
  <si>
    <t>Research Exp. 
Per SRECNA</t>
  </si>
  <si>
    <t>R &amp; D Not Meeting 
the Definition</t>
  </si>
  <si>
    <t>Pass-Thru From 
TX Eng. Exp. Station</t>
  </si>
  <si>
    <t>Total Research Expenditures</t>
  </si>
  <si>
    <t>Expenditures for conduct of R &amp; D made by institution's research foundation or 501(c) corporation on behalf of the institution and not report in institution AFR, including indirect costs not reported above</t>
  </si>
  <si>
    <t>R &amp; D for 501(c)(3) or Institution's Foundation</t>
  </si>
  <si>
    <t xml:space="preserve">Healthcare Research </t>
  </si>
  <si>
    <t>Healthcare research data for Health-Related Institutions for Comptrollers Healthcare Report.</t>
  </si>
  <si>
    <t>Private For-Profit</t>
  </si>
  <si>
    <t>Private Non-Profit</t>
  </si>
  <si>
    <t>Student and Faculty Full-Time Equivalent</t>
  </si>
  <si>
    <t>FTSE | FTFE</t>
  </si>
  <si>
    <t>Total Fed</t>
  </si>
  <si>
    <t>Total St. Approp.</t>
  </si>
  <si>
    <t>Total St. C&amp;G</t>
  </si>
  <si>
    <t>Total Inst Res</t>
  </si>
  <si>
    <t>Total PFP</t>
  </si>
  <si>
    <t>Total PNP</t>
  </si>
  <si>
    <t>added1</t>
  </si>
  <si>
    <t>added2</t>
  </si>
  <si>
    <t>added3</t>
  </si>
  <si>
    <t>added4</t>
  </si>
  <si>
    <t>added5</t>
  </si>
  <si>
    <t>added6</t>
  </si>
  <si>
    <t>The University of Texas at Austin (A+H+M)</t>
  </si>
  <si>
    <t>The University of Texas at Rio Grande Valley (A+H+M)</t>
  </si>
  <si>
    <t>University of Houston (A+H+M)</t>
  </si>
  <si>
    <t>SYS</t>
  </si>
  <si>
    <t>Texas A&amp;M University - System</t>
  </si>
  <si>
    <t>University of Houston - System</t>
  </si>
  <si>
    <t>Texas State - System</t>
  </si>
  <si>
    <t>Texas Tech University - System</t>
  </si>
  <si>
    <t>University of North Texas - System</t>
  </si>
  <si>
    <t>The University of Texas - System</t>
  </si>
  <si>
    <t>Balanced</t>
  </si>
  <si>
    <t>Status</t>
  </si>
  <si>
    <t>The University of Texas at Austin (M)</t>
  </si>
  <si>
    <t>University of Houston (M)</t>
  </si>
  <si>
    <t>The University of Texas at Rio Grande Valley (M)</t>
  </si>
  <si>
    <t>TAMUS</t>
  </si>
  <si>
    <t>Sam Houston State University (A+H+NF)</t>
  </si>
  <si>
    <t>Texas A&amp;M System and Agencies</t>
  </si>
  <si>
    <t>Texas Public Universities with Medical Schools</t>
  </si>
  <si>
    <t>AHM</t>
  </si>
  <si>
    <t>Texas A&amp;M System &amp; Agencies</t>
  </si>
  <si>
    <t>Restricted Research List</t>
  </si>
  <si>
    <t>Total Research 
Expenditures</t>
  </si>
  <si>
    <t>Research Expenditures reported to the Almanac</t>
  </si>
  <si>
    <t>Pass-Thru as a Subrecipient</t>
  </si>
  <si>
    <t>Pass-Thru to a Subrecipient</t>
  </si>
  <si>
    <t>Academic Space Model</t>
  </si>
  <si>
    <t>Accountability</t>
  </si>
  <si>
    <t>Almanac</t>
  </si>
  <si>
    <t>Research Expenditures reported to the Accountability system</t>
  </si>
  <si>
    <t>Summary of data for Academic Space Model</t>
  </si>
  <si>
    <t>Research Expenditure Survey</t>
  </si>
  <si>
    <t>Restricted Research Expenditures</t>
  </si>
  <si>
    <t>added7</t>
  </si>
  <si>
    <t>RR</t>
  </si>
  <si>
    <t>Summary of R &amp; D Expenditures by Discipline</t>
  </si>
  <si>
    <t>Computer 
Science</t>
  </si>
  <si>
    <t>Environmental 
Sciences</t>
  </si>
  <si>
    <t>Mathematical 
Sciences</t>
  </si>
  <si>
    <t>Medical 
Sciences</t>
  </si>
  <si>
    <t>Physical 
Sciences</t>
  </si>
  <si>
    <t>Other Sciences not 
classified above</t>
  </si>
  <si>
    <t>Business 
Administration</t>
  </si>
  <si>
    <t>Other Non-Science 
Activities</t>
  </si>
  <si>
    <t>Agricultural 
Sciences</t>
  </si>
  <si>
    <t>Biological &amp; Other 
Life Sciences</t>
  </si>
  <si>
    <t>Arts &amp; 
Humanities</t>
  </si>
  <si>
    <t>Social 
Sciences</t>
  </si>
  <si>
    <t>AAAA</t>
  </si>
  <si>
    <t>Research Expenditures:</t>
  </si>
  <si>
    <t>Research Exp (Summary):</t>
  </si>
  <si>
    <t>Research Exp (Discipline):</t>
  </si>
  <si>
    <t>Restricted Research:</t>
  </si>
  <si>
    <t>Restricted Research List:</t>
  </si>
  <si>
    <t>Research Exp (by Inst Type):</t>
  </si>
  <si>
    <t xml:space="preserve"> Healthcare Research for Comptroller's Healthcare Report</t>
  </si>
  <si>
    <t>Paula Castanon</t>
  </si>
  <si>
    <t>pcastanon@utsystem.edu</t>
  </si>
  <si>
    <t>Folasade Baker</t>
  </si>
  <si>
    <t>(713) 743-8188</t>
  </si>
  <si>
    <t>fbaker@central.uh.edu</t>
  </si>
  <si>
    <t>Angela Brandenberger</t>
  </si>
  <si>
    <t>512-463-2237</t>
  </si>
  <si>
    <t>angela.brandenberger@tsus.edu</t>
  </si>
  <si>
    <t>Sort</t>
  </si>
  <si>
    <t>512-232-7745</t>
  </si>
  <si>
    <t>Source: FY 2023 S&amp;U Research &amp; Restricted Research Expenditures Survey</t>
  </si>
  <si>
    <r>
      <t xml:space="preserve">Prof &amp; Special-Prof </t>
    </r>
    <r>
      <rPr>
        <u/>
        <sz val="12"/>
        <color theme="4"/>
        <rFont val="Besley"/>
        <scheme val="minor"/>
      </rPr>
      <t>Headcount</t>
    </r>
  </si>
  <si>
    <r>
      <t>Full-Time Student
Equivalents</t>
    </r>
    <r>
      <rPr>
        <vertAlign val="superscript"/>
        <sz val="12"/>
        <color theme="4"/>
        <rFont val="Besley"/>
        <scheme val="minor"/>
      </rPr>
      <t>1</t>
    </r>
  </si>
  <si>
    <t>State 
Appropriations</t>
  </si>
  <si>
    <t>Institution 
Resources</t>
  </si>
  <si>
    <t>Research Expenditures 
not from Restricted 
Funds Groups</t>
  </si>
  <si>
    <t>Capital Outlay for 
Restricted Funds 
Programs Coded Research</t>
  </si>
  <si>
    <t>Restricted Research 
including Capital 
Outlay from the AFR</t>
  </si>
  <si>
    <t>Amounts Not Meeting 
Restricted Research 
Standards</t>
  </si>
  <si>
    <t>Expenditures from the 
Norman Hackerman 
Advanced Research Program</t>
  </si>
  <si>
    <t>Total R&amp;D as Reported 
on SRECNP</t>
  </si>
  <si>
    <t>offers a comprehensive overview of expenditures by method of funding and discipline across universities.</t>
  </si>
  <si>
    <t xml:space="preserve">displays the restricted research expenditures for a given institution. </t>
  </si>
  <si>
    <t xml:space="preserve">*Restricted research expenditures are reported for Texas Public Universities only. </t>
  </si>
  <si>
    <t>Provides name, phone number, and email address for the point of contact for the college or university.</t>
  </si>
  <si>
    <t>Phone Number</t>
  </si>
  <si>
    <t>Email Address</t>
  </si>
  <si>
    <t>jamie.oltz@lsco.edu</t>
  </si>
  <si>
    <t>Sam Houston State University (M)</t>
  </si>
  <si>
    <t>Texas A&amp;M University - System Health Science Center</t>
  </si>
  <si>
    <t>Not Provided</t>
  </si>
  <si>
    <t>scott.barnett@uth.tmc.edu</t>
  </si>
  <si>
    <t>Kristel McClaran</t>
  </si>
  <si>
    <t>(A+H+NF)</t>
  </si>
  <si>
    <t>\</t>
  </si>
  <si>
    <t>displays the summary of R&amp;D expenditures, the expenditures by discipline, and expenditures in special interest areas for a selected institution.</t>
  </si>
  <si>
    <t xml:space="preserve">provides R&amp;D expenditure totals by institution type, including summaries of expenses, funding sources, and special interest areas. </t>
  </si>
  <si>
    <t>offers a comprehensive overview of how research expenditures are calculated, highlighting the specific methods and standards used in the calculation process.</t>
  </si>
  <si>
    <t>offers a comprehensive overview of how restricted research expenditures are calculated, highlighting the specific methods and standards used in the calculation process.</t>
  </si>
  <si>
    <t>System</t>
  </si>
  <si>
    <t>SCH</t>
  </si>
  <si>
    <t>Semester Credit Hour</t>
  </si>
  <si>
    <t>All Disciplines; Academic, Health Professions, and Medical</t>
  </si>
  <si>
    <t>All Disciplines; Academic, Health Professions, and Non-formula</t>
  </si>
  <si>
    <r>
      <rPr>
        <b/>
        <u/>
        <sz val="12"/>
        <color theme="4"/>
        <rFont val="Besley"/>
        <scheme val="minor"/>
      </rPr>
      <t>Agricultural Sciences</t>
    </r>
    <r>
      <rPr>
        <sz val="12"/>
        <color theme="4"/>
        <rFont val="Besley"/>
        <scheme val="minor"/>
      </rPr>
      <t xml:space="preserve"> deal with the production of food and fiber. They include work in plant sciences, animal sciences, aquaculture, agricultural economics, and other topics related to the agricultural enterprise.</t>
    </r>
  </si>
  <si>
    <r>
      <rPr>
        <b/>
        <u/>
        <sz val="12"/>
        <color theme="4"/>
        <rFont val="Besley"/>
        <scheme val="minor"/>
      </rPr>
      <t>Arts and Humanities</t>
    </r>
    <r>
      <rPr>
        <sz val="12"/>
        <color theme="4"/>
        <rFont val="Besley"/>
        <scheme val="minor"/>
      </rPr>
      <t xml:space="preserve"> include topics such as art, music, history, languages, religion, and other aspects of human culture and heritage.</t>
    </r>
  </si>
  <si>
    <r>
      <rPr>
        <b/>
        <u/>
        <sz val="12"/>
        <color theme="4"/>
        <rFont val="Besley"/>
        <scheme val="minor"/>
      </rPr>
      <t>Biological and other Life Sciences</t>
    </r>
    <r>
      <rPr>
        <sz val="12"/>
        <color theme="4"/>
        <rFont val="Besley"/>
        <scheme val="minor"/>
      </rPr>
      <t xml:space="preserve"> are those life sciences (apart from medical sciences and agricultural sciences) that deal with the origin, development, structure, function, and interaction of living things. Examples of biological sciences are anatomy, animal sciences, bacteriology, biochemistry, biogeography, biophysics, ecology, embryology, entomology, evolutionary biology, genetics, immunology, microbiology, molecular biology, nutrition and metabolism, parasitology, pathology, pharmacology, physical anthropology, physiology, plant sciences, radiobiology, and systematics.</t>
    </r>
  </si>
  <si>
    <r>
      <rPr>
        <b/>
        <u/>
        <sz val="12"/>
        <color theme="4"/>
        <rFont val="Besley"/>
        <scheme val="minor"/>
      </rPr>
      <t>Business Administration</t>
    </r>
    <r>
      <rPr>
        <sz val="12"/>
        <color theme="4"/>
        <rFont val="Besley"/>
        <scheme val="minor"/>
      </rPr>
      <t xml:space="preserve"> deals with the management and operation of business enterprises. It includes work in management, marketing, accounting, and related topics.</t>
    </r>
  </si>
  <si>
    <r>
      <rPr>
        <b/>
        <u/>
        <sz val="12"/>
        <color theme="4"/>
        <rFont val="Besley"/>
        <scheme val="minor"/>
      </rPr>
      <t>Capital outlay for research equipment</t>
    </r>
    <r>
      <rPr>
        <u/>
        <sz val="12"/>
        <color theme="4"/>
        <rFont val="Besley"/>
        <scheme val="minor"/>
      </rPr>
      <t xml:space="preserve"> </t>
    </r>
    <r>
      <rPr>
        <sz val="12"/>
        <color theme="4"/>
        <rFont val="Besley"/>
        <scheme val="minor"/>
      </rPr>
      <t>- According to the Government Accounting Standards Board, annual financial reports use expenses rather than expenditures. The major difference is that capital outlays for research equipment will be depreciated over the life of the equipment and will not be separately identified as research items in the annual financial reports. This line allows inclusion of expenditures for equipment that are not included in research expenses. The research definition used for this report does not allow inclusion of expenses for R&amp;D plant or construction.</t>
    </r>
  </si>
  <si>
    <r>
      <rPr>
        <b/>
        <u/>
        <sz val="12"/>
        <color theme="4"/>
        <rFont val="Besley"/>
        <scheme val="minor"/>
      </rPr>
      <t>Computer Science</t>
    </r>
    <r>
      <rPr>
        <sz val="12"/>
        <color theme="4"/>
        <rFont val="Besley"/>
        <scheme val="minor"/>
      </rPr>
      <t xml:space="preserve"> is concerned with the application of mathematical methods to automated information systems, the development of computer technology, and advanced applications of computers.</t>
    </r>
  </si>
  <si>
    <r>
      <rPr>
        <b/>
        <u/>
        <sz val="12"/>
        <color theme="4"/>
        <rFont val="Besley"/>
        <scheme val="minor"/>
      </rPr>
      <t>Development</t>
    </r>
    <r>
      <rPr>
        <sz val="12"/>
        <color theme="4"/>
        <rFont val="Besley"/>
        <scheme val="minor"/>
      </rPr>
      <t xml:space="preserve"> is systematic use of knowledge and understanding gained from research, directed toward the production of useful materials, devices, systems, or methods including design and development of prototypes and processes.</t>
    </r>
  </si>
  <si>
    <r>
      <rPr>
        <b/>
        <u/>
        <sz val="12"/>
        <color theme="4"/>
        <rFont val="Besley"/>
        <scheme val="minor"/>
      </rPr>
      <t>Education</t>
    </r>
    <r>
      <rPr>
        <sz val="12"/>
        <color theme="4"/>
        <rFont val="Besley"/>
        <scheme val="minor"/>
      </rPr>
      <t xml:space="preserve"> includes research related to any aspect of education. This includes educational policy, education administration, etc., and elementary, secondary, and higher education.</t>
    </r>
  </si>
  <si>
    <r>
      <rPr>
        <b/>
        <u/>
        <sz val="12"/>
        <color theme="4"/>
        <rFont val="Besley"/>
        <scheme val="minor"/>
      </rPr>
      <t>Engineering</t>
    </r>
    <r>
      <rPr>
        <b/>
        <sz val="12"/>
        <color theme="4"/>
        <rFont val="Besley"/>
        <scheme val="minor"/>
      </rPr>
      <t xml:space="preserve"> </t>
    </r>
    <r>
      <rPr>
        <sz val="12"/>
        <color theme="4"/>
        <rFont val="Besley"/>
        <scheme val="minor"/>
      </rPr>
      <t>is concerned with studies directed toward developing engineering principles or toward making specific principles usable in engineering practice. Engineering fields include aeronautical, astronautical, chemical, civil, electrical, mechanical, metallurgy and materials, and engineering not elsewhere classified, such as agricultural, bioengineering, biomedical, industrial, nuclear, ocean, and systems.</t>
    </r>
  </si>
  <si>
    <r>
      <rPr>
        <b/>
        <u/>
        <sz val="12"/>
        <color theme="4"/>
        <rFont val="Besley"/>
        <scheme val="minor"/>
      </rPr>
      <t>Environmental Sciences</t>
    </r>
    <r>
      <rPr>
        <sz val="12"/>
        <color theme="4"/>
        <rFont val="Besley"/>
        <scheme val="minor"/>
      </rPr>
      <t xml:space="preserve"> (terrestrial and extraterrestrial) are concerned with the gross, non- biological properties (with one exception) of the areas of the solar system that directly or indirectly affect human survival and welfare. They comprise the fields of atmospheric sciences, geological sciences, and oceanography. The one exception is that expenditures for studies pertaining to life in the sea or other bodies of water are to be reported as support of oceanography and not biology.</t>
    </r>
  </si>
  <si>
    <r>
      <rPr>
        <b/>
        <u/>
        <sz val="12"/>
        <color theme="4"/>
        <rFont val="Besley"/>
        <scheme val="minor"/>
      </rPr>
      <t>Federal Funds</t>
    </r>
    <r>
      <rPr>
        <sz val="12"/>
        <color theme="4"/>
        <rFont val="Besley"/>
        <scheme val="minor"/>
      </rPr>
      <t xml:space="preserve"> - All Federal monies used in support of the R&amp;D activities of the institution. These include reimbursements, contracts, grants, and any identifiable amounts spent from Federal programs including Federal monies passed through state agencies.</t>
    </r>
  </si>
  <si>
    <r>
      <rPr>
        <b/>
        <u/>
        <sz val="12"/>
        <color theme="4"/>
        <rFont val="Besley"/>
        <scheme val="minor"/>
      </rPr>
      <t>Fiscal Year</t>
    </r>
    <r>
      <rPr>
        <sz val="12"/>
        <color theme="4"/>
        <rFont val="Besley"/>
        <scheme val="minor"/>
      </rPr>
      <t xml:space="preserve"> - The 12-month accounting period beginning September 1 and ending August 31 of each year.</t>
    </r>
  </si>
  <si>
    <r>
      <rPr>
        <b/>
        <u/>
        <sz val="12"/>
        <color theme="4"/>
        <rFont val="Besley"/>
        <scheme val="minor"/>
      </rPr>
      <t>Institution Resources</t>
    </r>
    <r>
      <rPr>
        <b/>
        <sz val="12"/>
        <color theme="4"/>
        <rFont val="Besley"/>
        <scheme val="minor"/>
      </rPr>
      <t xml:space="preserve"> </t>
    </r>
    <r>
      <rPr>
        <sz val="12"/>
        <color theme="4"/>
        <rFont val="Besley"/>
        <scheme val="minor"/>
      </rPr>
      <t>- Include expenditures of funds that are locally controlled. This includes Permanent University Funds (PUF) and Available University Funds (AUF), other local funds, etc.</t>
    </r>
  </si>
  <si>
    <r>
      <rPr>
        <b/>
        <u/>
        <sz val="12"/>
        <color theme="4"/>
        <rFont val="Besley"/>
        <scheme val="minor"/>
      </rPr>
      <t>Law</t>
    </r>
    <r>
      <rPr>
        <sz val="12"/>
        <color theme="4"/>
        <rFont val="Besley"/>
        <scheme val="minor"/>
      </rPr>
      <t xml:space="preserve"> and public administration include research related to legal systems and to public policy at the federal, state, or local levels.</t>
    </r>
  </si>
  <si>
    <r>
      <rPr>
        <b/>
        <u/>
        <sz val="12"/>
        <color theme="4"/>
        <rFont val="Besley"/>
        <scheme val="minor"/>
      </rPr>
      <t>Mathematical Sciences</t>
    </r>
    <r>
      <rPr>
        <b/>
        <sz val="12"/>
        <color theme="4"/>
        <rFont val="Besley"/>
        <scheme val="minor"/>
      </rPr>
      <t xml:space="preserve"> </t>
    </r>
    <r>
      <rPr>
        <sz val="12"/>
        <color theme="4"/>
        <rFont val="Besley"/>
        <scheme val="minor"/>
      </rPr>
      <t>employ logical reasoning with the aid of symbols and are concerned with the development of methods of operation employing such symbols.</t>
    </r>
  </si>
  <si>
    <r>
      <rPr>
        <b/>
        <u/>
        <sz val="12"/>
        <color theme="4"/>
        <rFont val="Besley"/>
        <scheme val="minor"/>
      </rPr>
      <t>Medical Sciences</t>
    </r>
    <r>
      <rPr>
        <sz val="12"/>
        <color theme="4"/>
        <rFont val="Besley"/>
        <scheme val="minor"/>
      </rPr>
      <t xml:space="preserve"> are concerned with the causes, effects, prevention, or control of abnormal conditions in humans or their environment as they relate to health. Included are the clinical medical sciences, which are concerned with the study of the origins, diagnosis, or treatment of a particular disease in living human subjects under controlled conditions, and other medical sciences. Examples of the medical sciences are family medicine, internal medicine, neurology, ophthalmology, preventive medicine and public health, psychiatry, radiology, surgery, veterinary medicine, dentistry, physical medicine and rehabilitation, and podiatry.</t>
    </r>
  </si>
  <si>
    <r>
      <rPr>
        <b/>
        <u/>
        <sz val="12"/>
        <color theme="4"/>
        <rFont val="Besley"/>
        <scheme val="minor"/>
      </rPr>
      <t>Other Non-Science Activities</t>
    </r>
    <r>
      <rPr>
        <b/>
        <sz val="12"/>
        <color theme="4"/>
        <rFont val="Besley"/>
        <scheme val="minor"/>
      </rPr>
      <t xml:space="preserve"> </t>
    </r>
    <r>
      <rPr>
        <sz val="12"/>
        <color theme="4"/>
        <rFont val="Besley"/>
        <scheme val="minor"/>
      </rPr>
      <t>include all other non-science disciplines.</t>
    </r>
  </si>
  <si>
    <r>
      <rPr>
        <b/>
        <u/>
        <sz val="12"/>
        <color theme="4"/>
        <rFont val="Besley"/>
        <scheme val="minor"/>
      </rPr>
      <t>Other Sciences</t>
    </r>
    <r>
      <rPr>
        <u/>
        <sz val="12"/>
        <color theme="4"/>
        <rFont val="Besley"/>
        <scheme val="minor"/>
      </rPr>
      <t xml:space="preserve"> </t>
    </r>
    <r>
      <rPr>
        <sz val="12"/>
        <color theme="4"/>
        <rFont val="Besley"/>
        <scheme val="minor"/>
      </rPr>
      <t>not elsewhere classified is a category to be used for multidisciplinary and interdisciplinary projects and cannot be classified within one of the broad fields of science listed above.</t>
    </r>
  </si>
  <si>
    <r>
      <rPr>
        <b/>
        <u/>
        <sz val="12"/>
        <color theme="4"/>
        <rFont val="Besley"/>
        <scheme val="minor"/>
      </rPr>
      <t>Physical Sciences</t>
    </r>
    <r>
      <rPr>
        <sz val="12"/>
        <color theme="4"/>
        <rFont val="Besley"/>
        <scheme val="minor"/>
      </rPr>
      <t xml:space="preserve"> are concerned with the understanding of the material universe and its phenomena. They comprise the fields of astronomy, chemistry, physics, and physical sciences not elsewhere classified.</t>
    </r>
  </si>
  <si>
    <r>
      <rPr>
        <b/>
        <u/>
        <sz val="12"/>
        <color theme="4"/>
        <rFont val="Besley"/>
        <scheme val="minor"/>
      </rPr>
      <t>Private</t>
    </r>
    <r>
      <rPr>
        <sz val="12"/>
        <color theme="4"/>
        <rFont val="Besley"/>
        <scheme val="minor"/>
      </rPr>
      <t xml:space="preserve"> - Include expenditures of funds from both for-profit and non-profit corporations and individuals. Also, include in this category funds from agencies from other states.</t>
    </r>
  </si>
  <si>
    <r>
      <rPr>
        <b/>
        <u/>
        <sz val="12"/>
        <color theme="4"/>
        <rFont val="Besley"/>
        <scheme val="minor"/>
      </rPr>
      <t>Psychology</t>
    </r>
    <r>
      <rPr>
        <sz val="12"/>
        <color theme="4"/>
        <rFont val="Besley"/>
        <scheme val="minor"/>
      </rPr>
      <t xml:space="preserve"> deals with behavior, mental processes, and individual and group characteristics and abilities. Examples of disciplines within psychology are experimental psychology, animal behavior, clinical psychology, comparative psychology, ethnology, social psychology, educational personnel, vocational psychology and testing, industrial and engineering psychology, and development and personality.</t>
    </r>
  </si>
  <si>
    <r>
      <rPr>
        <b/>
        <u/>
        <sz val="12"/>
        <color theme="4"/>
        <rFont val="Besley"/>
        <scheme val="minor"/>
      </rPr>
      <t>R&amp;D Expenditures</t>
    </r>
    <r>
      <rPr>
        <sz val="12"/>
        <color theme="4"/>
        <rFont val="Besley"/>
        <scheme val="minor"/>
      </rPr>
      <t xml:space="preserve"> - All amounts of money paid out by the institution to support R&amp;D activities. Do not include pass-through funds to other Texas public academic or health related entities. Funds passed through to other entities that are not Texas public academic or health related institutions of higher education may be included. Include earned indirect costs and fringe benefits. Expenditures may not result from non-monetary awards.</t>
    </r>
  </si>
  <si>
    <r>
      <rPr>
        <b/>
        <u/>
        <sz val="12"/>
        <color theme="4"/>
        <rFont val="Besley"/>
        <scheme val="minor"/>
      </rPr>
      <t>R&amp;D Expenses not meeting the narrow definition of R&amp;D</t>
    </r>
    <r>
      <rPr>
        <sz val="12"/>
        <color theme="4"/>
        <rFont val="Besley"/>
        <scheme val="minor"/>
      </rPr>
      <t xml:space="preserve"> used in the Research Expenditure Survey - Externally-funded activities that cannot be classified as R&amp;D using the definitions appearing in Section A are included in this category. Do not include projects funded with "development" funds unless they are related to research activities.</t>
    </r>
  </si>
  <si>
    <r>
      <rPr>
        <b/>
        <u/>
        <sz val="12"/>
        <color theme="4"/>
        <rFont val="Besley"/>
        <scheme val="minor"/>
      </rPr>
      <t>Research</t>
    </r>
    <r>
      <rPr>
        <sz val="12"/>
        <color theme="4"/>
        <rFont val="Besley"/>
        <scheme val="minor"/>
      </rPr>
      <t xml:space="preserve"> is systematic study directed toward fuller scientific knowledge and understanding of the subject studied.</t>
    </r>
  </si>
  <si>
    <r>
      <rPr>
        <b/>
        <u/>
        <sz val="12"/>
        <color theme="4"/>
        <rFont val="Besley"/>
        <scheme val="minor"/>
      </rPr>
      <t>Restricted research expenditure</t>
    </r>
    <r>
      <rPr>
        <sz val="12"/>
        <color theme="4"/>
        <rFont val="Besley"/>
        <scheme val="minor"/>
      </rPr>
      <t xml:space="preserve"> is an expenditure of funds that an external entity has placed limitations on and for which the use of the funds qualifies as research and development.</t>
    </r>
  </si>
  <si>
    <r>
      <rPr>
        <b/>
        <u/>
        <sz val="12"/>
        <color theme="4"/>
        <rFont val="Besley"/>
        <scheme val="minor"/>
      </rPr>
      <t>Social Sciences</t>
    </r>
    <r>
      <rPr>
        <sz val="12"/>
        <color theme="4"/>
        <rFont val="Besley"/>
        <scheme val="minor"/>
      </rPr>
      <t xml:space="preserve"> are directed toward an understanding of the behavior of social institutions and groups and of individuals as members of a group. These include anthropology, economics, history, linguistics, political sciences, and sociology.</t>
    </r>
  </si>
  <si>
    <r>
      <rPr>
        <b/>
        <u/>
        <sz val="12"/>
        <color theme="4"/>
        <rFont val="Besley"/>
        <scheme val="minor"/>
      </rPr>
      <t>State Sources</t>
    </r>
    <r>
      <rPr>
        <sz val="12"/>
        <color theme="4"/>
        <rFont val="Besley"/>
        <scheme val="minor"/>
      </rPr>
      <t xml:space="preserve"> - Include all expenditures of funds appropriated by the state of Texas not included in institutionally controlled funds listed under Institution Resources. Included in this category are state appropriated "Special Items" and state research contracts and grants, interagency contracts, contracts with Texas local governments, etc.</t>
    </r>
  </si>
  <si>
    <t>Overall Total</t>
  </si>
  <si>
    <t>Defined for Survey</t>
  </si>
  <si>
    <t>Restricted Research Expenditure Survey</t>
  </si>
  <si>
    <t>3) Dual degree (FE=2) and inter-institutional students (FE=4) are included; all other inter-institutional, flexible entry, and non-state-funded hours are excluded. Source of data is CBM001, Student Report.</t>
  </si>
  <si>
    <r>
      <t>T/TT Fall
Faculty FTE</t>
    </r>
    <r>
      <rPr>
        <sz val="16"/>
        <color theme="4"/>
        <rFont val="Besley"/>
        <family val="2"/>
        <scheme val="major"/>
      </rPr>
      <t>⁴</t>
    </r>
  </si>
  <si>
    <r>
      <t>State Funded 
FTSE</t>
    </r>
    <r>
      <rPr>
        <sz val="16"/>
        <color theme="4"/>
        <rFont val="Besley"/>
      </rPr>
      <t>³</t>
    </r>
  </si>
  <si>
    <r>
      <t>Full-Time Student
Equivalents</t>
    </r>
    <r>
      <rPr>
        <sz val="16"/>
        <color theme="4"/>
        <rFont val="Besley"/>
        <scheme val="minor"/>
      </rPr>
      <t>²</t>
    </r>
  </si>
  <si>
    <r>
      <t>Master's</t>
    </r>
    <r>
      <rPr>
        <sz val="16"/>
        <color theme="4"/>
        <rFont val="Besley"/>
        <scheme val="minor"/>
      </rPr>
      <t>¹</t>
    </r>
  </si>
  <si>
    <t>Fall 
Faculty FTE</t>
  </si>
  <si>
    <r>
      <t>T/TT Fall
Faculty FTE</t>
    </r>
    <r>
      <rPr>
        <sz val="16"/>
        <color theme="4"/>
        <rFont val="Besley"/>
      </rPr>
      <t>³</t>
    </r>
  </si>
  <si>
    <r>
      <t>State Funded 
FTSE</t>
    </r>
    <r>
      <rPr>
        <sz val="16"/>
        <color theme="4"/>
        <rFont val="Besley"/>
        <scheme val="minor"/>
      </rPr>
      <t>²</t>
    </r>
  </si>
  <si>
    <r>
      <t>Full-Time Student
Equivalents</t>
    </r>
    <r>
      <rPr>
        <sz val="16"/>
        <color theme="4"/>
        <rFont val="Besley"/>
      </rPr>
      <t>¹</t>
    </r>
  </si>
  <si>
    <t xml:space="preserve">*Totals in the above table are reported under Texas A&amp;M University in the THECB Accountability System. </t>
  </si>
  <si>
    <t xml:space="preserve">*Research expenditures for private universities are not currently reported in the THECB Accountability System. </t>
  </si>
  <si>
    <t>1) Source: FY 2023 Sources &amp; Uses Survey, Research Expenditure Worksheet (cells L15 &amp; L16).</t>
  </si>
  <si>
    <t>1) Source: FY 2023 Sources &amp; Uses Survey, Research Expenditure Worksheet (cells L8 &amp; K9). R &amp; D Expenses as defined for the Research
   Expenditure Survey and R &amp; D Expenses not meeting the narrow definition of R &amp; D used in the Research Expenditures Survey.</t>
  </si>
  <si>
    <t>Research 
Expenditures¹</t>
  </si>
  <si>
    <t>2) Fall 2022 faculty full-time equivalent not applicable for this table.</t>
  </si>
  <si>
    <t>2) Fall 2022 faculty full-time equivalent not available for this table.</t>
  </si>
  <si>
    <t>Private Universities</t>
  </si>
  <si>
    <t>Summary of Research Expenditure Survey by Institution Type</t>
  </si>
  <si>
    <r>
      <t>Research 
Expenditures 
Per FTE Faculty</t>
    </r>
    <r>
      <rPr>
        <sz val="14"/>
        <color theme="4"/>
        <rFont val="Besley"/>
        <family val="2"/>
      </rPr>
      <t>²</t>
    </r>
  </si>
  <si>
    <r>
      <t>Total Research 
Expenditures 
Per T/TT FTE</t>
    </r>
    <r>
      <rPr>
        <sz val="14"/>
        <color theme="4"/>
        <rFont val="Besley"/>
        <family val="2"/>
      </rPr>
      <t>¹</t>
    </r>
  </si>
  <si>
    <t xml:space="preserve">*Research expenditures for Lamar State Colleges and Texas State Technical Colleges are not currently reported in the THECB Accountability System. </t>
  </si>
  <si>
    <t xml:space="preserve">1) Total research expenditures divided by the fall 2022 full-time equivalent for tenure/tenure-track faculty with a teaching appointment.	</t>
  </si>
  <si>
    <t>1) Total research expenditures divided by the fall 2022 full-time equivalent for tenure/tenure-track faculty with a research appointment.</t>
  </si>
  <si>
    <t xml:space="preserve">2) Research expenditures divided by the fall 2022 full-time equivalent for tenure/tenure-track faculty with a research appointment. </t>
  </si>
  <si>
    <t>2) Research expenditures divided by the fall 2022 faculty full-time equivalent.</t>
  </si>
  <si>
    <t>2) Research expenditures divided by the fall 2022 full-time equivalent for tenure/tenure-track faculty with a teaching appointment.</t>
  </si>
  <si>
    <t>Contact Information</t>
  </si>
  <si>
    <t>3) Fall tenured/tenure-track full-time-equivalent faculty (ranks 1-5) with teaching responsibilities (01 and 02). Source of data is CBM008, Faculty Report.</t>
  </si>
  <si>
    <t>1) Undergraduate SCH divided by 30, master's and special-professional divided by 24, doctoral divided by 18, and optometry divided by 34. Source of data is CBM001, Student Report.</t>
  </si>
  <si>
    <t>2) State-funded hours only. Source of data is CBM001, Student Report.</t>
  </si>
  <si>
    <t>1) Academic, technical, and BAT semester credit hours divided by 30 plus continuing education contact hours divided by 900. Source of data is CBM001, Student Report.</t>
  </si>
  <si>
    <t>4) Fall tenured/tenure-track full-time-equivalent faculty (ranks 1-5) with research responsibilities. Source of data is CBM008, Faculty Report.</t>
  </si>
  <si>
    <t>*Texas State Technical College - Waco include TSTC Connect hours.</t>
  </si>
  <si>
    <t xml:space="preserve"> Restricted research expenditures are reported for certain Texas public universities.</t>
  </si>
  <si>
    <t>Texas A&amp;M University, including System and Agencies</t>
  </si>
  <si>
    <t xml:space="preserve">Definitions align with rules for reporting for fiscal year 2023. </t>
  </si>
  <si>
    <t xml:space="preserve">Provides definitions for financial terms, methods of funding, and research reporting categories, and descriptions for acronyms. Definitions align with rules for reporting for fiscal year 2023. </t>
  </si>
  <si>
    <t>Lamar State Colleges and Texas State Technical Colleges</t>
  </si>
  <si>
    <t xml:space="preserve">Texas Education Code, §61.0662, requires the Coordinating Board to maintain an inventory of all institutional and programmatic research activities being conducted by all institutions of higher education. Each of the worksheets linked below provide research expenditures for Health-Related Institutions, Lamar State Colleges, Texas State Technical Colleges, Texas Public Universities, and Private Universities as reported in the Sources &amp; Uses Research Expenditure survey. </t>
  </si>
  <si>
    <t xml:space="preserve">Provides a summary of data used for the Academic Space Model for Health-Related Institutions, Lamar State Colleges, Texas State Technical Colleges, and Texas Public Universities. </t>
  </si>
  <si>
    <r>
      <rPr>
        <sz val="12"/>
        <color theme="4"/>
        <rFont val="Besley"/>
        <scheme val="minor"/>
      </rPr>
      <t xml:space="preserve">Provides a summary of the research expenditures by discipline and by method of funding for Health-Related Institutions, Lamar State Colleges, Texas State Technical Colleges, and Texas Public Universities published in the Texas Higher Education Accountability System. </t>
    </r>
    <r>
      <rPr>
        <u/>
        <sz val="12"/>
        <color theme="10"/>
        <rFont val="Besley"/>
        <scheme val="minor"/>
      </rPr>
      <t>http://www.txhigheredaccountability.org/AcctPublic/</t>
    </r>
  </si>
  <si>
    <t>Provides a summary of the total research expenditures data published in the THECB Almanac for Health-Related Institutions, Lamar State Colleges, Texas State Technical Colleges, and Texas Public Universities.</t>
  </si>
  <si>
    <t xml:space="preserve">Provides full-time student equivalent (FTSE) and faculty full-time equivalent (FTE) for the 2022-2023 academic year for Texas Public Universities, Health-Related Institutions, Lamar State Colleges, and Texas State Technical Colleges. </t>
  </si>
  <si>
    <t>Lamar State College and Texas State Technical Colleges</t>
  </si>
  <si>
    <t>Texas A&amp;M University, including System and Agencies*</t>
  </si>
  <si>
    <t>Abbreviations</t>
  </si>
  <si>
    <t>Private/Independent Universities</t>
  </si>
  <si>
    <t>Systems</t>
  </si>
  <si>
    <t>Texas A&amp;M Agencies</t>
  </si>
  <si>
    <t>Lamar State Collges and Texas State Technical Colleges</t>
  </si>
  <si>
    <t>2) The sum of undergraduate semester credit hours divided by 30, master's semester credit hours divided by 24, doctoral semester credit hours divided by 18, and DDS, DO, MD, Podiatry, and post-doctoral specialty headcount enrollments (the larger of the fall or summer semester in the fiscal year). State-funded and non-state-funded hours, including dual degree (FE=2) and inter-institutional students (FE=4), are included; all other inter-institutional and flexible entry hours are excluded. Source of data is CBM001, Student Report.</t>
  </si>
  <si>
    <t xml:space="preserve">*Totals for Texas A&amp;M University include TAMU, System &amp; Agencies. Totals for Sul Ross State University include Sul Ross Alpine &amp; Sul Ross Rio Grande.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</si>
</sst>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2" formatCode="_(&quot;$&quot;* #,##0_);_(&quot;$&quot;* \(#,##0\);_(&quot;$&quot;* &quot;-&quot;_);_(@_)"/>
    <numFmt numFmtId="43" formatCode="_(* #,##0.00_);_(* \(#,##0.00\);_(* &quot;-&quot;??_);_(@_)"/>
    <numFmt numFmtId="164" formatCode="000000"/>
    <numFmt numFmtId="165" formatCode="[&lt;=9999999]###\-####;\(###\)\ ###\-####"/>
    <numFmt numFmtId="166" formatCode="&quot;$&quot;#,##0"/>
    <numFmt numFmtId="167" formatCode="[$-409]mmmm\ d\,\ yyyy;@"/>
    <numFmt numFmtId="168" formatCode="_(* #,##0_);_(* \(#,##0\);_(* &quot;-&quot;??_);_(@_)"/>
  </numFmts>
  <fonts count="77">
    <font>
      <sz val="12"/>
      <color theme="4"/>
      <name val="Besley"/>
      <family val="2"/>
      <scheme val="minor"/>
    </font>
    <font>
      <sz val="11"/>
      <color theme="1"/>
      <name val="Besley"/>
      <family val="2"/>
      <scheme val="minor"/>
    </font>
    <font>
      <sz val="11"/>
      <color indexed="81"/>
      <name val="Segoe UI"/>
      <family val="2"/>
    </font>
    <font>
      <b/>
      <sz val="11"/>
      <color theme="1"/>
      <name val="Besley"/>
      <family val="2"/>
      <scheme val="minor"/>
    </font>
    <font>
      <b/>
      <sz val="11"/>
      <color theme="1"/>
      <name val="Segoe UI"/>
      <family val="2"/>
    </font>
    <font>
      <b/>
      <sz val="11"/>
      <color theme="3"/>
      <name val="Besley"/>
      <family val="2"/>
      <scheme val="minor"/>
    </font>
    <font>
      <sz val="9"/>
      <color indexed="81"/>
      <name val="Tahoma"/>
      <family val="2"/>
    </font>
    <font>
      <sz val="8"/>
      <name val="Besley"/>
      <family val="2"/>
      <scheme val="minor"/>
    </font>
    <font>
      <sz val="12"/>
      <color indexed="81"/>
      <name val="Segoeui"/>
    </font>
    <font>
      <sz val="12"/>
      <color indexed="81"/>
      <name val="Besley"/>
      <family val="2"/>
      <scheme val="major"/>
    </font>
    <font>
      <sz val="11"/>
      <color theme="4"/>
      <name val="Besley"/>
      <family val="2"/>
      <scheme val="minor"/>
    </font>
    <font>
      <b/>
      <sz val="14"/>
      <color theme="4"/>
      <name val="Besley"/>
      <family val="2"/>
      <scheme val="minor"/>
    </font>
    <font>
      <sz val="12"/>
      <color theme="4"/>
      <name val="Besley"/>
      <family val="2"/>
      <scheme val="minor"/>
    </font>
    <font>
      <sz val="11"/>
      <color theme="4"/>
      <name val="Besley"/>
      <family val="2"/>
      <scheme val="major"/>
    </font>
    <font>
      <b/>
      <sz val="11"/>
      <color theme="4"/>
      <name val="Besley"/>
      <family val="2"/>
      <scheme val="major"/>
    </font>
    <font>
      <b/>
      <sz val="11"/>
      <color theme="4"/>
      <name val="Besley"/>
      <family val="2"/>
      <scheme val="minor"/>
    </font>
    <font>
      <i/>
      <sz val="11"/>
      <color theme="4"/>
      <name val="Besley"/>
      <family val="2"/>
      <scheme val="minor"/>
    </font>
    <font>
      <sz val="11"/>
      <color theme="4"/>
      <name val="Segoe UI"/>
      <family val="2"/>
    </font>
    <font>
      <b/>
      <sz val="12"/>
      <color theme="0"/>
      <name val="Besley"/>
      <family val="2"/>
      <scheme val="minor"/>
    </font>
    <font>
      <b/>
      <sz val="12"/>
      <color theme="4"/>
      <name val="Besley"/>
      <scheme val="minor"/>
    </font>
    <font>
      <b/>
      <sz val="11"/>
      <color theme="0"/>
      <name val="Besley"/>
      <family val="2"/>
      <scheme val="minor"/>
    </font>
    <font>
      <b/>
      <sz val="11"/>
      <color theme="0"/>
      <name val="Besley"/>
      <family val="2"/>
      <scheme val="major"/>
    </font>
    <font>
      <b/>
      <sz val="11"/>
      <color theme="4"/>
      <name val="Besley"/>
      <scheme val="minor"/>
    </font>
    <font>
      <u/>
      <sz val="11"/>
      <color theme="10"/>
      <name val="Besley"/>
      <family val="2"/>
      <scheme val="minor"/>
    </font>
    <font>
      <sz val="11"/>
      <color theme="4"/>
      <name val="Besley"/>
      <scheme val="minor"/>
    </font>
    <font>
      <b/>
      <sz val="14"/>
      <color theme="0"/>
      <name val="Besley"/>
      <scheme val="minor"/>
    </font>
    <font>
      <sz val="12"/>
      <color theme="4"/>
      <name val="Besley"/>
      <scheme val="minor"/>
    </font>
    <font>
      <sz val="10"/>
      <color theme="4"/>
      <name val="Besley"/>
      <family val="2"/>
      <scheme val="minor"/>
    </font>
    <font>
      <sz val="10"/>
      <color indexed="81"/>
      <name val="Besley"/>
      <scheme val="major"/>
    </font>
    <font>
      <sz val="11"/>
      <color theme="0"/>
      <name val="Besley"/>
      <family val="2"/>
      <scheme val="minor"/>
    </font>
    <font>
      <b/>
      <sz val="16"/>
      <color theme="0"/>
      <name val="Besley"/>
      <family val="2"/>
      <scheme val="minor"/>
    </font>
    <font>
      <i/>
      <sz val="12"/>
      <color theme="4"/>
      <name val="Besley"/>
      <scheme val="minor"/>
    </font>
    <font>
      <b/>
      <sz val="18"/>
      <color theme="4"/>
      <name val="Besley"/>
      <scheme val="major"/>
    </font>
    <font>
      <sz val="12"/>
      <color theme="4"/>
      <name val="Besley"/>
      <scheme val="major"/>
    </font>
    <font>
      <sz val="12"/>
      <color theme="4" tint="-0.249977111117893"/>
      <name val="Besley"/>
      <family val="2"/>
      <scheme val="major"/>
    </font>
    <font>
      <b/>
      <sz val="12"/>
      <color theme="4"/>
      <name val="Besley"/>
      <family val="2"/>
      <scheme val="major"/>
    </font>
    <font>
      <sz val="12"/>
      <color theme="5" tint="-0.499984740745262"/>
      <name val="Besley"/>
      <scheme val="major"/>
    </font>
    <font>
      <b/>
      <sz val="12"/>
      <color theme="5" tint="-0.499984740745262"/>
      <name val="Besley"/>
      <family val="2"/>
      <scheme val="major"/>
    </font>
    <font>
      <sz val="12"/>
      <color theme="5" tint="-0.499984740745262"/>
      <name val="Besley"/>
      <family val="2"/>
      <scheme val="major"/>
    </font>
    <font>
      <b/>
      <sz val="12"/>
      <color theme="5" tint="-0.499984740745262"/>
      <name val="Besley"/>
      <scheme val="major"/>
    </font>
    <font>
      <b/>
      <sz val="18"/>
      <color theme="4"/>
      <name val="Besley"/>
      <family val="2"/>
      <scheme val="major"/>
    </font>
    <font>
      <sz val="11"/>
      <color theme="5" tint="-0.499984740745262"/>
      <name val="Besley"/>
      <scheme val="minor"/>
    </font>
    <font>
      <sz val="12"/>
      <color theme="5" tint="-0.499984740745262"/>
      <name val="Besley"/>
      <scheme val="minor"/>
    </font>
    <font>
      <sz val="12"/>
      <color theme="4" tint="-0.249977111117893"/>
      <name val="Besley"/>
      <scheme val="major"/>
    </font>
    <font>
      <b/>
      <sz val="12"/>
      <color theme="1"/>
      <name val="Besley"/>
      <scheme val="minor"/>
    </font>
    <font>
      <b/>
      <sz val="14"/>
      <color theme="0"/>
      <name val="Besley"/>
      <family val="2"/>
      <scheme val="minor"/>
    </font>
    <font>
      <u/>
      <sz val="12"/>
      <color theme="10"/>
      <name val="Besley"/>
      <scheme val="minor"/>
    </font>
    <font>
      <b/>
      <u/>
      <sz val="12"/>
      <color theme="4"/>
      <name val="Besley"/>
      <scheme val="minor"/>
    </font>
    <font>
      <sz val="10"/>
      <name val="Arial"/>
      <family val="2"/>
    </font>
    <font>
      <sz val="12"/>
      <color theme="4"/>
      <name val="Besley"/>
      <family val="2"/>
      <scheme val="major"/>
    </font>
    <font>
      <b/>
      <sz val="10"/>
      <color theme="4"/>
      <name val="Besley"/>
      <scheme val="major"/>
    </font>
    <font>
      <sz val="10"/>
      <color theme="5" tint="-0.499984740745262"/>
      <name val="Besley"/>
      <scheme val="major"/>
    </font>
    <font>
      <b/>
      <u/>
      <sz val="11"/>
      <color theme="4"/>
      <name val="Besley"/>
      <scheme val="minor"/>
    </font>
    <font>
      <b/>
      <i/>
      <sz val="12"/>
      <color theme="0"/>
      <name val="Besley"/>
      <scheme val="minor"/>
    </font>
    <font>
      <i/>
      <sz val="12"/>
      <color theme="0"/>
      <name val="Besley"/>
      <scheme val="minor"/>
    </font>
    <font>
      <b/>
      <sz val="12"/>
      <color theme="4"/>
      <name val="Besley"/>
      <family val="2"/>
      <scheme val="minor"/>
    </font>
    <font>
      <sz val="11"/>
      <color theme="5" tint="-0.499984740745262"/>
      <name val="Besley"/>
      <family val="2"/>
      <scheme val="minor"/>
    </font>
    <font>
      <u/>
      <sz val="12"/>
      <color theme="4"/>
      <name val="Besley"/>
      <scheme val="minor"/>
    </font>
    <font>
      <b/>
      <sz val="12"/>
      <color theme="0"/>
      <name val="Besley"/>
      <scheme val="minor"/>
    </font>
    <font>
      <vertAlign val="superscript"/>
      <sz val="12"/>
      <color theme="4"/>
      <name val="Besley"/>
      <scheme val="minor"/>
    </font>
    <font>
      <sz val="12"/>
      <name val="Besley"/>
      <scheme val="minor"/>
    </font>
    <font>
      <b/>
      <sz val="12"/>
      <color theme="1"/>
      <name val="Besley"/>
      <family val="2"/>
      <scheme val="minor"/>
    </font>
    <font>
      <sz val="14"/>
      <color theme="4"/>
      <name val="Besley"/>
      <scheme val="minor"/>
    </font>
    <font>
      <b/>
      <sz val="14"/>
      <color theme="4"/>
      <name val="Besley"/>
      <scheme val="minor"/>
    </font>
    <font>
      <sz val="12"/>
      <color theme="4"/>
      <name val="Besley"/>
    </font>
    <font>
      <sz val="12"/>
      <color rgb="FF003E52"/>
      <name val="Besley"/>
      <scheme val="minor"/>
    </font>
    <font>
      <i/>
      <sz val="12"/>
      <color theme="4"/>
      <name val="Besley"/>
      <family val="2"/>
      <scheme val="minor"/>
    </font>
    <font>
      <i/>
      <sz val="11"/>
      <color theme="4"/>
      <name val="Besley"/>
      <scheme val="minor"/>
    </font>
    <font>
      <i/>
      <sz val="11"/>
      <color theme="5" tint="-0.499984740745262"/>
      <name val="Besley"/>
      <family val="2"/>
      <scheme val="major"/>
    </font>
    <font>
      <sz val="16"/>
      <color theme="4"/>
      <name val="Besley"/>
      <family val="2"/>
      <scheme val="major"/>
    </font>
    <font>
      <sz val="16"/>
      <color theme="4"/>
      <name val="Besley"/>
    </font>
    <font>
      <sz val="16"/>
      <color theme="4"/>
      <name val="Besley"/>
      <scheme val="minor"/>
    </font>
    <font>
      <sz val="10"/>
      <color theme="1"/>
      <name val="Arial"/>
      <family val="2"/>
    </font>
    <font>
      <sz val="14"/>
      <color theme="4"/>
      <name val="Besley"/>
      <family val="2"/>
    </font>
    <font>
      <b/>
      <sz val="11"/>
      <color theme="5" tint="-0.499984740745262"/>
      <name val="Besley"/>
      <family val="2"/>
      <scheme val="minor"/>
    </font>
    <font>
      <sz val="11"/>
      <color theme="4" tint="-0.249977111117893"/>
      <name val="Besley"/>
      <scheme val="major"/>
    </font>
    <font>
      <sz val="12"/>
      <color theme="5" tint="-0.499984740745262"/>
      <name val="Besley"/>
      <family val="2"/>
      <scheme val="minor"/>
    </font>
  </fonts>
  <fills count="14">
    <fill>
      <patternFill patternType="none"/>
    </fill>
    <fill>
      <patternFill patternType="gray125"/>
    </fill>
    <fill>
      <patternFill patternType="solid">
        <fgColor theme="8"/>
        <bgColor indexed="64"/>
      </patternFill>
    </fill>
    <fill>
      <patternFill patternType="solid">
        <fgColor theme="0"/>
        <bgColor indexed="64"/>
      </patternFill>
    </fill>
    <fill>
      <patternFill patternType="solid">
        <fgColor theme="4"/>
        <bgColor indexed="64"/>
      </patternFill>
    </fill>
    <fill>
      <patternFill patternType="solid">
        <fgColor rgb="FFFFFFCC"/>
        <bgColor indexed="64"/>
      </patternFill>
    </fill>
    <fill>
      <patternFill patternType="solid">
        <fgColor theme="5"/>
        <bgColor indexed="64"/>
      </patternFill>
    </fill>
    <fill>
      <patternFill patternType="solid">
        <fgColor theme="4" tint="0.89999084444715716"/>
        <bgColor indexed="64"/>
      </patternFill>
    </fill>
    <fill>
      <patternFill patternType="solid">
        <fgColor theme="7" tint="0.79998168889431442"/>
        <bgColor indexed="64"/>
      </patternFill>
    </fill>
    <fill>
      <patternFill patternType="solid">
        <fgColor theme="4"/>
      </patternFill>
    </fill>
    <fill>
      <patternFill patternType="solid">
        <fgColor rgb="FFAF211A"/>
        <bgColor indexed="64"/>
      </patternFill>
    </fill>
    <fill>
      <patternFill patternType="solid">
        <fgColor rgb="FFC5F1C5"/>
        <bgColor indexed="64"/>
      </patternFill>
    </fill>
    <fill>
      <patternFill patternType="solid">
        <fgColor theme="6"/>
        <bgColor indexed="64"/>
      </patternFill>
    </fill>
    <fill>
      <patternFill patternType="solid">
        <fgColor rgb="FFD2F4FF"/>
        <bgColor indexed="64"/>
      </patternFill>
    </fill>
  </fills>
  <borders count="47">
    <border>
      <left/>
      <right/>
      <top/>
      <bottom/>
      <diagonal/>
    </border>
    <border>
      <left/>
      <right/>
      <top/>
      <bottom style="medium">
        <color theme="4" tint="0.39997558519241921"/>
      </bottom>
      <diagonal/>
    </border>
    <border>
      <left style="thin">
        <color theme="4"/>
      </left>
      <right style="thin">
        <color theme="4"/>
      </right>
      <top style="thin">
        <color theme="4"/>
      </top>
      <bottom style="thin">
        <color theme="4"/>
      </bottom>
      <diagonal/>
    </border>
    <border>
      <left/>
      <right/>
      <top style="thin">
        <color theme="4"/>
      </top>
      <bottom/>
      <diagonal/>
    </border>
    <border>
      <left style="thin">
        <color theme="4"/>
      </left>
      <right/>
      <top/>
      <bottom/>
      <diagonal/>
    </border>
    <border>
      <left/>
      <right/>
      <top/>
      <bottom style="thin">
        <color theme="4"/>
      </bottom>
      <diagonal/>
    </border>
    <border>
      <left style="thin">
        <color theme="4"/>
      </left>
      <right/>
      <top style="thin">
        <color theme="4"/>
      </top>
      <bottom/>
      <diagonal/>
    </border>
    <border>
      <left/>
      <right style="thin">
        <color theme="4"/>
      </right>
      <top style="thin">
        <color theme="4"/>
      </top>
      <bottom/>
      <diagonal/>
    </border>
    <border>
      <left/>
      <right style="thin">
        <color theme="4"/>
      </right>
      <top/>
      <bottom/>
      <diagonal/>
    </border>
    <border>
      <left style="thin">
        <color theme="4"/>
      </left>
      <right/>
      <top/>
      <bottom style="thin">
        <color theme="4"/>
      </bottom>
      <diagonal/>
    </border>
    <border>
      <left/>
      <right style="thin">
        <color theme="4"/>
      </right>
      <top/>
      <bottom style="thin">
        <color theme="4"/>
      </bottom>
      <diagonal/>
    </border>
    <border>
      <left style="thin">
        <color theme="4"/>
      </left>
      <right style="thin">
        <color theme="4"/>
      </right>
      <top/>
      <bottom/>
      <diagonal/>
    </border>
    <border>
      <left style="thin">
        <color theme="4"/>
      </left>
      <right style="thin">
        <color theme="4"/>
      </right>
      <top/>
      <bottom style="thin">
        <color theme="4"/>
      </bottom>
      <diagonal/>
    </border>
    <border>
      <left style="medium">
        <color theme="5"/>
      </left>
      <right style="medium">
        <color theme="5"/>
      </right>
      <top style="medium">
        <color theme="5"/>
      </top>
      <bottom style="medium">
        <color theme="5"/>
      </bottom>
      <diagonal/>
    </border>
    <border>
      <left style="thin">
        <color theme="4"/>
      </left>
      <right style="thin">
        <color theme="4"/>
      </right>
      <top style="thin">
        <color theme="4"/>
      </top>
      <bottom/>
      <diagonal/>
    </border>
    <border>
      <left style="thin">
        <color theme="4"/>
      </left>
      <right style="thin">
        <color theme="4"/>
      </right>
      <top style="thin">
        <color theme="4"/>
      </top>
      <bottom style="double">
        <color theme="4"/>
      </bottom>
      <diagonal/>
    </border>
    <border>
      <left style="thin">
        <color theme="4"/>
      </left>
      <right/>
      <top style="thin">
        <color theme="4"/>
      </top>
      <bottom style="double">
        <color theme="4"/>
      </bottom>
      <diagonal/>
    </border>
    <border>
      <left/>
      <right/>
      <top style="double">
        <color theme="4"/>
      </top>
      <bottom style="thin">
        <color theme="4"/>
      </bottom>
      <diagonal/>
    </border>
    <border>
      <left/>
      <right/>
      <top style="thin">
        <color theme="5"/>
      </top>
      <bottom/>
      <diagonal/>
    </border>
    <border>
      <left/>
      <right/>
      <top/>
      <bottom style="double">
        <color theme="4"/>
      </bottom>
      <diagonal/>
    </border>
    <border>
      <left style="thin">
        <color theme="4"/>
      </left>
      <right/>
      <top style="thin">
        <color theme="5"/>
      </top>
      <bottom/>
      <diagonal/>
    </border>
    <border>
      <left/>
      <right style="thin">
        <color theme="4"/>
      </right>
      <top style="thin">
        <color theme="5"/>
      </top>
      <bottom/>
      <diagonal/>
    </border>
    <border>
      <left style="thin">
        <color theme="4"/>
      </left>
      <right/>
      <top style="double">
        <color theme="4"/>
      </top>
      <bottom style="thin">
        <color theme="4"/>
      </bottom>
      <diagonal/>
    </border>
    <border>
      <left/>
      <right style="thin">
        <color theme="4"/>
      </right>
      <top style="double">
        <color theme="4"/>
      </top>
      <bottom style="thin">
        <color theme="4"/>
      </bottom>
      <diagonal/>
    </border>
    <border>
      <left style="thin">
        <color theme="4"/>
      </left>
      <right/>
      <top/>
      <bottom style="double">
        <color theme="4"/>
      </bottom>
      <diagonal/>
    </border>
    <border>
      <left/>
      <right style="thin">
        <color theme="4"/>
      </right>
      <top/>
      <bottom style="double">
        <color theme="4"/>
      </bottom>
      <diagonal/>
    </border>
    <border>
      <left style="thin">
        <color theme="4"/>
      </left>
      <right/>
      <top style="thin">
        <color theme="4"/>
      </top>
      <bottom style="thin">
        <color theme="4"/>
      </bottom>
      <diagonal/>
    </border>
    <border>
      <left style="thin">
        <color theme="4"/>
      </left>
      <right style="thin">
        <color theme="4"/>
      </right>
      <top/>
      <bottom style="double">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right/>
      <top/>
      <bottom style="medium">
        <color theme="1"/>
      </bottom>
      <diagonal/>
    </border>
    <border>
      <left style="thin">
        <color theme="4"/>
      </left>
      <right style="thin">
        <color indexed="64"/>
      </right>
      <top style="thin">
        <color theme="4"/>
      </top>
      <bottom style="thin">
        <color theme="4"/>
      </bottom>
      <diagonal/>
    </border>
    <border>
      <left style="thin">
        <color indexed="64"/>
      </left>
      <right style="thin">
        <color indexed="64"/>
      </right>
      <top style="thin">
        <color theme="4"/>
      </top>
      <bottom style="thin">
        <color theme="4"/>
      </bottom>
      <diagonal/>
    </border>
    <border>
      <left style="thin">
        <color indexed="64"/>
      </left>
      <right style="thin">
        <color theme="4"/>
      </right>
      <top style="thin">
        <color theme="4"/>
      </top>
      <bottom style="thin">
        <color theme="4"/>
      </bottom>
      <diagonal/>
    </border>
    <border>
      <left style="thin">
        <color theme="4"/>
      </left>
      <right style="medium">
        <color theme="5"/>
      </right>
      <top style="thin">
        <color theme="4"/>
      </top>
      <bottom style="thin">
        <color theme="4"/>
      </bottom>
      <diagonal/>
    </border>
    <border>
      <left style="medium">
        <color theme="5"/>
      </left>
      <right style="medium">
        <color theme="5"/>
      </right>
      <top style="thin">
        <color theme="4"/>
      </top>
      <bottom style="thin">
        <color theme="4"/>
      </bottom>
      <diagonal/>
    </border>
    <border>
      <left style="medium">
        <color theme="5"/>
      </left>
      <right style="thin">
        <color theme="4"/>
      </right>
      <top style="thin">
        <color theme="4"/>
      </top>
      <bottom style="thin">
        <color theme="4"/>
      </bottom>
      <diagonal/>
    </border>
    <border>
      <left/>
      <right style="medium">
        <color theme="5"/>
      </right>
      <top style="thin">
        <color theme="4"/>
      </top>
      <bottom style="thin">
        <color theme="4"/>
      </bottom>
      <diagonal/>
    </border>
    <border>
      <left style="medium">
        <color theme="5"/>
      </left>
      <right/>
      <top style="thin">
        <color theme="4"/>
      </top>
      <bottom style="thin">
        <color theme="4"/>
      </bottom>
      <diagonal/>
    </border>
    <border>
      <left style="thin">
        <color theme="4"/>
      </left>
      <right style="medium">
        <color theme="4"/>
      </right>
      <top/>
      <bottom/>
      <diagonal/>
    </border>
    <border>
      <left style="thin">
        <color theme="4"/>
      </left>
      <right style="medium">
        <color theme="4"/>
      </right>
      <top/>
      <bottom style="thin">
        <color theme="4"/>
      </bottom>
      <diagonal/>
    </border>
    <border>
      <left style="thin">
        <color theme="4"/>
      </left>
      <right style="medium">
        <color theme="4"/>
      </right>
      <top style="thin">
        <color theme="4"/>
      </top>
      <bottom style="thin">
        <color theme="4"/>
      </bottom>
      <diagonal/>
    </border>
    <border>
      <left style="medium">
        <color theme="4"/>
      </left>
      <right/>
      <top style="thin">
        <color theme="4"/>
      </top>
      <bottom/>
      <diagonal/>
    </border>
    <border>
      <left style="medium">
        <color theme="4"/>
      </left>
      <right/>
      <top/>
      <bottom/>
      <diagonal/>
    </border>
    <border>
      <left style="medium">
        <color theme="4"/>
      </left>
      <right/>
      <top/>
      <bottom style="thin">
        <color theme="4"/>
      </bottom>
      <diagonal/>
    </border>
    <border>
      <left style="medium">
        <color theme="4"/>
      </left>
      <right style="medium">
        <color theme="4"/>
      </right>
      <top/>
      <bottom/>
      <diagonal/>
    </border>
    <border>
      <left style="thin">
        <color theme="4"/>
      </left>
      <right style="medium">
        <color theme="4"/>
      </right>
      <top style="thin">
        <color theme="4"/>
      </top>
      <bottom/>
      <diagonal/>
    </border>
  </borders>
  <cellStyleXfs count="16">
    <xf numFmtId="0" fontId="0" fillId="0" borderId="0" applyFill="0">
      <alignment horizontal="left" indent="1"/>
    </xf>
    <xf numFmtId="43" fontId="1" fillId="0" borderId="0" applyFont="0" applyFill="0" applyBorder="0" applyAlignment="0" applyProtection="0"/>
    <xf numFmtId="0" fontId="40" fillId="3" borderId="0">
      <alignment horizontal="center"/>
      <protection hidden="1"/>
    </xf>
    <xf numFmtId="0" fontId="18" fillId="6" borderId="13" applyNumberFormat="0" applyAlignment="0" applyProtection="0"/>
    <xf numFmtId="0" fontId="30" fillId="4" borderId="2" applyNumberFormat="0" applyAlignment="0" applyProtection="0"/>
    <xf numFmtId="0" fontId="5" fillId="0" borderId="1" applyNumberFormat="0" applyFill="0" applyAlignment="0" applyProtection="0"/>
    <xf numFmtId="0" fontId="3" fillId="2" borderId="17" applyNumberFormat="0" applyAlignment="0" applyProtection="0"/>
    <xf numFmtId="0" fontId="16" fillId="0" borderId="0" applyNumberFormat="0" applyFill="0" applyBorder="0" applyAlignment="0" applyProtection="0"/>
    <xf numFmtId="0" fontId="23" fillId="0" borderId="0" applyNumberFormat="0" applyFill="0" applyBorder="0" applyAlignment="0" applyProtection="0"/>
    <xf numFmtId="164" fontId="26" fillId="0" borderId="0" applyFill="0">
      <alignment horizontal="center"/>
      <protection hidden="1"/>
    </xf>
    <xf numFmtId="0" fontId="29" fillId="9" borderId="0" applyNumberFormat="0" applyBorder="0" applyAlignment="0" applyProtection="0"/>
    <xf numFmtId="167" fontId="11" fillId="3" borderId="0">
      <alignment horizontal="center"/>
      <protection hidden="1"/>
    </xf>
    <xf numFmtId="0" fontId="30" fillId="4" borderId="2" applyNumberFormat="0" applyProtection="0">
      <alignment horizontal="center"/>
    </xf>
    <xf numFmtId="0" fontId="48" fillId="0" borderId="0"/>
    <xf numFmtId="0" fontId="10" fillId="0" borderId="0" applyNumberFormat="0" applyFill="0">
      <alignment horizontal="left" vertical="center" indent="1"/>
      <protection hidden="1"/>
    </xf>
    <xf numFmtId="0" fontId="72" fillId="0" borderId="0" applyNumberFormat="0" applyFill="0" applyBorder="0" applyAlignment="0" applyProtection="0"/>
  </cellStyleXfs>
  <cellXfs count="523">
    <xf numFmtId="0" fontId="0" fillId="0" borderId="0" xfId="0">
      <alignment horizontal="left" indent="1"/>
    </xf>
    <xf numFmtId="0" fontId="0" fillId="3" borderId="0" xfId="0" applyFill="1" applyProtection="1">
      <alignment horizontal="left" indent="1"/>
      <protection hidden="1"/>
    </xf>
    <xf numFmtId="0" fontId="0" fillId="0" borderId="0" xfId="0" applyProtection="1">
      <alignment horizontal="left" indent="1"/>
      <protection hidden="1"/>
    </xf>
    <xf numFmtId="0" fontId="0" fillId="3" borderId="0" xfId="0" applyFill="1" applyAlignment="1" applyProtection="1">
      <alignment horizontal="center"/>
      <protection hidden="1"/>
    </xf>
    <xf numFmtId="164" fontId="0" fillId="0" borderId="0" xfId="0" applyNumberFormat="1" applyAlignment="1" applyProtection="1">
      <alignment horizontal="center"/>
      <protection hidden="1"/>
    </xf>
    <xf numFmtId="0" fontId="10" fillId="3" borderId="0" xfId="0" applyFont="1" applyFill="1" applyProtection="1">
      <alignment horizontal="left" indent="1"/>
      <protection hidden="1"/>
    </xf>
    <xf numFmtId="0" fontId="10" fillId="0" borderId="0" xfId="0" applyFont="1" applyProtection="1">
      <alignment horizontal="left" indent="1"/>
      <protection hidden="1"/>
    </xf>
    <xf numFmtId="0" fontId="10" fillId="0" borderId="0" xfId="0" applyFont="1" applyAlignment="1" applyProtection="1">
      <alignment wrapText="1"/>
      <protection hidden="1"/>
    </xf>
    <xf numFmtId="0" fontId="10" fillId="3" borderId="0" xfId="0" applyFont="1" applyFill="1" applyAlignment="1" applyProtection="1">
      <alignment wrapText="1"/>
      <protection hidden="1"/>
    </xf>
    <xf numFmtId="0" fontId="10" fillId="3" borderId="0" xfId="0" applyFont="1" applyFill="1" applyAlignment="1" applyProtection="1">
      <alignment vertical="top"/>
      <protection hidden="1"/>
    </xf>
    <xf numFmtId="0" fontId="10" fillId="0" borderId="0" xfId="0" applyFont="1" applyAlignment="1" applyProtection="1">
      <alignment vertical="top"/>
      <protection hidden="1"/>
    </xf>
    <xf numFmtId="0" fontId="13" fillId="3" borderId="0" xfId="0" applyFont="1" applyFill="1" applyAlignment="1" applyProtection="1">
      <alignment vertical="top"/>
      <protection hidden="1"/>
    </xf>
    <xf numFmtId="0" fontId="10" fillId="3" borderId="0" xfId="0" applyFont="1" applyFill="1" applyAlignment="1" applyProtection="1">
      <alignment vertical="center"/>
      <protection hidden="1"/>
    </xf>
    <xf numFmtId="0" fontId="10" fillId="0" borderId="0" xfId="0" applyFont="1" applyAlignment="1" applyProtection="1">
      <alignment vertical="center"/>
      <protection hidden="1"/>
    </xf>
    <xf numFmtId="0" fontId="10" fillId="3" borderId="0" xfId="0" quotePrefix="1" applyFont="1" applyFill="1" applyAlignment="1" applyProtection="1">
      <alignment vertical="center"/>
      <protection hidden="1"/>
    </xf>
    <xf numFmtId="3" fontId="10" fillId="3" borderId="0" xfId="0" applyNumberFormat="1" applyFont="1" applyFill="1" applyAlignment="1" applyProtection="1">
      <alignment vertical="center"/>
      <protection hidden="1"/>
    </xf>
    <xf numFmtId="0" fontId="10" fillId="3" borderId="0" xfId="0" applyFont="1" applyFill="1" applyAlignment="1" applyProtection="1">
      <alignment vertical="top" wrapText="1"/>
      <protection hidden="1"/>
    </xf>
    <xf numFmtId="0" fontId="10" fillId="0" borderId="0" xfId="0" applyFont="1" applyAlignment="1" applyProtection="1">
      <alignment vertical="top" wrapText="1"/>
      <protection hidden="1"/>
    </xf>
    <xf numFmtId="42" fontId="10" fillId="3" borderId="0" xfId="0" applyNumberFormat="1" applyFont="1" applyFill="1" applyAlignment="1" applyProtection="1">
      <alignment vertical="center"/>
      <protection hidden="1"/>
    </xf>
    <xf numFmtId="0" fontId="15" fillId="3" borderId="0" xfId="0" applyFont="1" applyFill="1" applyAlignment="1" applyProtection="1">
      <alignment vertical="center"/>
      <protection hidden="1"/>
    </xf>
    <xf numFmtId="0" fontId="10" fillId="3" borderId="0" xfId="0" quotePrefix="1" applyFont="1" applyFill="1" applyAlignment="1" applyProtection="1">
      <alignment vertical="top"/>
      <protection hidden="1"/>
    </xf>
    <xf numFmtId="0" fontId="17" fillId="0" borderId="0" xfId="0" applyFont="1" applyAlignment="1" applyProtection="1">
      <alignment vertical="top"/>
      <protection hidden="1"/>
    </xf>
    <xf numFmtId="0" fontId="15" fillId="0" borderId="0" xfId="0" applyFont="1" applyAlignment="1" applyProtection="1">
      <alignment horizontal="left" vertical="top"/>
      <protection hidden="1"/>
    </xf>
    <xf numFmtId="0" fontId="15" fillId="3" borderId="0" xfId="0" applyFont="1" applyFill="1" applyAlignment="1" applyProtection="1">
      <alignment horizontal="left" vertical="top" indent="1"/>
      <protection hidden="1"/>
    </xf>
    <xf numFmtId="14" fontId="0" fillId="3" borderId="0" xfId="0" applyNumberFormat="1" applyFill="1" applyProtection="1">
      <alignment horizontal="left" indent="1"/>
      <protection hidden="1"/>
    </xf>
    <xf numFmtId="164" fontId="0" fillId="3" borderId="0" xfId="0" applyNumberFormat="1" applyFill="1" applyAlignment="1" applyProtection="1">
      <alignment horizontal="center"/>
      <protection hidden="1"/>
    </xf>
    <xf numFmtId="166" fontId="0" fillId="3" borderId="0" xfId="0" applyNumberFormat="1" applyFill="1" applyAlignment="1" applyProtection="1">
      <alignment horizontal="right"/>
      <protection hidden="1"/>
    </xf>
    <xf numFmtId="3" fontId="0" fillId="3" borderId="0" xfId="1" applyNumberFormat="1" applyFont="1" applyFill="1" applyAlignment="1" applyProtection="1">
      <alignment horizontal="center"/>
      <protection hidden="1"/>
    </xf>
    <xf numFmtId="166" fontId="0" fillId="3" borderId="0" xfId="0" applyNumberFormat="1" applyFill="1" applyProtection="1">
      <alignment horizontal="left" indent="1"/>
      <protection hidden="1"/>
    </xf>
    <xf numFmtId="42" fontId="14" fillId="3" borderId="2" xfId="0" applyNumberFormat="1" applyFont="1" applyFill="1" applyBorder="1" applyAlignment="1" applyProtection="1">
      <alignment vertical="center"/>
      <protection hidden="1"/>
    </xf>
    <xf numFmtId="3" fontId="10" fillId="3" borderId="2" xfId="0" applyNumberFormat="1" applyFont="1" applyFill="1" applyBorder="1" applyAlignment="1" applyProtection="1">
      <alignment horizontal="right" vertical="center" indent="1"/>
      <protection hidden="1"/>
    </xf>
    <xf numFmtId="0" fontId="20" fillId="6" borderId="2" xfId="0" applyFont="1" applyFill="1" applyBorder="1" applyAlignment="1" applyProtection="1">
      <alignment horizontal="center" vertical="center"/>
      <protection hidden="1"/>
    </xf>
    <xf numFmtId="0" fontId="24" fillId="0" borderId="0" xfId="0" applyFont="1" applyProtection="1">
      <alignment horizontal="left" indent="1"/>
      <protection hidden="1"/>
    </xf>
    <xf numFmtId="0" fontId="27" fillId="3" borderId="0" xfId="0" applyFont="1" applyFill="1" applyProtection="1">
      <alignment horizontal="left" indent="1"/>
      <protection hidden="1"/>
    </xf>
    <xf numFmtId="0" fontId="27" fillId="0" borderId="0" xfId="0" applyFont="1" applyProtection="1">
      <alignment horizontal="left" indent="1"/>
      <protection hidden="1"/>
    </xf>
    <xf numFmtId="0" fontId="26" fillId="0" borderId="0" xfId="0" applyFont="1" applyProtection="1">
      <alignment horizontal="left" indent="1"/>
      <protection hidden="1"/>
    </xf>
    <xf numFmtId="0" fontId="26" fillId="0" borderId="0" xfId="0" applyFont="1" applyAlignment="1" applyProtection="1">
      <alignment horizontal="center" vertical="center"/>
      <protection hidden="1"/>
    </xf>
    <xf numFmtId="0" fontId="26" fillId="0" borderId="0" xfId="0" applyFont="1" applyAlignment="1" applyProtection="1">
      <alignment horizontal="center"/>
      <protection hidden="1"/>
    </xf>
    <xf numFmtId="0" fontId="30" fillId="4" borderId="2" xfId="4" applyProtection="1">
      <protection hidden="1"/>
    </xf>
    <xf numFmtId="0" fontId="26" fillId="0" borderId="0" xfId="0" applyFont="1" applyAlignment="1" applyProtection="1">
      <alignment horizontal="left"/>
      <protection hidden="1"/>
    </xf>
    <xf numFmtId="0" fontId="26" fillId="3" borderId="0" xfId="0" applyFont="1" applyFill="1" applyProtection="1">
      <alignment horizontal="left" indent="1"/>
      <protection hidden="1"/>
    </xf>
    <xf numFmtId="14" fontId="26" fillId="3" borderId="0" xfId="0" applyNumberFormat="1" applyFont="1" applyFill="1" applyAlignment="1" applyProtection="1">
      <alignment horizontal="left"/>
      <protection hidden="1"/>
    </xf>
    <xf numFmtId="0" fontId="31" fillId="3" borderId="0" xfId="0" applyFont="1" applyFill="1" applyProtection="1">
      <alignment horizontal="left" indent="1"/>
      <protection hidden="1"/>
    </xf>
    <xf numFmtId="0" fontId="33" fillId="0" borderId="0" xfId="0" applyFont="1" applyProtection="1">
      <alignment horizontal="left" indent="1"/>
      <protection hidden="1"/>
    </xf>
    <xf numFmtId="0" fontId="33" fillId="0" borderId="0" xfId="0" applyFont="1" applyAlignment="1" applyProtection="1">
      <alignment horizontal="center" wrapText="1"/>
      <protection hidden="1"/>
    </xf>
    <xf numFmtId="0" fontId="33" fillId="0" borderId="0" xfId="0" applyFont="1" applyAlignment="1" applyProtection="1">
      <alignment wrapText="1"/>
      <protection hidden="1"/>
    </xf>
    <xf numFmtId="164" fontId="33" fillId="0" borderId="0" xfId="0" applyNumberFormat="1" applyFont="1" applyAlignment="1" applyProtection="1">
      <alignment horizontal="center"/>
      <protection hidden="1"/>
    </xf>
    <xf numFmtId="37" fontId="33" fillId="0" borderId="0" xfId="1" applyNumberFormat="1" applyFont="1" applyFill="1" applyAlignment="1" applyProtection="1">
      <alignment horizontal="right" indent="1"/>
      <protection hidden="1"/>
    </xf>
    <xf numFmtId="0" fontId="36" fillId="0" borderId="0" xfId="0" applyFont="1" applyProtection="1">
      <alignment horizontal="left" indent="1"/>
      <protection hidden="1"/>
    </xf>
    <xf numFmtId="0" fontId="36" fillId="0" borderId="0" xfId="0" applyFont="1" applyAlignment="1" applyProtection="1">
      <alignment horizontal="left" wrapText="1" indent="1"/>
      <protection hidden="1"/>
    </xf>
    <xf numFmtId="0" fontId="36" fillId="0" borderId="0" xfId="0" applyFont="1" applyAlignment="1" applyProtection="1">
      <alignment horizontal="center" wrapText="1"/>
      <protection hidden="1"/>
    </xf>
    <xf numFmtId="0" fontId="36" fillId="0" borderId="0" xfId="0" applyFont="1" applyAlignment="1" applyProtection="1">
      <alignment wrapText="1"/>
      <protection hidden="1"/>
    </xf>
    <xf numFmtId="164" fontId="36" fillId="0" borderId="0" xfId="0" applyNumberFormat="1" applyFont="1" applyAlignment="1" applyProtection="1">
      <alignment horizontal="center"/>
      <protection hidden="1"/>
    </xf>
    <xf numFmtId="37" fontId="36" fillId="0" borderId="0" xfId="1" applyNumberFormat="1" applyFont="1" applyFill="1" applyBorder="1" applyAlignment="1" applyProtection="1">
      <alignment horizontal="right" indent="1"/>
      <protection hidden="1"/>
    </xf>
    <xf numFmtId="167" fontId="36" fillId="3" borderId="0" xfId="0" applyNumberFormat="1" applyFont="1" applyFill="1" applyProtection="1">
      <alignment horizontal="left" indent="1"/>
      <protection hidden="1"/>
    </xf>
    <xf numFmtId="167" fontId="36" fillId="3" borderId="0" xfId="0" applyNumberFormat="1" applyFont="1" applyFill="1" applyAlignment="1" applyProtection="1">
      <alignment horizontal="center"/>
      <protection hidden="1"/>
    </xf>
    <xf numFmtId="0" fontId="36" fillId="3" borderId="0" xfId="0" applyFont="1" applyFill="1" applyProtection="1">
      <alignment horizontal="left" indent="1"/>
      <protection hidden="1"/>
    </xf>
    <xf numFmtId="0" fontId="36" fillId="3" borderId="0" xfId="0" applyFont="1" applyFill="1" applyAlignment="1" applyProtection="1">
      <alignment wrapText="1"/>
      <protection hidden="1"/>
    </xf>
    <xf numFmtId="0" fontId="38" fillId="0" borderId="0" xfId="0" applyFont="1" applyAlignment="1" applyProtection="1">
      <alignment horizontal="left" wrapText="1" indent="1"/>
      <protection hidden="1"/>
    </xf>
    <xf numFmtId="0" fontId="38" fillId="0" borderId="0" xfId="0" applyFont="1" applyProtection="1">
      <alignment horizontal="left" indent="1"/>
      <protection hidden="1"/>
    </xf>
    <xf numFmtId="3" fontId="36" fillId="0" borderId="0" xfId="0" applyNumberFormat="1" applyFont="1" applyAlignment="1" applyProtection="1">
      <alignment horizontal="right" indent="1"/>
      <protection hidden="1"/>
    </xf>
    <xf numFmtId="3" fontId="36" fillId="0" borderId="0" xfId="0" applyNumberFormat="1" applyFont="1" applyAlignment="1" applyProtection="1">
      <alignment horizontal="right" wrapText="1" indent="1"/>
      <protection hidden="1"/>
    </xf>
    <xf numFmtId="3" fontId="36" fillId="0" borderId="0" xfId="1" applyNumberFormat="1" applyFont="1" applyFill="1" applyBorder="1" applyAlignment="1" applyProtection="1">
      <alignment horizontal="right" indent="1"/>
      <protection hidden="1"/>
    </xf>
    <xf numFmtId="0" fontId="0" fillId="0" borderId="0" xfId="0" applyAlignment="1" applyProtection="1">
      <alignment horizontal="center"/>
      <protection hidden="1"/>
    </xf>
    <xf numFmtId="0" fontId="41" fillId="0" borderId="0" xfId="0" applyFont="1" applyAlignment="1" applyProtection="1">
      <alignment horizontal="center" wrapText="1"/>
      <protection hidden="1"/>
    </xf>
    <xf numFmtId="0" fontId="41" fillId="0" borderId="0" xfId="0" applyFont="1" applyAlignment="1" applyProtection="1">
      <alignment wrapText="1"/>
      <protection hidden="1"/>
    </xf>
    <xf numFmtId="0" fontId="41" fillId="0" borderId="0" xfId="0" applyFont="1" applyProtection="1">
      <alignment horizontal="left" indent="1"/>
      <protection hidden="1"/>
    </xf>
    <xf numFmtId="0" fontId="42" fillId="0" borderId="0" xfId="0" applyFont="1" applyProtection="1">
      <alignment horizontal="left" indent="1"/>
      <protection hidden="1"/>
    </xf>
    <xf numFmtId="0" fontId="42" fillId="0" borderId="0" xfId="0" applyFont="1" applyAlignment="1" applyProtection="1">
      <alignment horizontal="center"/>
      <protection hidden="1"/>
    </xf>
    <xf numFmtId="164" fontId="42" fillId="0" borderId="0" xfId="0" applyNumberFormat="1" applyFont="1" applyAlignment="1" applyProtection="1">
      <alignment horizontal="center"/>
      <protection hidden="1"/>
    </xf>
    <xf numFmtId="0" fontId="38" fillId="3" borderId="0" xfId="0" applyFont="1" applyFill="1" applyProtection="1">
      <alignment horizontal="left" indent="1"/>
      <protection hidden="1"/>
    </xf>
    <xf numFmtId="0" fontId="37" fillId="0" borderId="0" xfId="5" applyFont="1" applyFill="1" applyBorder="1" applyAlignment="1" applyProtection="1">
      <alignment horizontal="left" indent="1"/>
      <protection hidden="1"/>
    </xf>
    <xf numFmtId="0" fontId="37" fillId="0" borderId="0" xfId="5" applyFont="1" applyFill="1" applyBorder="1" applyAlignment="1" applyProtection="1">
      <alignment horizontal="center"/>
      <protection hidden="1"/>
    </xf>
    <xf numFmtId="0" fontId="37" fillId="0" borderId="0" xfId="5" applyFont="1" applyFill="1" applyBorder="1" applyAlignment="1" applyProtection="1">
      <alignment horizontal="center" wrapText="1"/>
      <protection hidden="1"/>
    </xf>
    <xf numFmtId="164" fontId="38" fillId="0" borderId="0" xfId="0" applyNumberFormat="1" applyFont="1" applyAlignment="1" applyProtection="1">
      <alignment horizontal="center"/>
      <protection hidden="1"/>
    </xf>
    <xf numFmtId="0" fontId="38" fillId="0" borderId="0" xfId="0" applyFont="1" applyAlignment="1" applyProtection="1">
      <alignment horizontal="center" wrapText="1"/>
      <protection hidden="1"/>
    </xf>
    <xf numFmtId="3" fontId="38" fillId="0" borderId="0" xfId="0" applyNumberFormat="1" applyFont="1" applyAlignment="1" applyProtection="1">
      <alignment horizontal="right" indent="1"/>
      <protection hidden="1"/>
    </xf>
    <xf numFmtId="3" fontId="38" fillId="0" borderId="0" xfId="0" applyNumberFormat="1" applyFont="1" applyProtection="1">
      <alignment horizontal="left" indent="1"/>
      <protection hidden="1"/>
    </xf>
    <xf numFmtId="3" fontId="38" fillId="0" borderId="0" xfId="1" applyNumberFormat="1" applyFont="1" applyFill="1" applyBorder="1" applyAlignment="1" applyProtection="1">
      <alignment horizontal="right" indent="1"/>
      <protection hidden="1"/>
    </xf>
    <xf numFmtId="0" fontId="12" fillId="0" borderId="0" xfId="0" applyFont="1" applyProtection="1">
      <alignment horizontal="left" indent="1"/>
      <protection hidden="1"/>
    </xf>
    <xf numFmtId="0" fontId="12" fillId="0" borderId="0" xfId="0" applyFont="1" applyAlignment="1" applyProtection="1">
      <alignment horizontal="center"/>
      <protection hidden="1"/>
    </xf>
    <xf numFmtId="0" fontId="12" fillId="0" borderId="0" xfId="0" applyFont="1" applyAlignment="1" applyProtection="1">
      <alignment horizontal="left" wrapText="1" indent="1"/>
      <protection hidden="1"/>
    </xf>
    <xf numFmtId="0" fontId="12" fillId="0" borderId="0" xfId="0" applyFont="1" applyAlignment="1" applyProtection="1">
      <alignment horizontal="center" wrapText="1"/>
      <protection hidden="1"/>
    </xf>
    <xf numFmtId="0" fontId="12" fillId="0" borderId="0" xfId="0" applyFont="1" applyAlignment="1" applyProtection="1">
      <alignment wrapText="1"/>
      <protection hidden="1"/>
    </xf>
    <xf numFmtId="164" fontId="12" fillId="0" borderId="0" xfId="0" applyNumberFormat="1" applyFont="1" applyAlignment="1" applyProtection="1">
      <alignment horizontal="center"/>
      <protection hidden="1"/>
    </xf>
    <xf numFmtId="3" fontId="12" fillId="0" borderId="0" xfId="0" applyNumberFormat="1" applyFont="1" applyAlignment="1" applyProtection="1">
      <alignment horizontal="right" indent="1"/>
      <protection hidden="1"/>
    </xf>
    <xf numFmtId="3" fontId="12" fillId="0" borderId="0" xfId="0" applyNumberFormat="1" applyFont="1" applyAlignment="1" applyProtection="1">
      <alignment horizontal="center"/>
      <protection hidden="1"/>
    </xf>
    <xf numFmtId="0" fontId="12" fillId="0" borderId="0" xfId="0" applyFont="1" applyAlignment="1" applyProtection="1">
      <alignment horizontal="left" indent="2"/>
      <protection hidden="1"/>
    </xf>
    <xf numFmtId="0" fontId="12" fillId="3" borderId="0" xfId="0" applyFont="1" applyFill="1" applyProtection="1">
      <alignment horizontal="left" indent="1"/>
      <protection hidden="1"/>
    </xf>
    <xf numFmtId="0" fontId="12" fillId="3" borderId="0" xfId="0" applyFont="1" applyFill="1" applyAlignment="1" applyProtection="1">
      <alignment horizontal="center"/>
      <protection hidden="1"/>
    </xf>
    <xf numFmtId="0" fontId="12" fillId="3" borderId="0" xfId="0" applyFont="1" applyFill="1" applyAlignment="1" applyProtection="1">
      <alignment wrapText="1"/>
      <protection hidden="1"/>
    </xf>
    <xf numFmtId="167" fontId="33" fillId="3" borderId="0" xfId="0" applyNumberFormat="1" applyFont="1" applyFill="1" applyProtection="1">
      <alignment horizontal="left" indent="1"/>
      <protection hidden="1"/>
    </xf>
    <xf numFmtId="167" fontId="33" fillId="3" borderId="0" xfId="0" applyNumberFormat="1" applyFont="1" applyFill="1" applyAlignment="1" applyProtection="1">
      <alignment horizontal="center"/>
      <protection hidden="1"/>
    </xf>
    <xf numFmtId="0" fontId="43" fillId="0" borderId="0" xfId="0" applyFont="1" applyProtection="1">
      <alignment horizontal="left" indent="1"/>
      <protection hidden="1"/>
    </xf>
    <xf numFmtId="0" fontId="33" fillId="3" borderId="0" xfId="0" applyFont="1" applyFill="1" applyProtection="1">
      <alignment horizontal="left" indent="1"/>
      <protection hidden="1"/>
    </xf>
    <xf numFmtId="0" fontId="33" fillId="0" borderId="0" xfId="0" applyFont="1" applyAlignment="1" applyProtection="1">
      <alignment horizontal="center"/>
      <protection hidden="1"/>
    </xf>
    <xf numFmtId="0" fontId="33" fillId="3" borderId="0" xfId="0" applyFont="1" applyFill="1" applyAlignment="1" applyProtection="1">
      <alignment horizontal="center"/>
      <protection hidden="1"/>
    </xf>
    <xf numFmtId="0" fontId="30" fillId="4" borderId="2" xfId="4" applyAlignment="1" applyProtection="1">
      <alignment horizontal="left" indent="1"/>
      <protection hidden="1"/>
    </xf>
    <xf numFmtId="0" fontId="41" fillId="3" borderId="0" xfId="0" applyFont="1" applyFill="1" applyProtection="1">
      <alignment horizontal="left" indent="1"/>
      <protection hidden="1"/>
    </xf>
    <xf numFmtId="0" fontId="24" fillId="3" borderId="0" xfId="0" applyFont="1" applyFill="1" applyProtection="1">
      <alignment horizontal="left" indent="1"/>
      <protection hidden="1"/>
    </xf>
    <xf numFmtId="167" fontId="26" fillId="3" borderId="0" xfId="0" applyNumberFormat="1" applyFont="1" applyFill="1" applyAlignment="1" applyProtection="1">
      <alignment horizontal="center"/>
      <protection hidden="1"/>
    </xf>
    <xf numFmtId="0" fontId="24" fillId="0" borderId="0" xfId="0" applyFont="1" applyAlignment="1" applyProtection="1">
      <alignment horizontal="center"/>
      <protection hidden="1"/>
    </xf>
    <xf numFmtId="0" fontId="26" fillId="0" borderId="0" xfId="0" applyFont="1" applyAlignment="1" applyProtection="1">
      <alignment horizontal="center" wrapText="1"/>
      <protection hidden="1"/>
    </xf>
    <xf numFmtId="164" fontId="26" fillId="0" borderId="0" xfId="0" applyNumberFormat="1" applyFont="1" applyAlignment="1" applyProtection="1">
      <alignment horizontal="center"/>
      <protection hidden="1"/>
    </xf>
    <xf numFmtId="3" fontId="26" fillId="0" borderId="0" xfId="0" applyNumberFormat="1" applyFont="1" applyAlignment="1" applyProtection="1">
      <alignment horizontal="right" indent="1"/>
      <protection hidden="1"/>
    </xf>
    <xf numFmtId="3" fontId="26" fillId="0" borderId="0" xfId="0" applyNumberFormat="1" applyFont="1" applyProtection="1">
      <alignment horizontal="left" indent="1"/>
      <protection hidden="1"/>
    </xf>
    <xf numFmtId="3" fontId="26" fillId="0" borderId="0" xfId="0" applyNumberFormat="1" applyFont="1" applyAlignment="1" applyProtection="1">
      <alignment horizontal="center"/>
      <protection hidden="1"/>
    </xf>
    <xf numFmtId="0" fontId="19" fillId="3" borderId="0" xfId="0" applyFont="1" applyFill="1" applyAlignment="1" applyProtection="1">
      <alignment horizontal="left" vertical="top"/>
      <protection hidden="1"/>
    </xf>
    <xf numFmtId="0" fontId="26" fillId="3" borderId="4" xfId="0" applyFont="1" applyFill="1" applyBorder="1" applyProtection="1">
      <alignment horizontal="left" indent="1"/>
      <protection hidden="1"/>
    </xf>
    <xf numFmtId="0" fontId="30" fillId="4" borderId="14" xfId="4" applyBorder="1" applyAlignment="1" applyProtection="1">
      <alignment horizontal="left" vertical="top" indent="1"/>
      <protection locked="0"/>
    </xf>
    <xf numFmtId="0" fontId="19" fillId="3" borderId="0" xfId="2" applyFont="1" applyAlignment="1">
      <protection hidden="1"/>
    </xf>
    <xf numFmtId="0" fontId="35" fillId="3" borderId="0" xfId="2" applyFont="1" applyAlignment="1">
      <protection hidden="1"/>
    </xf>
    <xf numFmtId="37" fontId="42" fillId="0" borderId="0" xfId="1" applyNumberFormat="1" applyFont="1" applyFill="1" applyBorder="1" applyAlignment="1" applyProtection="1">
      <alignment horizontal="right" indent="1"/>
      <protection hidden="1"/>
    </xf>
    <xf numFmtId="0" fontId="0" fillId="0" borderId="0" xfId="0" applyAlignment="1" applyProtection="1">
      <alignment horizontal="left" indent="2"/>
      <protection hidden="1"/>
    </xf>
    <xf numFmtId="0" fontId="49" fillId="0" borderId="0" xfId="0" applyFont="1" applyAlignment="1" applyProtection="1">
      <alignment horizontal="center" wrapText="1"/>
      <protection hidden="1"/>
    </xf>
    <xf numFmtId="0" fontId="51" fillId="3" borderId="0" xfId="0" applyFont="1" applyFill="1" applyProtection="1">
      <alignment horizontal="left" indent="1"/>
      <protection hidden="1"/>
    </xf>
    <xf numFmtId="0" fontId="51" fillId="0" borderId="0" xfId="0" applyFont="1" applyProtection="1">
      <alignment horizontal="left" indent="1"/>
      <protection hidden="1"/>
    </xf>
    <xf numFmtId="0" fontId="24" fillId="3" borderId="0" xfId="0" applyFont="1" applyFill="1" applyAlignment="1" applyProtection="1">
      <alignment horizontal="left" wrapText="1"/>
      <protection hidden="1"/>
    </xf>
    <xf numFmtId="0" fontId="52" fillId="3" borderId="0" xfId="0" quotePrefix="1" applyFont="1" applyFill="1" applyAlignment="1" applyProtection="1">
      <alignment horizontal="right" wrapText="1" indent="1"/>
      <protection hidden="1"/>
    </xf>
    <xf numFmtId="0" fontId="18" fillId="6" borderId="41" xfId="3" applyBorder="1" applyAlignment="1" applyProtection="1">
      <alignment horizontal="left" indent="1"/>
      <protection hidden="1"/>
    </xf>
    <xf numFmtId="0" fontId="18" fillId="6" borderId="37" xfId="3" applyBorder="1" applyAlignment="1" applyProtection="1">
      <alignment horizontal="left" indent="1"/>
      <protection hidden="1"/>
    </xf>
    <xf numFmtId="0" fontId="18" fillId="6" borderId="35" xfId="3" applyBorder="1" applyProtection="1">
      <protection hidden="1"/>
    </xf>
    <xf numFmtId="0" fontId="18" fillId="6" borderId="36" xfId="3" applyBorder="1" applyProtection="1">
      <protection hidden="1"/>
    </xf>
    <xf numFmtId="167" fontId="11" fillId="3" borderId="0" xfId="11">
      <alignment horizontal="center"/>
      <protection hidden="1"/>
    </xf>
    <xf numFmtId="0" fontId="30" fillId="4" borderId="0" xfId="12" applyBorder="1" applyProtection="1">
      <alignment horizontal="center"/>
      <protection hidden="1"/>
    </xf>
    <xf numFmtId="0" fontId="26" fillId="11" borderId="0" xfId="0" applyFont="1" applyFill="1" applyProtection="1">
      <alignment horizontal="left" indent="1"/>
      <protection hidden="1"/>
    </xf>
    <xf numFmtId="0" fontId="53" fillId="4" borderId="0" xfId="0" applyFont="1" applyFill="1" applyAlignment="1" applyProtection="1">
      <alignment horizontal="center"/>
      <protection hidden="1"/>
    </xf>
    <xf numFmtId="49" fontId="53" fillId="4" borderId="0" xfId="0" applyNumberFormat="1" applyFont="1" applyFill="1" applyAlignment="1" applyProtection="1">
      <alignment horizontal="center"/>
      <protection hidden="1"/>
    </xf>
    <xf numFmtId="0" fontId="53" fillId="10" borderId="0" xfId="0" applyFont="1" applyFill="1" applyAlignment="1" applyProtection="1">
      <alignment horizontal="center"/>
      <protection hidden="1"/>
    </xf>
    <xf numFmtId="0" fontId="53" fillId="4" borderId="0" xfId="0" applyFont="1" applyFill="1" applyAlignment="1" applyProtection="1">
      <alignment horizontal="center" wrapText="1"/>
      <protection hidden="1"/>
    </xf>
    <xf numFmtId="0" fontId="31" fillId="0" borderId="0" xfId="0" applyFont="1" applyProtection="1">
      <alignment horizontal="left" indent="1"/>
      <protection hidden="1"/>
    </xf>
    <xf numFmtId="3" fontId="26" fillId="0" borderId="0" xfId="1" applyNumberFormat="1" applyFont="1" applyFill="1" applyAlignment="1" applyProtection="1">
      <alignment horizontal="right" vertical="center" indent="1"/>
      <protection hidden="1"/>
    </xf>
    <xf numFmtId="168" fontId="26" fillId="0" borderId="0" xfId="1" applyNumberFormat="1" applyFont="1" applyFill="1" applyProtection="1">
      <protection hidden="1"/>
    </xf>
    <xf numFmtId="165" fontId="26" fillId="0" borderId="0" xfId="1" applyNumberFormat="1" applyFont="1" applyFill="1" applyAlignment="1" applyProtection="1">
      <alignment horizontal="center"/>
      <protection hidden="1"/>
    </xf>
    <xf numFmtId="38" fontId="26" fillId="0" borderId="0" xfId="0" applyNumberFormat="1" applyFont="1" applyAlignment="1" applyProtection="1">
      <alignment horizontal="right" indent="1"/>
      <protection hidden="1"/>
    </xf>
    <xf numFmtId="38" fontId="26" fillId="0" borderId="0" xfId="0" applyNumberFormat="1" applyFont="1" applyFill="1" applyAlignment="1" applyProtection="1">
      <alignment horizontal="center"/>
      <protection hidden="1"/>
    </xf>
    <xf numFmtId="3" fontId="26" fillId="0" borderId="0" xfId="0" applyNumberFormat="1" applyFont="1" applyAlignment="1" applyProtection="1">
      <alignment horizontal="right" vertical="center" indent="1"/>
      <protection hidden="1"/>
    </xf>
    <xf numFmtId="165" fontId="26" fillId="0" borderId="0" xfId="0" applyNumberFormat="1" applyFont="1" applyAlignment="1" applyProtection="1">
      <alignment horizontal="center"/>
      <protection hidden="1"/>
    </xf>
    <xf numFmtId="3" fontId="54" fillId="10" borderId="0" xfId="0" applyNumberFormat="1" applyFont="1" applyFill="1" applyAlignment="1" applyProtection="1">
      <alignment horizontal="right" vertical="center" indent="1"/>
      <protection hidden="1"/>
    </xf>
    <xf numFmtId="0" fontId="26" fillId="0" borderId="0" xfId="0" applyFont="1" applyAlignment="1" applyProtection="1">
      <alignment wrapText="1"/>
      <protection hidden="1"/>
    </xf>
    <xf numFmtId="3" fontId="26" fillId="0" borderId="0" xfId="0" applyNumberFormat="1" applyFont="1" applyAlignment="1" applyProtection="1">
      <alignment wrapText="1"/>
      <protection hidden="1"/>
    </xf>
    <xf numFmtId="0" fontId="26" fillId="0" borderId="0" xfId="0" applyFont="1" applyAlignment="1" applyProtection="1">
      <alignment horizontal="right" vertical="center" indent="1"/>
      <protection hidden="1"/>
    </xf>
    <xf numFmtId="0" fontId="12" fillId="0" borderId="0" xfId="0" applyFont="1" applyFill="1" applyProtection="1">
      <alignment horizontal="left" indent="1"/>
      <protection hidden="1"/>
    </xf>
    <xf numFmtId="0" fontId="12" fillId="0" borderId="0" xfId="0" applyFont="1" applyFill="1" applyAlignment="1" applyProtection="1">
      <alignment horizontal="center"/>
      <protection hidden="1"/>
    </xf>
    <xf numFmtId="3" fontId="12" fillId="0" borderId="0" xfId="0" applyNumberFormat="1" applyFont="1" applyFill="1" applyAlignment="1" applyProtection="1">
      <alignment horizontal="right" indent="1"/>
      <protection hidden="1"/>
    </xf>
    <xf numFmtId="0" fontId="38" fillId="0" borderId="0" xfId="0" applyFont="1" applyFill="1" applyProtection="1">
      <alignment horizontal="left" indent="1"/>
      <protection hidden="1"/>
    </xf>
    <xf numFmtId="0" fontId="38" fillId="0" borderId="0" xfId="0" applyFont="1" applyFill="1" applyAlignment="1" applyProtection="1">
      <alignment horizontal="left" indent="2"/>
      <protection hidden="1"/>
    </xf>
    <xf numFmtId="0" fontId="38" fillId="0" borderId="0" xfId="0" applyFont="1" applyAlignment="1" applyProtection="1">
      <alignment horizontal="center"/>
      <protection hidden="1"/>
    </xf>
    <xf numFmtId="1" fontId="26" fillId="0" borderId="0" xfId="0" applyNumberFormat="1" applyFont="1" applyAlignment="1" applyProtection="1">
      <alignment horizontal="center"/>
      <protection hidden="1"/>
    </xf>
    <xf numFmtId="0" fontId="58" fillId="9" borderId="0" xfId="10" applyFont="1" applyBorder="1" applyAlignment="1" applyProtection="1">
      <alignment horizontal="left" indent="1"/>
      <protection hidden="1"/>
    </xf>
    <xf numFmtId="164" fontId="58" fillId="9" borderId="0" xfId="10" applyNumberFormat="1" applyFont="1" applyBorder="1" applyAlignment="1" applyProtection="1">
      <alignment horizontal="center"/>
      <protection hidden="1"/>
    </xf>
    <xf numFmtId="1" fontId="58" fillId="9" borderId="0" xfId="10" applyNumberFormat="1" applyFont="1" applyBorder="1" applyAlignment="1" applyProtection="1">
      <alignment horizontal="center"/>
      <protection hidden="1"/>
    </xf>
    <xf numFmtId="3" fontId="58" fillId="9" borderId="0" xfId="10" applyNumberFormat="1" applyFont="1" applyBorder="1" applyAlignment="1" applyProtection="1">
      <alignment horizontal="right" indent="1"/>
      <protection hidden="1"/>
    </xf>
    <xf numFmtId="0" fontId="42" fillId="0" borderId="0" xfId="0" applyFont="1" applyAlignment="1" applyProtection="1">
      <alignment horizontal="left" indent="2"/>
      <protection hidden="1"/>
    </xf>
    <xf numFmtId="164" fontId="42" fillId="0" borderId="0" xfId="9" applyFont="1">
      <alignment horizontal="center"/>
      <protection hidden="1"/>
    </xf>
    <xf numFmtId="1" fontId="42" fillId="0" borderId="0" xfId="0" applyNumberFormat="1" applyFont="1" applyAlignment="1" applyProtection="1">
      <alignment horizontal="center"/>
      <protection hidden="1"/>
    </xf>
    <xf numFmtId="3" fontId="42" fillId="0" borderId="0" xfId="0" applyNumberFormat="1" applyFont="1" applyAlignment="1" applyProtection="1">
      <alignment horizontal="right" indent="1"/>
      <protection hidden="1"/>
    </xf>
    <xf numFmtId="0" fontId="31" fillId="3" borderId="0" xfId="0" applyFont="1" applyFill="1" applyAlignment="1" applyProtection="1">
      <alignment vertical="top" wrapText="1"/>
      <protection hidden="1"/>
    </xf>
    <xf numFmtId="1" fontId="26" fillId="0" borderId="0" xfId="0" applyNumberFormat="1" applyFont="1" applyAlignment="1" applyProtection="1">
      <alignment horizontal="center" wrapText="1"/>
      <protection hidden="1"/>
    </xf>
    <xf numFmtId="164" fontId="26" fillId="0" borderId="0" xfId="9">
      <alignment horizontal="center"/>
      <protection hidden="1"/>
    </xf>
    <xf numFmtId="38" fontId="60" fillId="0" borderId="0" xfId="0" applyNumberFormat="1" applyFont="1" applyAlignment="1" applyProtection="1">
      <alignment horizontal="right" indent="1"/>
      <protection hidden="1"/>
    </xf>
    <xf numFmtId="0" fontId="26" fillId="3" borderId="0" xfId="0" applyFont="1" applyFill="1" applyAlignment="1" applyProtection="1">
      <alignment horizontal="center"/>
      <protection hidden="1"/>
    </xf>
    <xf numFmtId="0" fontId="62" fillId="3" borderId="0" xfId="0" applyFont="1" applyFill="1" applyProtection="1">
      <alignment horizontal="left" indent="1"/>
      <protection hidden="1"/>
    </xf>
    <xf numFmtId="0" fontId="62" fillId="0" borderId="0" xfId="0" applyFont="1" applyProtection="1">
      <alignment horizontal="left" indent="1"/>
      <protection hidden="1"/>
    </xf>
    <xf numFmtId="0" fontId="58" fillId="4" borderId="26" xfId="0" applyFont="1" applyFill="1" applyBorder="1" applyProtection="1">
      <alignment horizontal="left" indent="1"/>
      <protection hidden="1"/>
    </xf>
    <xf numFmtId="0" fontId="58" fillId="4" borderId="2" xfId="0" applyFont="1" applyFill="1" applyBorder="1" applyAlignment="1" applyProtection="1">
      <alignment horizontal="center"/>
      <protection hidden="1"/>
    </xf>
    <xf numFmtId="0" fontId="58" fillId="4" borderId="2" xfId="3" applyFont="1" applyFill="1" applyBorder="1" applyAlignment="1" applyProtection="1">
      <alignment horizontal="center" wrapText="1"/>
      <protection hidden="1"/>
    </xf>
    <xf numFmtId="164" fontId="26" fillId="3" borderId="11" xfId="9" applyFill="1" applyBorder="1">
      <alignment horizontal="center"/>
      <protection hidden="1"/>
    </xf>
    <xf numFmtId="3" fontId="26" fillId="7" borderId="4" xfId="0" applyNumberFormat="1" applyFont="1" applyFill="1" applyBorder="1" applyAlignment="1" applyProtection="1">
      <alignment horizontal="right" indent="1"/>
      <protection hidden="1"/>
    </xf>
    <xf numFmtId="3" fontId="26" fillId="7" borderId="8" xfId="0" applyNumberFormat="1" applyFont="1" applyFill="1" applyBorder="1" applyAlignment="1" applyProtection="1">
      <alignment horizontal="right" indent="1"/>
      <protection hidden="1"/>
    </xf>
    <xf numFmtId="164" fontId="26" fillId="3" borderId="12" xfId="9" applyFill="1" applyBorder="1">
      <alignment horizontal="center"/>
      <protection hidden="1"/>
    </xf>
    <xf numFmtId="3" fontId="26" fillId="7" borderId="9" xfId="0" applyNumberFormat="1" applyFont="1" applyFill="1" applyBorder="1" applyAlignment="1" applyProtection="1">
      <alignment horizontal="right" indent="1"/>
      <protection hidden="1"/>
    </xf>
    <xf numFmtId="3" fontId="26" fillId="7" borderId="10" xfId="0" applyNumberFormat="1" applyFont="1" applyFill="1" applyBorder="1" applyAlignment="1" applyProtection="1">
      <alignment horizontal="right" indent="1"/>
      <protection hidden="1"/>
    </xf>
    <xf numFmtId="0" fontId="44" fillId="2" borderId="22" xfId="6" applyFont="1" applyBorder="1" applyProtection="1">
      <protection hidden="1"/>
    </xf>
    <xf numFmtId="0" fontId="44" fillId="2" borderId="17" xfId="6" applyFont="1" applyProtection="1">
      <protection hidden="1"/>
    </xf>
    <xf numFmtId="0" fontId="13" fillId="3" borderId="0" xfId="0" applyFont="1" applyFill="1" applyAlignment="1" applyProtection="1">
      <alignment vertical="center"/>
      <protection hidden="1"/>
    </xf>
    <xf numFmtId="42" fontId="13" fillId="3" borderId="0" xfId="0" applyNumberFormat="1" applyFont="1" applyFill="1" applyAlignment="1" applyProtection="1">
      <alignment vertical="center"/>
      <protection hidden="1"/>
    </xf>
    <xf numFmtId="3" fontId="10" fillId="3" borderId="0" xfId="0" applyNumberFormat="1" applyFont="1" applyFill="1" applyAlignment="1" applyProtection="1">
      <alignment horizontal="right" vertical="center"/>
      <protection hidden="1"/>
    </xf>
    <xf numFmtId="0" fontId="20" fillId="6" borderId="26" xfId="3" applyFont="1" applyBorder="1" applyAlignment="1" applyProtection="1">
      <alignment horizontal="center" vertical="center" wrapText="1"/>
      <protection hidden="1"/>
    </xf>
    <xf numFmtId="0" fontId="20" fillId="6" borderId="28" xfId="3" applyFont="1" applyBorder="1" applyAlignment="1" applyProtection="1">
      <alignment horizontal="center" vertical="center" wrapText="1"/>
      <protection hidden="1"/>
    </xf>
    <xf numFmtId="0" fontId="20" fillId="6" borderId="29" xfId="3" applyFont="1" applyBorder="1" applyAlignment="1" applyProtection="1">
      <alignment horizontal="center" vertical="center" wrapText="1"/>
      <protection hidden="1"/>
    </xf>
    <xf numFmtId="0" fontId="10" fillId="3" borderId="0" xfId="0" applyFont="1" applyFill="1" applyAlignment="1" applyProtection="1">
      <alignment vertical="center" wrapText="1"/>
      <protection hidden="1"/>
    </xf>
    <xf numFmtId="0" fontId="10" fillId="0" borderId="0" xfId="0" applyFont="1" applyAlignment="1" applyProtection="1">
      <alignment vertical="center" wrapText="1"/>
      <protection hidden="1"/>
    </xf>
    <xf numFmtId="0" fontId="10" fillId="3" borderId="0" xfId="0" applyFont="1" applyFill="1" applyAlignment="1" applyProtection="1">
      <alignment horizontal="left" vertical="center"/>
      <protection hidden="1"/>
    </xf>
    <xf numFmtId="0" fontId="10" fillId="0" borderId="0" xfId="0" applyFont="1" applyAlignment="1" applyProtection="1">
      <alignment horizontal="left" vertical="center"/>
      <protection hidden="1"/>
    </xf>
    <xf numFmtId="165" fontId="10" fillId="3" borderId="2" xfId="0" applyNumberFormat="1"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45" fillId="6" borderId="13" xfId="3" applyFont="1" applyAlignment="1" applyProtection="1">
      <alignment horizontal="left" indent="1"/>
      <protection hidden="1"/>
    </xf>
    <xf numFmtId="0" fontId="0" fillId="3" borderId="0" xfId="0" applyFill="1" applyAlignment="1" applyProtection="1">
      <alignment horizontal="left" vertical="center" indent="1"/>
      <protection hidden="1"/>
    </xf>
    <xf numFmtId="0" fontId="0" fillId="0" borderId="0" xfId="0" applyAlignment="1" applyProtection="1">
      <alignment horizontal="left" vertical="center" indent="1"/>
      <protection hidden="1"/>
    </xf>
    <xf numFmtId="0" fontId="26" fillId="3" borderId="4" xfId="0" applyFont="1" applyFill="1" applyBorder="1" applyAlignment="1" applyProtection="1">
      <alignment horizontal="left" vertical="center" indent="1"/>
      <protection hidden="1"/>
    </xf>
    <xf numFmtId="0" fontId="26" fillId="3" borderId="0" xfId="0" applyFont="1" applyFill="1" applyAlignment="1" applyProtection="1">
      <alignment horizontal="left" vertical="center" indent="1"/>
      <protection hidden="1"/>
    </xf>
    <xf numFmtId="0" fontId="44" fillId="2" borderId="22" xfId="6" applyFont="1" applyBorder="1" applyAlignment="1" applyProtection="1">
      <alignment horizontal="left" vertical="center" indent="1"/>
      <protection hidden="1"/>
    </xf>
    <xf numFmtId="0" fontId="19" fillId="3" borderId="9" xfId="0" applyFont="1" applyFill="1" applyBorder="1" applyAlignment="1" applyProtection="1">
      <alignment horizontal="left" vertical="center" indent="1"/>
      <protection hidden="1"/>
    </xf>
    <xf numFmtId="0" fontId="19" fillId="3" borderId="5" xfId="0" applyFont="1" applyFill="1" applyBorder="1" applyAlignment="1" applyProtection="1">
      <alignment horizontal="left" vertical="center" indent="1"/>
      <protection hidden="1"/>
    </xf>
    <xf numFmtId="0" fontId="44" fillId="2" borderId="5" xfId="6" applyFont="1" applyBorder="1" applyAlignment="1" applyProtection="1">
      <alignment horizontal="left" vertical="center" indent="1"/>
      <protection hidden="1"/>
    </xf>
    <xf numFmtId="0" fontId="31" fillId="3" borderId="0" xfId="0" applyFont="1" applyFill="1" applyAlignment="1" applyProtection="1">
      <alignment horizontal="left" vertical="center" indent="1"/>
      <protection hidden="1"/>
    </xf>
    <xf numFmtId="3" fontId="26" fillId="3" borderId="11" xfId="0" applyNumberFormat="1" applyFont="1" applyFill="1" applyBorder="1" applyAlignment="1" applyProtection="1">
      <alignment horizontal="right" vertical="center" indent="1"/>
      <protection hidden="1"/>
    </xf>
    <xf numFmtId="3" fontId="19" fillId="3" borderId="11" xfId="0" applyNumberFormat="1" applyFont="1" applyFill="1" applyBorder="1" applyAlignment="1" applyProtection="1">
      <alignment horizontal="right" vertical="center" indent="1"/>
      <protection hidden="1"/>
    </xf>
    <xf numFmtId="0" fontId="58" fillId="6" borderId="26" xfId="3" applyFont="1" applyBorder="1" applyAlignment="1" applyProtection="1">
      <alignment horizontal="center" vertical="center" wrapText="1"/>
      <protection hidden="1"/>
    </xf>
    <xf numFmtId="3" fontId="26" fillId="7" borderId="4" xfId="0" applyNumberFormat="1" applyFont="1" applyFill="1" applyBorder="1" applyAlignment="1" applyProtection="1">
      <alignment horizontal="right" vertical="center" indent="1"/>
      <protection hidden="1"/>
    </xf>
    <xf numFmtId="3" fontId="26" fillId="7" borderId="8" xfId="0" applyNumberFormat="1" applyFont="1" applyFill="1" applyBorder="1" applyAlignment="1" applyProtection="1">
      <alignment horizontal="right" vertical="center" indent="1"/>
      <protection hidden="1"/>
    </xf>
    <xf numFmtId="3" fontId="26" fillId="7" borderId="24" xfId="0" applyNumberFormat="1" applyFont="1" applyFill="1" applyBorder="1" applyAlignment="1" applyProtection="1">
      <alignment horizontal="right" vertical="center" indent="1"/>
      <protection hidden="1"/>
    </xf>
    <xf numFmtId="3" fontId="26" fillId="7" borderId="19" xfId="0" applyNumberFormat="1" applyFont="1" applyFill="1" applyBorder="1" applyAlignment="1" applyProtection="1">
      <alignment horizontal="right" vertical="center" indent="1"/>
      <protection hidden="1"/>
    </xf>
    <xf numFmtId="3" fontId="26" fillId="7" borderId="25" xfId="0" applyNumberFormat="1" applyFont="1" applyFill="1" applyBorder="1" applyAlignment="1" applyProtection="1">
      <alignment horizontal="right" vertical="center" indent="1"/>
      <protection hidden="1"/>
    </xf>
    <xf numFmtId="0" fontId="44" fillId="2" borderId="22" xfId="6" applyFont="1" applyBorder="1" applyAlignment="1" applyProtection="1">
      <alignment horizontal="right" vertical="center" indent="1"/>
      <protection hidden="1"/>
    </xf>
    <xf numFmtId="3" fontId="26" fillId="7" borderId="4" xfId="0" quotePrefix="1" applyNumberFormat="1" applyFont="1" applyFill="1" applyBorder="1" applyAlignment="1" applyProtection="1">
      <alignment horizontal="right" vertical="center" indent="1"/>
      <protection hidden="1"/>
    </xf>
    <xf numFmtId="3" fontId="26" fillId="7" borderId="0" xfId="0" quotePrefix="1" applyNumberFormat="1" applyFont="1" applyFill="1" applyAlignment="1" applyProtection="1">
      <alignment horizontal="right" vertical="center" indent="1"/>
      <protection hidden="1"/>
    </xf>
    <xf numFmtId="3" fontId="26" fillId="7" borderId="8" xfId="0" quotePrefix="1" applyNumberFormat="1" applyFont="1" applyFill="1" applyBorder="1" applyAlignment="1" applyProtection="1">
      <alignment horizontal="right" vertical="center" indent="1"/>
      <protection hidden="1"/>
    </xf>
    <xf numFmtId="3" fontId="26" fillId="7" borderId="0" xfId="0" applyNumberFormat="1" applyFont="1" applyFill="1" applyAlignment="1" applyProtection="1">
      <alignment horizontal="right" vertical="center" indent="1"/>
      <protection hidden="1"/>
    </xf>
    <xf numFmtId="0" fontId="64" fillId="0" borderId="4" xfId="0" applyFont="1" applyBorder="1" applyAlignment="1" applyProtection="1">
      <alignment horizontal="left" vertical="center" indent="1"/>
      <protection hidden="1"/>
    </xf>
    <xf numFmtId="3" fontId="26" fillId="3" borderId="12" xfId="0" applyNumberFormat="1" applyFont="1" applyFill="1" applyBorder="1" applyAlignment="1" applyProtection="1">
      <alignment horizontal="right" vertical="center" indent="1"/>
      <protection hidden="1"/>
    </xf>
    <xf numFmtId="0" fontId="0" fillId="0" borderId="0" xfId="0" applyFill="1" applyAlignment="1" applyProtection="1">
      <alignment horizontal="center"/>
      <protection hidden="1"/>
    </xf>
    <xf numFmtId="0" fontId="10" fillId="3" borderId="0" xfId="0" applyFont="1" applyFill="1" applyAlignment="1" applyProtection="1">
      <alignment horizontal="center"/>
      <protection hidden="1"/>
    </xf>
    <xf numFmtId="0" fontId="41" fillId="3" borderId="0" xfId="0" applyFont="1" applyFill="1" applyAlignment="1" applyProtection="1">
      <alignment horizontal="center"/>
      <protection hidden="1"/>
    </xf>
    <xf numFmtId="0" fontId="10" fillId="0" borderId="0" xfId="0" applyFont="1" applyAlignment="1" applyProtection="1">
      <alignment horizontal="center"/>
      <protection hidden="1"/>
    </xf>
    <xf numFmtId="0" fontId="56" fillId="0" borderId="0" xfId="0" applyFont="1" applyAlignment="1" applyProtection="1">
      <alignment horizontal="center" wrapText="1"/>
      <protection hidden="1"/>
    </xf>
    <xf numFmtId="37" fontId="42" fillId="0" borderId="0" xfId="1" quotePrefix="1" applyNumberFormat="1" applyFont="1" applyFill="1" applyBorder="1" applyAlignment="1" applyProtection="1">
      <alignment horizontal="left" indent="1"/>
      <protection hidden="1"/>
    </xf>
    <xf numFmtId="37" fontId="42" fillId="0" borderId="0" xfId="1" applyNumberFormat="1" applyFont="1" applyFill="1" applyBorder="1" applyAlignment="1" applyProtection="1">
      <alignment horizontal="left" indent="1"/>
      <protection hidden="1"/>
    </xf>
    <xf numFmtId="0" fontId="41" fillId="3" borderId="0" xfId="0" applyFont="1" applyFill="1" applyAlignment="1" applyProtection="1">
      <alignment wrapText="1"/>
      <protection hidden="1"/>
    </xf>
    <xf numFmtId="0" fontId="42" fillId="3" borderId="0" xfId="0" applyFont="1" applyFill="1" applyProtection="1">
      <alignment horizontal="left" indent="1"/>
      <protection hidden="1"/>
    </xf>
    <xf numFmtId="0" fontId="44" fillId="0" borderId="0" xfId="0" applyFont="1" applyFill="1" applyProtection="1">
      <alignment horizontal="left" indent="1"/>
      <protection hidden="1"/>
    </xf>
    <xf numFmtId="1" fontId="44" fillId="0" borderId="0" xfId="0" applyNumberFormat="1" applyFont="1" applyFill="1" applyAlignment="1" applyProtection="1">
      <alignment horizontal="center"/>
      <protection hidden="1"/>
    </xf>
    <xf numFmtId="164" fontId="44" fillId="0" borderId="0" xfId="0" applyNumberFormat="1" applyFont="1" applyFill="1" applyAlignment="1" applyProtection="1">
      <alignment horizontal="center"/>
      <protection hidden="1"/>
    </xf>
    <xf numFmtId="0" fontId="26" fillId="0" borderId="0" xfId="0" applyFont="1" applyAlignment="1" applyProtection="1">
      <alignment horizontal="left" vertical="center" indent="1"/>
      <protection hidden="1"/>
    </xf>
    <xf numFmtId="0" fontId="36" fillId="0" borderId="0" xfId="0" applyFont="1" applyAlignment="1" applyProtection="1">
      <alignment horizontal="center"/>
      <protection hidden="1"/>
    </xf>
    <xf numFmtId="0" fontId="36" fillId="0" borderId="0" xfId="0" applyFont="1" applyFill="1" applyAlignment="1" applyProtection="1">
      <alignment horizontal="center"/>
      <protection hidden="1"/>
    </xf>
    <xf numFmtId="0" fontId="36" fillId="3" borderId="0" xfId="0" applyFont="1" applyFill="1" applyAlignment="1" applyProtection="1">
      <alignment horizontal="center"/>
      <protection hidden="1"/>
    </xf>
    <xf numFmtId="0" fontId="43" fillId="0" borderId="0" xfId="0" applyFont="1" applyAlignment="1" applyProtection="1">
      <alignment horizontal="center"/>
      <protection hidden="1"/>
    </xf>
    <xf numFmtId="0" fontId="0" fillId="3" borderId="20" xfId="0" applyFill="1" applyBorder="1" applyAlignment="1" applyProtection="1">
      <alignment horizontal="left" vertical="center" indent="1"/>
      <protection hidden="1"/>
    </xf>
    <xf numFmtId="3" fontId="0" fillId="7" borderId="20" xfId="0" applyNumberFormat="1" applyFill="1" applyBorder="1" applyAlignment="1" applyProtection="1">
      <alignment horizontal="right" vertical="center" indent="1"/>
      <protection hidden="1"/>
    </xf>
    <xf numFmtId="3" fontId="0" fillId="7" borderId="18" xfId="0" applyNumberFormat="1" applyFill="1" applyBorder="1" applyAlignment="1" applyProtection="1">
      <alignment horizontal="right" vertical="center" indent="1"/>
      <protection hidden="1"/>
    </xf>
    <xf numFmtId="3" fontId="0" fillId="7" borderId="21" xfId="0" applyNumberFormat="1" applyFill="1" applyBorder="1" applyAlignment="1" applyProtection="1">
      <alignment horizontal="right" vertical="center" indent="1"/>
      <protection hidden="1"/>
    </xf>
    <xf numFmtId="0" fontId="0" fillId="3" borderId="4" xfId="0" applyFill="1" applyBorder="1" applyAlignment="1" applyProtection="1">
      <alignment horizontal="left" vertical="center" indent="1"/>
      <protection hidden="1"/>
    </xf>
    <xf numFmtId="3" fontId="0" fillId="7" borderId="4" xfId="0" applyNumberFormat="1" applyFill="1" applyBorder="1" applyAlignment="1" applyProtection="1">
      <alignment horizontal="right" vertical="center" indent="1"/>
      <protection hidden="1"/>
    </xf>
    <xf numFmtId="3" fontId="0" fillId="7" borderId="0" xfId="0" applyNumberFormat="1" applyFill="1" applyAlignment="1" applyProtection="1">
      <alignment horizontal="right" vertical="center" indent="1"/>
      <protection hidden="1"/>
    </xf>
    <xf numFmtId="3" fontId="0" fillId="7" borderId="8" xfId="0" applyNumberFormat="1" applyFill="1" applyBorder="1" applyAlignment="1" applyProtection="1">
      <alignment horizontal="right" vertical="center" indent="1"/>
      <protection hidden="1"/>
    </xf>
    <xf numFmtId="3" fontId="0" fillId="7" borderId="24" xfId="0" applyNumberFormat="1" applyFill="1" applyBorder="1" applyAlignment="1" applyProtection="1">
      <alignment horizontal="right" vertical="center" indent="1"/>
      <protection hidden="1"/>
    </xf>
    <xf numFmtId="3" fontId="0" fillId="7" borderId="19" xfId="0" applyNumberFormat="1" applyFill="1" applyBorder="1" applyAlignment="1" applyProtection="1">
      <alignment horizontal="right" vertical="center" indent="1"/>
      <protection hidden="1"/>
    </xf>
    <xf numFmtId="3" fontId="0" fillId="7" borderId="25" xfId="0" applyNumberFormat="1" applyFill="1" applyBorder="1" applyAlignment="1" applyProtection="1">
      <alignment horizontal="right" vertical="center" indent="1"/>
      <protection hidden="1"/>
    </xf>
    <xf numFmtId="0" fontId="61" fillId="2" borderId="22" xfId="6" applyFont="1" applyBorder="1" applyAlignment="1" applyProtection="1">
      <alignment horizontal="left" vertical="center" indent="1"/>
      <protection hidden="1"/>
    </xf>
    <xf numFmtId="0" fontId="18" fillId="6" borderId="20" xfId="3" applyBorder="1" applyAlignment="1" applyProtection="1">
      <alignment horizontal="center" wrapText="1"/>
      <protection hidden="1"/>
    </xf>
    <xf numFmtId="0" fontId="18" fillId="6" borderId="6" xfId="3" applyBorder="1" applyAlignment="1" applyProtection="1">
      <alignment horizontal="center" wrapText="1"/>
      <protection hidden="1"/>
    </xf>
    <xf numFmtId="0" fontId="18" fillId="6" borderId="3" xfId="3" applyBorder="1" applyAlignment="1" applyProtection="1">
      <alignment horizontal="center" wrapText="1"/>
      <protection hidden="1"/>
    </xf>
    <xf numFmtId="0" fontId="18" fillId="6" borderId="7" xfId="3" applyBorder="1" applyAlignment="1" applyProtection="1">
      <alignment horizontal="center" wrapText="1"/>
      <protection hidden="1"/>
    </xf>
    <xf numFmtId="0" fontId="18" fillId="6" borderId="21" xfId="3" applyBorder="1" applyAlignment="1" applyProtection="1">
      <alignment horizontal="center" wrapText="1"/>
      <protection hidden="1"/>
    </xf>
    <xf numFmtId="3" fontId="0" fillId="3" borderId="11" xfId="0" applyNumberFormat="1" applyFill="1" applyBorder="1" applyAlignment="1" applyProtection="1">
      <alignment horizontal="right" vertical="center" indent="1"/>
      <protection hidden="1"/>
    </xf>
    <xf numFmtId="3" fontId="55" fillId="3" borderId="11" xfId="0" applyNumberFormat="1" applyFont="1" applyFill="1" applyBorder="1" applyAlignment="1" applyProtection="1">
      <alignment horizontal="right" vertical="center" indent="1"/>
      <protection hidden="1"/>
    </xf>
    <xf numFmtId="0" fontId="47" fillId="3" borderId="4" xfId="0" quotePrefix="1" applyFont="1" applyFill="1" applyBorder="1" applyAlignment="1" applyProtection="1">
      <alignment horizontal="right" vertical="center" wrapText="1" indent="1"/>
      <protection hidden="1"/>
    </xf>
    <xf numFmtId="0" fontId="26" fillId="0" borderId="4" xfId="0" applyFont="1" applyFill="1" applyBorder="1" applyAlignment="1"/>
    <xf numFmtId="0" fontId="47" fillId="3" borderId="4" xfId="0" quotePrefix="1" applyFont="1" applyFill="1" applyBorder="1" applyAlignment="1" applyProtection="1">
      <alignment horizontal="right" wrapText="1" indent="1"/>
      <protection hidden="1"/>
    </xf>
    <xf numFmtId="0" fontId="47" fillId="3" borderId="9" xfId="0" quotePrefix="1" applyFont="1" applyFill="1" applyBorder="1" applyAlignment="1" applyProtection="1">
      <alignment horizontal="right" wrapText="1" indent="1"/>
      <protection hidden="1"/>
    </xf>
    <xf numFmtId="0" fontId="12" fillId="0" borderId="0" xfId="14" applyFont="1" applyFill="1" applyAlignment="1">
      <alignment horizontal="left" indent="1"/>
      <protection hidden="1"/>
    </xf>
    <xf numFmtId="0" fontId="12" fillId="0" borderId="0" xfId="14" applyFont="1" applyAlignment="1">
      <alignment horizontal="left" indent="1"/>
      <protection hidden="1"/>
    </xf>
    <xf numFmtId="0" fontId="12" fillId="0" borderId="0" xfId="14" applyFont="1" applyFill="1">
      <alignment horizontal="left" vertical="center" indent="1"/>
      <protection hidden="1"/>
    </xf>
    <xf numFmtId="0" fontId="12" fillId="0" borderId="0" xfId="14" applyNumberFormat="1" applyFont="1">
      <alignment horizontal="left" vertical="center" indent="1"/>
      <protection hidden="1"/>
    </xf>
    <xf numFmtId="165" fontId="12" fillId="0" borderId="0" xfId="14" applyNumberFormat="1" applyFont="1">
      <alignment horizontal="left" vertical="center" indent="1"/>
      <protection hidden="1"/>
    </xf>
    <xf numFmtId="0" fontId="12" fillId="0" borderId="0" xfId="14" applyFont="1">
      <alignment horizontal="left" vertical="center" indent="1"/>
      <protection hidden="1"/>
    </xf>
    <xf numFmtId="0" fontId="0" fillId="0" borderId="0" xfId="0" quotePrefix="1" applyAlignment="1" applyProtection="1">
      <alignment horizontal="left" vertical="center"/>
      <protection hidden="1"/>
    </xf>
    <xf numFmtId="3" fontId="26" fillId="7" borderId="6" xfId="0" quotePrefix="1" applyNumberFormat="1" applyFont="1" applyFill="1" applyBorder="1" applyAlignment="1" applyProtection="1">
      <alignment horizontal="right" vertical="center" indent="1"/>
      <protection hidden="1"/>
    </xf>
    <xf numFmtId="3" fontId="26" fillId="7" borderId="3" xfId="0" quotePrefix="1" applyNumberFormat="1" applyFont="1" applyFill="1" applyBorder="1" applyAlignment="1" applyProtection="1">
      <alignment horizontal="right" vertical="center" indent="1"/>
      <protection hidden="1"/>
    </xf>
    <xf numFmtId="3" fontId="26" fillId="7" borderId="7" xfId="0" quotePrefix="1" applyNumberFormat="1" applyFont="1" applyFill="1" applyBorder="1" applyAlignment="1" applyProtection="1">
      <alignment horizontal="right" vertical="center" indent="1"/>
      <protection hidden="1"/>
    </xf>
    <xf numFmtId="0" fontId="47" fillId="3" borderId="6" xfId="0" quotePrefix="1" applyFont="1" applyFill="1" applyBorder="1" applyAlignment="1" applyProtection="1">
      <alignment horizontal="right" wrapText="1" indent="1"/>
      <protection hidden="1"/>
    </xf>
    <xf numFmtId="167" fontId="11" fillId="3" borderId="5" xfId="11" applyBorder="1">
      <alignment horizontal="center"/>
      <protection hidden="1"/>
    </xf>
    <xf numFmtId="0" fontId="37" fillId="3" borderId="5" xfId="0" applyFont="1" applyFill="1" applyBorder="1" applyProtection="1">
      <alignment horizontal="left" indent="1"/>
      <protection hidden="1"/>
    </xf>
    <xf numFmtId="0" fontId="37" fillId="3" borderId="5" xfId="5" applyFont="1" applyFill="1" applyBorder="1" applyAlignment="1" applyProtection="1">
      <alignment horizontal="left" indent="1"/>
      <protection hidden="1"/>
    </xf>
    <xf numFmtId="0" fontId="37" fillId="3" borderId="5" xfId="0" applyFont="1" applyFill="1" applyBorder="1" applyAlignment="1" applyProtection="1">
      <alignment horizontal="center" wrapText="1"/>
      <protection hidden="1"/>
    </xf>
    <xf numFmtId="0" fontId="37" fillId="3" borderId="5" xfId="5" applyFont="1" applyFill="1" applyBorder="1" applyAlignment="1" applyProtection="1">
      <alignment horizontal="center" wrapText="1"/>
      <protection hidden="1"/>
    </xf>
    <xf numFmtId="164" fontId="26" fillId="0" borderId="0" xfId="9" applyFill="1">
      <alignment horizontal="center"/>
      <protection hidden="1"/>
    </xf>
    <xf numFmtId="0" fontId="12" fillId="0" borderId="0" xfId="0" applyFont="1" applyAlignment="1">
      <alignment horizontal="center" wrapText="1"/>
    </xf>
    <xf numFmtId="3" fontId="12" fillId="0" borderId="0" xfId="0" applyNumberFormat="1" applyFont="1" applyAlignment="1">
      <alignment horizontal="right" indent="1"/>
    </xf>
    <xf numFmtId="0" fontId="12" fillId="3" borderId="0" xfId="0" applyFont="1" applyFill="1">
      <alignment horizontal="left" indent="1"/>
    </xf>
    <xf numFmtId="3" fontId="26" fillId="0" borderId="0" xfId="0" applyNumberFormat="1" applyFont="1" applyAlignment="1">
      <alignment horizontal="right" indent="1"/>
    </xf>
    <xf numFmtId="3" fontId="58" fillId="9" borderId="0" xfId="10" applyNumberFormat="1" applyFont="1" applyBorder="1" applyAlignment="1" applyProtection="1">
      <alignment horizontal="right" indent="1"/>
    </xf>
    <xf numFmtId="3" fontId="26" fillId="3" borderId="11" xfId="0" applyNumberFormat="1" applyFont="1" applyFill="1" applyBorder="1" applyAlignment="1">
      <alignment horizontal="right" vertical="center" indent="1"/>
    </xf>
    <xf numFmtId="3" fontId="26" fillId="7" borderId="11" xfId="0" applyNumberFormat="1" applyFont="1" applyFill="1" applyBorder="1" applyAlignment="1">
      <alignment horizontal="right" vertical="center" indent="1"/>
    </xf>
    <xf numFmtId="3" fontId="44" fillId="2" borderId="17" xfId="6" applyNumberFormat="1" applyFont="1" applyAlignment="1" applyProtection="1">
      <alignment horizontal="right" vertical="center" indent="1"/>
    </xf>
    <xf numFmtId="3" fontId="44" fillId="2" borderId="23" xfId="6" applyNumberFormat="1" applyFont="1" applyBorder="1" applyAlignment="1" applyProtection="1">
      <alignment horizontal="right" vertical="center" indent="1"/>
    </xf>
    <xf numFmtId="3" fontId="44" fillId="2" borderId="22" xfId="6" applyNumberFormat="1" applyFont="1" applyBorder="1" applyAlignment="1" applyProtection="1">
      <alignment horizontal="right" vertical="center" indent="1"/>
    </xf>
    <xf numFmtId="0" fontId="50" fillId="3" borderId="0" xfId="2" applyFont="1">
      <alignment horizontal="center"/>
      <protection hidden="1"/>
    </xf>
    <xf numFmtId="164" fontId="36" fillId="0" borderId="0" xfId="9" applyFont="1">
      <alignment horizontal="center"/>
      <protection hidden="1"/>
    </xf>
    <xf numFmtId="164" fontId="38" fillId="0" borderId="0" xfId="9" applyFont="1">
      <alignment horizontal="center"/>
      <protection hidden="1"/>
    </xf>
    <xf numFmtId="164" fontId="33" fillId="0" borderId="0" xfId="9" applyFont="1">
      <alignment horizontal="center"/>
      <protection hidden="1"/>
    </xf>
    <xf numFmtId="0" fontId="43" fillId="0" borderId="0" xfId="0" applyFont="1" applyAlignment="1" applyProtection="1">
      <alignment horizontal="center" wrapText="1"/>
      <protection hidden="1"/>
    </xf>
    <xf numFmtId="164" fontId="43" fillId="0" borderId="0" xfId="9" applyFont="1">
      <alignment horizontal="center"/>
      <protection hidden="1"/>
    </xf>
    <xf numFmtId="37" fontId="33" fillId="0" borderId="0" xfId="1" applyNumberFormat="1" applyFont="1" applyFill="1" applyBorder="1" applyAlignment="1" applyProtection="1">
      <alignment horizontal="right" indent="1"/>
      <protection hidden="1"/>
    </xf>
    <xf numFmtId="164" fontId="43" fillId="0" borderId="0" xfId="0" applyNumberFormat="1" applyFont="1" applyAlignment="1" applyProtection="1">
      <alignment horizontal="center"/>
      <protection hidden="1"/>
    </xf>
    <xf numFmtId="0" fontId="34" fillId="0" borderId="0" xfId="0" applyFont="1" applyAlignment="1" applyProtection="1">
      <alignment horizontal="center" wrapText="1"/>
      <protection hidden="1"/>
    </xf>
    <xf numFmtId="3" fontId="0" fillId="3" borderId="11" xfId="0" applyNumberFormat="1" applyFill="1" applyBorder="1" applyAlignment="1">
      <alignment horizontal="right" vertical="center" indent="1"/>
    </xf>
    <xf numFmtId="3" fontId="0" fillId="7" borderId="11" xfId="0" applyNumberFormat="1" applyFill="1" applyBorder="1" applyAlignment="1">
      <alignment horizontal="right" vertical="center" indent="1"/>
    </xf>
    <xf numFmtId="3" fontId="61" fillId="2" borderId="17" xfId="6" applyNumberFormat="1" applyFont="1" applyAlignment="1" applyProtection="1">
      <alignment horizontal="right" vertical="center" indent="1"/>
    </xf>
    <xf numFmtId="3" fontId="61" fillId="2" borderId="23" xfId="6" applyNumberFormat="1" applyFont="1" applyBorder="1" applyAlignment="1" applyProtection="1">
      <alignment horizontal="right" vertical="center" indent="1"/>
    </xf>
    <xf numFmtId="3" fontId="0" fillId="7" borderId="12" xfId="0" applyNumberFormat="1" applyFill="1" applyBorder="1" applyAlignment="1">
      <alignment horizontal="right" vertical="center" indent="1"/>
    </xf>
    <xf numFmtId="3" fontId="26" fillId="7" borderId="2" xfId="0" applyNumberFormat="1" applyFont="1" applyFill="1" applyBorder="1" applyAlignment="1">
      <alignment horizontal="right" vertical="center" indent="1"/>
    </xf>
    <xf numFmtId="3" fontId="26" fillId="7" borderId="15" xfId="0" applyNumberFormat="1" applyFont="1" applyFill="1" applyBorder="1" applyAlignment="1">
      <alignment horizontal="right" vertical="center" indent="1"/>
    </xf>
    <xf numFmtId="3" fontId="44" fillId="2" borderId="10" xfId="6" applyNumberFormat="1" applyFont="1" applyBorder="1" applyAlignment="1" applyProtection="1">
      <alignment horizontal="right" vertical="center" indent="1"/>
    </xf>
    <xf numFmtId="3" fontId="26" fillId="3" borderId="14" xfId="0" applyNumberFormat="1" applyFont="1" applyFill="1" applyBorder="1" applyAlignment="1">
      <alignment horizontal="right" vertical="center" indent="1"/>
    </xf>
    <xf numFmtId="3" fontId="26" fillId="3" borderId="27" xfId="0" applyNumberFormat="1" applyFont="1" applyFill="1" applyBorder="1" applyAlignment="1">
      <alignment horizontal="right" vertical="center" indent="1"/>
    </xf>
    <xf numFmtId="3" fontId="26" fillId="7" borderId="14" xfId="0" applyNumberFormat="1" applyFont="1" applyFill="1" applyBorder="1" applyAlignment="1">
      <alignment horizontal="right" vertical="center" indent="1"/>
    </xf>
    <xf numFmtId="0" fontId="18" fillId="4" borderId="2" xfId="4" applyFont="1" applyAlignment="1" applyProtection="1">
      <alignment horizontal="center" vertical="center" wrapText="1"/>
      <protection hidden="1"/>
    </xf>
    <xf numFmtId="0" fontId="26" fillId="3" borderId="4" xfId="0" applyFont="1" applyFill="1" applyBorder="1" applyAlignment="1" applyProtection="1">
      <alignment horizontal="left" vertical="top" indent="1"/>
      <protection hidden="1"/>
    </xf>
    <xf numFmtId="0" fontId="26" fillId="7" borderId="26" xfId="0" applyFont="1" applyFill="1" applyBorder="1" applyAlignment="1">
      <alignment horizontal="left" vertical="top" wrapText="1" indent="1"/>
    </xf>
    <xf numFmtId="0" fontId="26" fillId="7" borderId="16" xfId="0" applyFont="1" applyFill="1" applyBorder="1" applyAlignment="1">
      <alignment horizontal="left" vertical="top" wrapText="1" indent="1"/>
    </xf>
    <xf numFmtId="0" fontId="44" fillId="2" borderId="22" xfId="6" applyFont="1" applyBorder="1" applyAlignment="1" applyProtection="1">
      <alignment horizontal="left" indent="1"/>
      <protection hidden="1"/>
    </xf>
    <xf numFmtId="0" fontId="39" fillId="0" borderId="45" xfId="0" applyFont="1" applyBorder="1" applyAlignment="1" applyProtection="1">
      <alignment horizontal="center" wrapText="1"/>
      <protection hidden="1"/>
    </xf>
    <xf numFmtId="37" fontId="39" fillId="0" borderId="45" xfId="1" applyNumberFormat="1" applyFont="1" applyFill="1" applyBorder="1" applyAlignment="1" applyProtection="1">
      <alignment horizontal="right" indent="1"/>
      <protection hidden="1"/>
    </xf>
    <xf numFmtId="37" fontId="42" fillId="0" borderId="0" xfId="1" applyNumberFormat="1" applyFont="1" applyFill="1" applyBorder="1" applyAlignment="1" applyProtection="1">
      <alignment horizontal="right" indent="1"/>
    </xf>
    <xf numFmtId="37" fontId="42" fillId="0" borderId="0" xfId="0" applyNumberFormat="1" applyFont="1" applyAlignment="1">
      <alignment horizontal="right" indent="1"/>
    </xf>
    <xf numFmtId="3" fontId="55" fillId="3" borderId="21" xfId="0" applyNumberFormat="1" applyFont="1" applyFill="1" applyBorder="1" applyAlignment="1">
      <alignment horizontal="right" vertical="center" indent="1"/>
    </xf>
    <xf numFmtId="3" fontId="55" fillId="3" borderId="8" xfId="0" applyNumberFormat="1" applyFont="1" applyFill="1" applyBorder="1" applyAlignment="1">
      <alignment horizontal="right" vertical="center" indent="1"/>
    </xf>
    <xf numFmtId="37" fontId="33" fillId="0" borderId="0" xfId="0" applyNumberFormat="1" applyFont="1" applyAlignment="1">
      <alignment horizontal="right" indent="1"/>
    </xf>
    <xf numFmtId="3" fontId="39" fillId="0" borderId="45" xfId="1" applyNumberFormat="1" applyFont="1" applyFill="1" applyBorder="1" applyAlignment="1" applyProtection="1">
      <alignment horizontal="right" indent="1"/>
    </xf>
    <xf numFmtId="3" fontId="39" fillId="0" borderId="45" xfId="0" applyNumberFormat="1" applyFont="1" applyBorder="1" applyAlignment="1">
      <alignment horizontal="right" indent="1"/>
    </xf>
    <xf numFmtId="3" fontId="36" fillId="0" borderId="0" xfId="0" applyNumberFormat="1" applyFont="1" applyAlignment="1">
      <alignment horizontal="right" indent="1"/>
    </xf>
    <xf numFmtId="3" fontId="39" fillId="0" borderId="45" xfId="0" applyNumberFormat="1" applyFont="1" applyBorder="1" applyAlignment="1">
      <alignment horizontal="right" wrapText="1" indent="1"/>
    </xf>
    <xf numFmtId="37" fontId="39" fillId="0" borderId="45" xfId="0" applyNumberFormat="1" applyFont="1" applyBorder="1" applyAlignment="1">
      <alignment horizontal="right" indent="1"/>
    </xf>
    <xf numFmtId="37" fontId="39" fillId="0" borderId="45" xfId="1" applyNumberFormat="1" applyFont="1" applyFill="1" applyBorder="1" applyAlignment="1" applyProtection="1">
      <alignment horizontal="right" indent="1"/>
    </xf>
    <xf numFmtId="37" fontId="39" fillId="0" borderId="0" xfId="0" applyNumberFormat="1" applyFont="1" applyAlignment="1">
      <alignment horizontal="right" indent="1"/>
    </xf>
    <xf numFmtId="3" fontId="26" fillId="7" borderId="11" xfId="0" applyNumberFormat="1" applyFont="1" applyFill="1" applyBorder="1" applyAlignment="1" applyProtection="1">
      <alignment horizontal="right" vertical="center" indent="1"/>
      <protection hidden="1"/>
    </xf>
    <xf numFmtId="3" fontId="26" fillId="7" borderId="12" xfId="0" applyNumberFormat="1" applyFont="1" applyFill="1" applyBorder="1" applyAlignment="1" applyProtection="1">
      <alignment horizontal="right" vertical="center" indent="1"/>
      <protection hidden="1"/>
    </xf>
    <xf numFmtId="3" fontId="19" fillId="3" borderId="8" xfId="0" applyNumberFormat="1" applyFont="1" applyFill="1" applyBorder="1" applyAlignment="1">
      <alignment horizontal="right" vertical="center" indent="1"/>
    </xf>
    <xf numFmtId="3" fontId="44" fillId="2" borderId="17" xfId="6" applyNumberFormat="1" applyFont="1" applyAlignment="1" applyProtection="1">
      <alignment horizontal="right" indent="1"/>
    </xf>
    <xf numFmtId="3" fontId="44" fillId="2" borderId="23" xfId="6" applyNumberFormat="1" applyFont="1" applyBorder="1" applyAlignment="1" applyProtection="1">
      <alignment horizontal="right" indent="1"/>
    </xf>
    <xf numFmtId="3" fontId="26" fillId="3" borderId="8" xfId="0" applyNumberFormat="1" applyFont="1" applyFill="1" applyBorder="1" applyAlignment="1">
      <alignment horizontal="right" indent="1"/>
    </xf>
    <xf numFmtId="3" fontId="42" fillId="0" borderId="0" xfId="0" applyNumberFormat="1" applyFont="1" applyAlignment="1">
      <alignment horizontal="right" indent="1"/>
    </xf>
    <xf numFmtId="3" fontId="44" fillId="0" borderId="0" xfId="0" applyNumberFormat="1" applyFont="1" applyFill="1" applyAlignment="1"/>
    <xf numFmtId="0" fontId="44" fillId="0" borderId="0" xfId="0" applyFont="1" applyFill="1" applyAlignment="1"/>
    <xf numFmtId="38" fontId="60" fillId="0" borderId="0" xfId="0" applyNumberFormat="1" applyFont="1" applyAlignment="1">
      <alignment horizontal="right" indent="1"/>
    </xf>
    <xf numFmtId="38" fontId="44" fillId="0" borderId="0" xfId="0" applyNumberFormat="1" applyFont="1" applyFill="1" applyAlignment="1">
      <alignment horizontal="right" indent="1"/>
    </xf>
    <xf numFmtId="0" fontId="44" fillId="0" borderId="0" xfId="0" applyFont="1" applyFill="1" applyAlignment="1">
      <alignment horizontal="right" indent="1"/>
    </xf>
    <xf numFmtId="3" fontId="44" fillId="0" borderId="0" xfId="0" applyNumberFormat="1" applyFont="1" applyFill="1" applyAlignment="1">
      <alignment horizontal="right" indent="1"/>
    </xf>
    <xf numFmtId="4" fontId="44" fillId="0" borderId="0" xfId="0" applyNumberFormat="1" applyFont="1" applyFill="1" applyAlignment="1">
      <alignment horizontal="right" indent="1"/>
    </xf>
    <xf numFmtId="3" fontId="26" fillId="5" borderId="0" xfId="0" applyNumberFormat="1" applyFont="1" applyFill="1" applyAlignment="1" applyProtection="1">
      <alignment horizontal="right" indent="1"/>
      <protection hidden="1"/>
    </xf>
    <xf numFmtId="3" fontId="0" fillId="0" borderId="0" xfId="0" applyNumberFormat="1" applyAlignment="1">
      <alignment horizontal="right" indent="1"/>
    </xf>
    <xf numFmtId="3" fontId="38" fillId="0" borderId="0" xfId="0" applyNumberFormat="1" applyFont="1" applyAlignment="1">
      <alignment horizontal="right" indent="1"/>
    </xf>
    <xf numFmtId="0" fontId="0" fillId="0" borderId="0" xfId="0" applyAlignment="1" applyProtection="1">
      <alignment horizontal="center" wrapText="1"/>
      <protection hidden="1"/>
    </xf>
    <xf numFmtId="3" fontId="18" fillId="9" borderId="0" xfId="10" applyNumberFormat="1" applyFont="1" applyBorder="1" applyAlignment="1" applyProtection="1">
      <alignment horizontal="right" indent="1"/>
      <protection hidden="1"/>
    </xf>
    <xf numFmtId="3" fontId="26" fillId="0" borderId="0" xfId="0" quotePrefix="1" applyNumberFormat="1" applyFont="1" applyAlignment="1" applyProtection="1">
      <alignment horizontal="left" wrapText="1" indent="1"/>
      <protection hidden="1"/>
    </xf>
    <xf numFmtId="2" fontId="26" fillId="0" borderId="0" xfId="0" applyNumberFormat="1" applyFont="1" applyProtection="1">
      <alignment horizontal="left" indent="1"/>
      <protection hidden="1"/>
    </xf>
    <xf numFmtId="0" fontId="67" fillId="3" borderId="0" xfId="0" applyFont="1" applyFill="1" applyAlignment="1" applyProtection="1">
      <protection hidden="1"/>
    </xf>
    <xf numFmtId="0" fontId="12" fillId="0" borderId="45" xfId="0" applyFont="1" applyBorder="1" applyAlignment="1">
      <alignment horizontal="center" wrapText="1"/>
    </xf>
    <xf numFmtId="3" fontId="12" fillId="0" borderId="45" xfId="0" applyNumberFormat="1" applyFont="1" applyBorder="1" applyAlignment="1">
      <alignment horizontal="right" indent="1"/>
    </xf>
    <xf numFmtId="3" fontId="0" fillId="0" borderId="45" xfId="0" applyNumberFormat="1" applyBorder="1" applyAlignment="1">
      <alignment horizontal="right" indent="1"/>
    </xf>
    <xf numFmtId="0" fontId="0" fillId="0" borderId="0" xfId="0" applyAlignment="1">
      <alignment horizontal="center" wrapText="1"/>
    </xf>
    <xf numFmtId="167" fontId="11" fillId="3" borderId="0" xfId="11" applyAlignment="1">
      <protection hidden="1"/>
    </xf>
    <xf numFmtId="0" fontId="31" fillId="3" borderId="0" xfId="0" applyFont="1" applyFill="1" applyAlignment="1" applyProtection="1">
      <protection hidden="1"/>
    </xf>
    <xf numFmtId="0" fontId="55" fillId="3" borderId="5" xfId="0" applyFont="1" applyFill="1" applyBorder="1">
      <alignment horizontal="left" indent="1"/>
    </xf>
    <xf numFmtId="0" fontId="55" fillId="3" borderId="5" xfId="0" applyFont="1" applyFill="1" applyBorder="1" applyAlignment="1">
      <alignment horizontal="center"/>
    </xf>
    <xf numFmtId="0" fontId="74" fillId="3" borderId="5" xfId="0" applyFont="1" applyFill="1" applyBorder="1" applyAlignment="1">
      <alignment horizontal="center" wrapText="1"/>
    </xf>
    <xf numFmtId="0" fontId="75" fillId="0" borderId="0" xfId="0" applyFont="1" applyProtection="1">
      <alignment horizontal="left" indent="1"/>
      <protection hidden="1"/>
    </xf>
    <xf numFmtId="0" fontId="75" fillId="0" borderId="0" xfId="0" applyFont="1" applyAlignment="1" applyProtection="1">
      <alignment horizontal="center"/>
      <protection hidden="1"/>
    </xf>
    <xf numFmtId="164" fontId="75" fillId="0" borderId="0" xfId="9" applyFont="1" applyFill="1">
      <alignment horizontal="center"/>
      <protection hidden="1"/>
    </xf>
    <xf numFmtId="37" fontId="42" fillId="0" borderId="0" xfId="1" applyNumberFormat="1" applyFont="1" applyFill="1" applyAlignment="1" applyProtection="1">
      <alignment horizontal="right" indent="1"/>
      <protection hidden="1"/>
    </xf>
    <xf numFmtId="0" fontId="65" fillId="3" borderId="4" xfId="0" applyFont="1" applyFill="1" applyBorder="1" applyProtection="1">
      <alignment horizontal="left" indent="1"/>
      <protection hidden="1"/>
    </xf>
    <xf numFmtId="3" fontId="19" fillId="3" borderId="11" xfId="0" applyNumberFormat="1" applyFont="1" applyFill="1" applyBorder="1" applyAlignment="1">
      <alignment horizontal="right" vertical="center" indent="1"/>
    </xf>
    <xf numFmtId="0" fontId="18" fillId="6" borderId="26" xfId="3" applyBorder="1" applyAlignment="1" applyProtection="1">
      <alignment horizontal="center" wrapText="1"/>
      <protection hidden="1"/>
    </xf>
    <xf numFmtId="0" fontId="18" fillId="6" borderId="28" xfId="3" applyBorder="1" applyAlignment="1" applyProtection="1">
      <alignment horizontal="center" wrapText="1"/>
      <protection hidden="1"/>
    </xf>
    <xf numFmtId="0" fontId="18" fillId="6" borderId="29" xfId="3" applyBorder="1" applyAlignment="1" applyProtection="1">
      <alignment horizontal="center" wrapText="1"/>
      <protection hidden="1"/>
    </xf>
    <xf numFmtId="0" fontId="18" fillId="6" borderId="2" xfId="3" applyBorder="1" applyAlignment="1" applyProtection="1">
      <alignment horizontal="center" wrapText="1"/>
      <protection hidden="1"/>
    </xf>
    <xf numFmtId="3" fontId="26" fillId="13" borderId="4" xfId="0" applyNumberFormat="1" applyFont="1" applyFill="1" applyBorder="1" applyAlignment="1" applyProtection="1">
      <alignment horizontal="right" vertical="center" indent="1"/>
      <protection hidden="1"/>
    </xf>
    <xf numFmtId="3" fontId="26" fillId="13" borderId="0" xfId="0" applyNumberFormat="1" applyFont="1" applyFill="1" applyAlignment="1" applyProtection="1">
      <alignment horizontal="right" vertical="center" indent="1"/>
      <protection hidden="1"/>
    </xf>
    <xf numFmtId="3" fontId="26" fillId="13" borderId="8" xfId="0" applyNumberFormat="1" applyFont="1" applyFill="1" applyBorder="1" applyAlignment="1" applyProtection="1">
      <alignment horizontal="right" vertical="center" indent="1"/>
      <protection hidden="1"/>
    </xf>
    <xf numFmtId="3" fontId="26" fillId="13" borderId="4" xfId="0" quotePrefix="1" applyNumberFormat="1" applyFont="1" applyFill="1" applyBorder="1" applyAlignment="1" applyProtection="1">
      <alignment horizontal="right" vertical="center" indent="1"/>
      <protection hidden="1"/>
    </xf>
    <xf numFmtId="3" fontId="26" fillId="13" borderId="0" xfId="0" quotePrefix="1" applyNumberFormat="1" applyFont="1" applyFill="1" applyAlignment="1" applyProtection="1">
      <alignment horizontal="right" vertical="center" indent="1"/>
      <protection hidden="1"/>
    </xf>
    <xf numFmtId="3" fontId="26" fillId="13" borderId="8" xfId="0" quotePrefix="1" applyNumberFormat="1" applyFont="1" applyFill="1" applyBorder="1" applyAlignment="1" applyProtection="1">
      <alignment horizontal="right" vertical="center" indent="1"/>
      <protection hidden="1"/>
    </xf>
    <xf numFmtId="3" fontId="26" fillId="13" borderId="24" xfId="0" quotePrefix="1" applyNumberFormat="1" applyFont="1" applyFill="1" applyBorder="1" applyAlignment="1" applyProtection="1">
      <alignment horizontal="right" vertical="center" indent="1"/>
      <protection hidden="1"/>
    </xf>
    <xf numFmtId="3" fontId="26" fillId="13" borderId="19" xfId="0" quotePrefix="1" applyNumberFormat="1" applyFont="1" applyFill="1" applyBorder="1" applyAlignment="1" applyProtection="1">
      <alignment horizontal="right" vertical="center" indent="1"/>
      <protection hidden="1"/>
    </xf>
    <xf numFmtId="3" fontId="26" fillId="13" borderId="25" xfId="0" quotePrefix="1" applyNumberFormat="1" applyFont="1" applyFill="1" applyBorder="1" applyAlignment="1" applyProtection="1">
      <alignment horizontal="right" vertical="center" indent="1"/>
      <protection hidden="1"/>
    </xf>
    <xf numFmtId="0" fontId="0" fillId="3" borderId="39" xfId="0" applyFill="1" applyBorder="1" applyProtection="1">
      <alignment horizontal="left" indent="1"/>
      <protection hidden="1"/>
    </xf>
    <xf numFmtId="0" fontId="0" fillId="3" borderId="46" xfId="0" applyFill="1" applyBorder="1" applyProtection="1">
      <alignment horizontal="left" indent="1"/>
      <protection hidden="1"/>
    </xf>
    <xf numFmtId="0" fontId="0" fillId="3" borderId="40" xfId="0" applyFill="1" applyBorder="1" applyProtection="1">
      <alignment horizontal="left" indent="1"/>
      <protection hidden="1"/>
    </xf>
    <xf numFmtId="0" fontId="76" fillId="0" borderId="0" xfId="0" applyFont="1" applyProtection="1">
      <alignment horizontal="left" indent="1"/>
      <protection hidden="1"/>
    </xf>
    <xf numFmtId="0" fontId="47" fillId="12" borderId="34" xfId="3" applyFont="1" applyFill="1" applyBorder="1" applyAlignment="1" applyProtection="1">
      <alignment horizontal="left" indent="1"/>
      <protection hidden="1"/>
    </xf>
    <xf numFmtId="0" fontId="47" fillId="12" borderId="35" xfId="3" applyFont="1" applyFill="1" applyBorder="1" applyAlignment="1" applyProtection="1">
      <alignment horizontal="left" indent="1"/>
      <protection hidden="1"/>
    </xf>
    <xf numFmtId="0" fontId="47" fillId="12" borderId="38" xfId="3" applyFont="1" applyFill="1" applyBorder="1" applyAlignment="1" applyProtection="1">
      <alignment horizontal="left" indent="1"/>
      <protection hidden="1"/>
    </xf>
    <xf numFmtId="0" fontId="47" fillId="12" borderId="36" xfId="3" applyFont="1" applyFill="1" applyBorder="1" applyAlignment="1" applyProtection="1">
      <alignment horizontal="left" indent="1"/>
      <protection hidden="1"/>
    </xf>
    <xf numFmtId="0" fontId="26" fillId="3" borderId="26" xfId="0" applyFont="1" applyFill="1" applyBorder="1" applyAlignment="1" applyProtection="1">
      <alignment horizontal="left" vertical="top" wrapText="1" indent="1"/>
      <protection hidden="1"/>
    </xf>
    <xf numFmtId="0" fontId="26" fillId="3" borderId="28" xfId="0" applyFont="1" applyFill="1" applyBorder="1" applyAlignment="1" applyProtection="1">
      <alignment horizontal="left" vertical="top" wrapText="1" indent="1"/>
      <protection hidden="1"/>
    </xf>
    <xf numFmtId="0" fontId="26" fillId="3" borderId="29" xfId="0" applyFont="1" applyFill="1" applyBorder="1" applyAlignment="1" applyProtection="1">
      <alignment horizontal="left" vertical="top" wrapText="1" indent="1"/>
      <protection hidden="1"/>
    </xf>
    <xf numFmtId="0" fontId="26" fillId="3" borderId="0" xfId="0" applyFont="1" applyFill="1" applyAlignment="1" applyProtection="1">
      <alignment horizontal="left" wrapText="1"/>
      <protection hidden="1"/>
    </xf>
    <xf numFmtId="0" fontId="26" fillId="3" borderId="8" xfId="0" applyFont="1" applyFill="1" applyBorder="1" applyAlignment="1" applyProtection="1">
      <alignment horizontal="left" wrapText="1"/>
      <protection hidden="1"/>
    </xf>
    <xf numFmtId="0" fontId="26" fillId="3" borderId="0" xfId="0" applyFont="1" applyFill="1" applyAlignment="1" applyProtection="1">
      <alignment horizontal="left" vertical="top" wrapText="1"/>
      <protection hidden="1"/>
    </xf>
    <xf numFmtId="0" fontId="26" fillId="3" borderId="8" xfId="0" applyFont="1" applyFill="1" applyBorder="1" applyAlignment="1" applyProtection="1">
      <alignment horizontal="left" vertical="top" wrapText="1"/>
      <protection hidden="1"/>
    </xf>
    <xf numFmtId="0" fontId="26" fillId="3" borderId="5" xfId="0" applyFont="1" applyFill="1" applyBorder="1" applyAlignment="1" applyProtection="1">
      <alignment horizontal="left" vertical="top" wrapText="1"/>
      <protection hidden="1"/>
    </xf>
    <xf numFmtId="0" fontId="26" fillId="3" borderId="10" xfId="0" applyFont="1" applyFill="1" applyBorder="1" applyAlignment="1" applyProtection="1">
      <alignment horizontal="left" vertical="top" wrapText="1"/>
      <protection hidden="1"/>
    </xf>
    <xf numFmtId="0" fontId="26" fillId="3" borderId="5" xfId="0" applyFont="1" applyFill="1" applyBorder="1" applyAlignment="1" applyProtection="1">
      <alignment horizontal="left" wrapText="1"/>
      <protection hidden="1"/>
    </xf>
    <xf numFmtId="0" fontId="26" fillId="3" borderId="10" xfId="0" applyFont="1" applyFill="1" applyBorder="1" applyAlignment="1" applyProtection="1">
      <alignment horizontal="left" wrapText="1"/>
      <protection hidden="1"/>
    </xf>
    <xf numFmtId="0" fontId="46" fillId="3" borderId="26" xfId="8" applyFont="1" applyFill="1" applyBorder="1" applyAlignment="1" applyProtection="1">
      <alignment horizontal="left" vertical="top" wrapText="1" indent="1"/>
      <protection hidden="1"/>
    </xf>
    <xf numFmtId="0" fontId="46" fillId="3" borderId="28" xfId="8" applyFont="1" applyFill="1" applyBorder="1" applyAlignment="1" applyProtection="1">
      <alignment horizontal="left" vertical="top" wrapText="1" indent="1"/>
      <protection hidden="1"/>
    </xf>
    <xf numFmtId="0" fontId="46" fillId="3" borderId="29" xfId="8" applyFont="1" applyFill="1" applyBorder="1" applyAlignment="1" applyProtection="1">
      <alignment horizontal="left" vertical="top" wrapText="1" indent="1"/>
      <protection hidden="1"/>
    </xf>
    <xf numFmtId="0" fontId="40" fillId="3" borderId="0" xfId="2">
      <alignment horizontal="center"/>
      <protection hidden="1"/>
    </xf>
    <xf numFmtId="0" fontId="26" fillId="3" borderId="6" xfId="0" applyFont="1" applyFill="1" applyBorder="1" applyAlignment="1" applyProtection="1">
      <alignment horizontal="left" vertical="top" wrapText="1" indent="1"/>
      <protection hidden="1"/>
    </xf>
    <xf numFmtId="0" fontId="26" fillId="3" borderId="3" xfId="0" applyFont="1" applyFill="1" applyBorder="1" applyAlignment="1" applyProtection="1">
      <alignment horizontal="left" vertical="top" wrapText="1" indent="1"/>
      <protection hidden="1"/>
    </xf>
    <xf numFmtId="0" fontId="26" fillId="3" borderId="7" xfId="0" applyFont="1" applyFill="1" applyBorder="1" applyAlignment="1" applyProtection="1">
      <alignment horizontal="left" vertical="top" wrapText="1" indent="1"/>
      <protection hidden="1"/>
    </xf>
    <xf numFmtId="0" fontId="26" fillId="3" borderId="9" xfId="0" applyFont="1" applyFill="1" applyBorder="1" applyAlignment="1" applyProtection="1">
      <alignment horizontal="left" vertical="top" wrapText="1" indent="1"/>
      <protection hidden="1"/>
    </xf>
    <xf numFmtId="0" fontId="26" fillId="3" borderId="5" xfId="0" applyFont="1" applyFill="1" applyBorder="1" applyAlignment="1" applyProtection="1">
      <alignment horizontal="left" vertical="top" wrapText="1" indent="1"/>
      <protection hidden="1"/>
    </xf>
    <xf numFmtId="0" fontId="26" fillId="3" borderId="10" xfId="0" applyFont="1" applyFill="1" applyBorder="1" applyAlignment="1" applyProtection="1">
      <alignment horizontal="left" vertical="top" wrapText="1" indent="1"/>
      <protection hidden="1"/>
    </xf>
    <xf numFmtId="0" fontId="19" fillId="12" borderId="34" xfId="3" applyFont="1" applyFill="1" applyBorder="1" applyAlignment="1" applyProtection="1">
      <alignment horizontal="left" indent="1"/>
      <protection hidden="1"/>
    </xf>
    <xf numFmtId="0" fontId="19" fillId="12" borderId="35" xfId="3" applyFont="1" applyFill="1" applyBorder="1" applyAlignment="1" applyProtection="1">
      <alignment horizontal="left" indent="1"/>
      <protection hidden="1"/>
    </xf>
    <xf numFmtId="0" fontId="19" fillId="12" borderId="38" xfId="3" applyFont="1" applyFill="1" applyBorder="1" applyAlignment="1" applyProtection="1">
      <alignment horizontal="left" indent="1"/>
      <protection hidden="1"/>
    </xf>
    <xf numFmtId="0" fontId="19" fillId="12" borderId="36" xfId="3" applyFont="1" applyFill="1" applyBorder="1" applyAlignment="1" applyProtection="1">
      <alignment horizontal="left" indent="1"/>
      <protection hidden="1"/>
    </xf>
    <xf numFmtId="0" fontId="26" fillId="0" borderId="0" xfId="0" applyFont="1" applyFill="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3" borderId="3" xfId="0" applyFont="1" applyFill="1" applyBorder="1" applyAlignment="1" applyProtection="1">
      <alignment horizontal="left" wrapText="1"/>
      <protection hidden="1"/>
    </xf>
    <xf numFmtId="0" fontId="26" fillId="3" borderId="7" xfId="0" applyFont="1" applyFill="1" applyBorder="1" applyAlignment="1" applyProtection="1">
      <alignment horizontal="left" wrapText="1"/>
      <protection hidden="1"/>
    </xf>
    <xf numFmtId="0" fontId="30" fillId="4" borderId="26" xfId="4" applyBorder="1" applyAlignment="1" applyProtection="1">
      <alignment horizontal="left" vertical="center" indent="1"/>
      <protection hidden="1"/>
    </xf>
    <xf numFmtId="0" fontId="30" fillId="4" borderId="28" xfId="4" applyBorder="1" applyAlignment="1" applyProtection="1">
      <alignment horizontal="left" vertical="center" indent="1"/>
      <protection hidden="1"/>
    </xf>
    <xf numFmtId="0" fontId="30" fillId="4" borderId="29" xfId="4" applyBorder="1" applyAlignment="1" applyProtection="1">
      <alignment horizontal="left" vertical="center" indent="1"/>
      <protection hidden="1"/>
    </xf>
    <xf numFmtId="37" fontId="14" fillId="3" borderId="26" xfId="0" applyNumberFormat="1" applyFont="1" applyFill="1" applyBorder="1" applyAlignment="1">
      <alignment horizontal="right" vertical="center" indent="1"/>
    </xf>
    <xf numFmtId="37" fontId="14" fillId="3" borderId="29" xfId="0" applyNumberFormat="1" applyFont="1" applyFill="1" applyBorder="1" applyAlignment="1">
      <alignment horizontal="right" vertical="center" indent="1"/>
    </xf>
    <xf numFmtId="0" fontId="26" fillId="3" borderId="11" xfId="0" applyFont="1" applyFill="1" applyBorder="1" applyAlignment="1" applyProtection="1">
      <alignment horizontal="left" vertical="center" wrapText="1" indent="1"/>
      <protection hidden="1"/>
    </xf>
    <xf numFmtId="0" fontId="26" fillId="3" borderId="11" xfId="0" applyFont="1" applyFill="1" applyBorder="1" applyAlignment="1" applyProtection="1">
      <alignment horizontal="left" vertical="center"/>
      <protection hidden="1"/>
    </xf>
    <xf numFmtId="0" fontId="22" fillId="3" borderId="2" xfId="0" applyFont="1" applyFill="1" applyBorder="1" applyAlignment="1" applyProtection="1">
      <alignment horizontal="center" vertical="center"/>
      <protection hidden="1"/>
    </xf>
    <xf numFmtId="38" fontId="21" fillId="6" borderId="26" xfId="0" applyNumberFormat="1" applyFont="1" applyFill="1" applyBorder="1" applyAlignment="1" applyProtection="1">
      <alignment horizontal="center" vertical="center" wrapText="1"/>
      <protection hidden="1"/>
    </xf>
    <xf numFmtId="38" fontId="21" fillId="6" borderId="29" xfId="0" applyNumberFormat="1" applyFont="1" applyFill="1" applyBorder="1" applyAlignment="1" applyProtection="1">
      <alignment horizontal="center" vertical="center" wrapText="1"/>
      <protection hidden="1"/>
    </xf>
    <xf numFmtId="0" fontId="40" fillId="3" borderId="5" xfId="2" applyBorder="1">
      <alignment horizontal="center"/>
      <protection hidden="1"/>
    </xf>
    <xf numFmtId="0" fontId="44" fillId="2" borderId="22" xfId="6" applyFont="1" applyBorder="1" applyAlignment="1" applyProtection="1">
      <alignment horizontal="left" vertical="center" indent="1"/>
      <protection hidden="1"/>
    </xf>
    <xf numFmtId="0" fontId="44" fillId="2" borderId="17" xfId="6" applyFont="1" applyAlignment="1" applyProtection="1">
      <alignment horizontal="left" vertical="center" indent="1"/>
      <protection hidden="1"/>
    </xf>
    <xf numFmtId="0" fontId="26" fillId="3" borderId="11" xfId="0" applyFont="1" applyFill="1" applyBorder="1" applyAlignment="1" applyProtection="1">
      <alignment horizontal="left" vertical="center" indent="1"/>
      <protection hidden="1"/>
    </xf>
    <xf numFmtId="0" fontId="45" fillId="6" borderId="2" xfId="3" applyFont="1" applyBorder="1" applyAlignment="1" applyProtection="1">
      <alignment horizontal="center"/>
      <protection hidden="1"/>
    </xf>
    <xf numFmtId="0" fontId="45" fillId="4" borderId="2" xfId="4" applyFont="1" applyAlignment="1" applyProtection="1">
      <alignment horizontal="left" vertical="center" indent="1"/>
      <protection locked="0"/>
    </xf>
    <xf numFmtId="0" fontId="63" fillId="0" borderId="0" xfId="0" applyFont="1" applyAlignment="1" applyProtection="1">
      <alignment horizontal="left" vertical="center" indent="1"/>
      <protection hidden="1"/>
    </xf>
    <xf numFmtId="0" fontId="45" fillId="6" borderId="13" xfId="3" applyFont="1" applyAlignment="1" applyProtection="1">
      <alignment horizontal="left" vertical="center" indent="1"/>
      <protection hidden="1"/>
    </xf>
    <xf numFmtId="0" fontId="10" fillId="3" borderId="26" xfId="0" applyFont="1" applyFill="1" applyBorder="1" applyAlignment="1" applyProtection="1">
      <alignment horizontal="center" vertical="center"/>
      <protection hidden="1"/>
    </xf>
    <xf numFmtId="0" fontId="10" fillId="3" borderId="28" xfId="0" applyFont="1" applyFill="1" applyBorder="1" applyAlignment="1" applyProtection="1">
      <alignment horizontal="center" vertical="center"/>
      <protection hidden="1"/>
    </xf>
    <xf numFmtId="0" fontId="10" fillId="3" borderId="29" xfId="0" applyFont="1" applyFill="1" applyBorder="1" applyAlignment="1" applyProtection="1">
      <alignment horizontal="center" vertical="center"/>
      <protection hidden="1"/>
    </xf>
    <xf numFmtId="0" fontId="26" fillId="0" borderId="0" xfId="7" applyFont="1" applyAlignment="1" applyProtection="1">
      <alignment horizontal="left" vertical="top" wrapText="1" indent="1"/>
      <protection hidden="1"/>
    </xf>
    <xf numFmtId="0" fontId="26" fillId="8" borderId="6" xfId="0" applyFont="1" applyFill="1" applyBorder="1" applyAlignment="1" applyProtection="1">
      <alignment horizontal="left" vertical="top" wrapText="1" indent="1"/>
      <protection hidden="1"/>
    </xf>
    <xf numFmtId="0" fontId="26" fillId="8" borderId="3" xfId="0" applyFont="1" applyFill="1" applyBorder="1" applyAlignment="1" applyProtection="1">
      <alignment horizontal="left" vertical="top" wrapText="1" indent="1"/>
      <protection hidden="1"/>
    </xf>
    <xf numFmtId="0" fontId="26" fillId="8" borderId="7" xfId="0" applyFont="1" applyFill="1" applyBorder="1" applyAlignment="1" applyProtection="1">
      <alignment horizontal="left" vertical="top" wrapText="1" indent="1"/>
      <protection hidden="1"/>
    </xf>
    <xf numFmtId="0" fontId="26" fillId="8" borderId="4" xfId="0" applyFont="1" applyFill="1" applyBorder="1" applyAlignment="1" applyProtection="1">
      <alignment horizontal="left" vertical="top" wrapText="1" indent="1"/>
      <protection hidden="1"/>
    </xf>
    <xf numFmtId="0" fontId="26" fillId="8" borderId="0" xfId="0" applyFont="1" applyFill="1" applyAlignment="1" applyProtection="1">
      <alignment horizontal="left" vertical="top" wrapText="1" indent="1"/>
      <protection hidden="1"/>
    </xf>
    <xf numFmtId="0" fontId="26" fillId="8" borderId="8" xfId="0" applyFont="1" applyFill="1" applyBorder="1" applyAlignment="1" applyProtection="1">
      <alignment horizontal="left" vertical="top" wrapText="1" indent="1"/>
      <protection hidden="1"/>
    </xf>
    <xf numFmtId="0" fontId="26" fillId="8" borderId="9" xfId="0" applyFont="1" applyFill="1" applyBorder="1" applyAlignment="1" applyProtection="1">
      <alignment horizontal="left" vertical="top" wrapText="1" indent="1"/>
      <protection hidden="1"/>
    </xf>
    <xf numFmtId="0" fontId="26" fillId="8" borderId="5" xfId="0" applyFont="1" applyFill="1" applyBorder="1" applyAlignment="1" applyProtection="1">
      <alignment horizontal="left" vertical="top" wrapText="1" indent="1"/>
      <protection hidden="1"/>
    </xf>
    <xf numFmtId="0" fontId="26" fillId="8" borderId="10" xfId="0" applyFont="1" applyFill="1" applyBorder="1" applyAlignment="1" applyProtection="1">
      <alignment horizontal="left" vertical="top" wrapText="1" indent="1"/>
      <protection hidden="1"/>
    </xf>
    <xf numFmtId="0" fontId="30" fillId="4" borderId="2" xfId="4" applyAlignment="1" applyProtection="1">
      <alignment horizontal="left" vertical="center" indent="1"/>
      <protection hidden="1"/>
    </xf>
    <xf numFmtId="0" fontId="26" fillId="3" borderId="12" xfId="0" applyFont="1" applyFill="1" applyBorder="1" applyAlignment="1" applyProtection="1">
      <alignment horizontal="left" vertical="center" indent="1"/>
      <protection hidden="1"/>
    </xf>
    <xf numFmtId="167" fontId="11" fillId="3" borderId="0" xfId="11">
      <alignment horizontal="center"/>
      <protection hidden="1"/>
    </xf>
    <xf numFmtId="0" fontId="30" fillId="4" borderId="4" xfId="12" applyBorder="1" applyProtection="1">
      <alignment horizontal="center"/>
      <protection hidden="1"/>
    </xf>
    <xf numFmtId="0" fontId="30" fillId="4" borderId="0" xfId="12" applyBorder="1" applyProtection="1">
      <alignment horizontal="center"/>
      <protection hidden="1"/>
    </xf>
    <xf numFmtId="0" fontId="32" fillId="0" borderId="0" xfId="2" applyFont="1" applyFill="1">
      <alignment horizontal="center"/>
      <protection hidden="1"/>
    </xf>
    <xf numFmtId="0" fontId="0" fillId="8" borderId="6" xfId="0" applyFill="1" applyBorder="1" applyAlignment="1" applyProtection="1">
      <alignment horizontal="left" vertical="top" wrapText="1" indent="1"/>
      <protection hidden="1"/>
    </xf>
    <xf numFmtId="0" fontId="0" fillId="8" borderId="3" xfId="0" applyFill="1" applyBorder="1" applyAlignment="1" applyProtection="1">
      <alignment horizontal="left" vertical="top" wrapText="1" indent="1"/>
      <protection hidden="1"/>
    </xf>
    <xf numFmtId="0" fontId="0" fillId="8" borderId="7" xfId="0" applyFill="1" applyBorder="1" applyAlignment="1" applyProtection="1">
      <alignment horizontal="left" vertical="top" wrapText="1" indent="1"/>
      <protection hidden="1"/>
    </xf>
    <xf numFmtId="0" fontId="0" fillId="8" borderId="4" xfId="0" applyFill="1" applyBorder="1" applyAlignment="1" applyProtection="1">
      <alignment horizontal="left" vertical="top" wrapText="1" indent="1"/>
      <protection hidden="1"/>
    </xf>
    <xf numFmtId="0" fontId="0" fillId="8" borderId="0" xfId="0" applyFill="1" applyAlignment="1" applyProtection="1">
      <alignment horizontal="left" vertical="top" wrapText="1" indent="1"/>
      <protection hidden="1"/>
    </xf>
    <xf numFmtId="0" fontId="0" fillId="8" borderId="8" xfId="0" applyFill="1" applyBorder="1" applyAlignment="1" applyProtection="1">
      <alignment horizontal="left" vertical="top" wrapText="1" indent="1"/>
      <protection hidden="1"/>
    </xf>
    <xf numFmtId="0" fontId="0" fillId="8" borderId="9" xfId="0" applyFill="1" applyBorder="1" applyAlignment="1" applyProtection="1">
      <alignment horizontal="left" vertical="top" wrapText="1" indent="1"/>
      <protection hidden="1"/>
    </xf>
    <xf numFmtId="0" fontId="0" fillId="8" borderId="5" xfId="0" applyFill="1" applyBorder="1" applyAlignment="1" applyProtection="1">
      <alignment horizontal="left" vertical="top" wrapText="1" indent="1"/>
      <protection hidden="1"/>
    </xf>
    <xf numFmtId="0" fontId="0" fillId="8" borderId="10" xfId="0" applyFill="1" applyBorder="1" applyAlignment="1" applyProtection="1">
      <alignment horizontal="left" vertical="top" wrapText="1" indent="1"/>
      <protection hidden="1"/>
    </xf>
    <xf numFmtId="0" fontId="66" fillId="0" borderId="0" xfId="7" applyFont="1" applyAlignment="1" applyProtection="1">
      <alignment horizontal="left" vertical="center" wrapText="1" indent="1"/>
      <protection hidden="1"/>
    </xf>
    <xf numFmtId="0" fontId="30" fillId="4" borderId="2" xfId="4" applyAlignment="1" applyProtection="1">
      <alignment horizontal="left" vertical="top"/>
      <protection hidden="1"/>
    </xf>
    <xf numFmtId="0" fontId="0" fillId="3" borderId="11" xfId="0" applyFill="1" applyBorder="1" applyAlignment="1" applyProtection="1">
      <alignment horizontal="left" vertical="center" wrapText="1" indent="1"/>
      <protection hidden="1"/>
    </xf>
    <xf numFmtId="0" fontId="0" fillId="3" borderId="11" xfId="0" applyFill="1" applyBorder="1" applyAlignment="1" applyProtection="1">
      <alignment horizontal="left" vertical="center" indent="1"/>
      <protection hidden="1"/>
    </xf>
    <xf numFmtId="0" fontId="61" fillId="2" borderId="22" xfId="6" applyFont="1" applyBorder="1" applyAlignment="1" applyProtection="1">
      <alignment horizontal="left" vertical="center" indent="1"/>
      <protection hidden="1"/>
    </xf>
    <xf numFmtId="0" fontId="61" fillId="2" borderId="17" xfId="6" applyFont="1" applyAlignment="1" applyProtection="1">
      <alignment horizontal="left" vertical="center" indent="1"/>
      <protection hidden="1"/>
    </xf>
    <xf numFmtId="0" fontId="0" fillId="3" borderId="12" xfId="0" applyFill="1" applyBorder="1" applyAlignment="1" applyProtection="1">
      <alignment horizontal="left" vertical="center" indent="1"/>
      <protection hidden="1"/>
    </xf>
    <xf numFmtId="0" fontId="20" fillId="6" borderId="26" xfId="0" applyFont="1" applyFill="1" applyBorder="1" applyAlignment="1" applyProtection="1">
      <alignment horizontal="center" vertical="center"/>
      <protection hidden="1"/>
    </xf>
    <xf numFmtId="0" fontId="20" fillId="6" borderId="29" xfId="0" applyFont="1" applyFill="1" applyBorder="1" applyAlignment="1" applyProtection="1">
      <alignment horizontal="center" vertical="center"/>
      <protection hidden="1"/>
    </xf>
    <xf numFmtId="38" fontId="21" fillId="6" borderId="2" xfId="0" applyNumberFormat="1" applyFont="1" applyFill="1" applyBorder="1" applyAlignment="1" applyProtection="1">
      <alignment horizontal="center" vertical="center" wrapText="1"/>
      <protection hidden="1"/>
    </xf>
    <xf numFmtId="0" fontId="30" fillId="4" borderId="2" xfId="4" applyAlignment="1" applyProtection="1">
      <alignment horizontal="left" vertical="top" indent="1"/>
      <protection locked="0"/>
    </xf>
    <xf numFmtId="0" fontId="14" fillId="3" borderId="0" xfId="0" applyFont="1" applyFill="1" applyProtection="1">
      <alignment horizontal="left" indent="1"/>
      <protection hidden="1"/>
    </xf>
    <xf numFmtId="0" fontId="40" fillId="0" borderId="0" xfId="2" applyFill="1">
      <alignment horizontal="center"/>
      <protection hidden="1"/>
    </xf>
    <xf numFmtId="0" fontId="26" fillId="3" borderId="3" xfId="0" applyFont="1" applyFill="1" applyBorder="1" applyAlignment="1" applyProtection="1">
      <alignment horizontal="left" vertical="center" indent="1"/>
      <protection hidden="1"/>
    </xf>
    <xf numFmtId="0" fontId="26" fillId="3" borderId="4" xfId="0" applyFont="1" applyFill="1" applyBorder="1" applyAlignment="1" applyProtection="1">
      <alignment horizontal="left" vertical="center" indent="1"/>
      <protection hidden="1"/>
    </xf>
    <xf numFmtId="0" fontId="26" fillId="3" borderId="0" xfId="0" applyFont="1" applyFill="1" applyAlignment="1" applyProtection="1">
      <alignment horizontal="left" vertical="center" indent="1"/>
      <protection hidden="1"/>
    </xf>
    <xf numFmtId="0" fontId="26" fillId="3" borderId="8" xfId="0" applyFont="1" applyFill="1" applyBorder="1" applyAlignment="1" applyProtection="1">
      <alignment horizontal="left" vertical="center" indent="1"/>
      <protection hidden="1"/>
    </xf>
    <xf numFmtId="0" fontId="55" fillId="0" borderId="0" xfId="0" applyFont="1" applyProtection="1">
      <alignment horizontal="left" indent="1"/>
      <protection hidden="1"/>
    </xf>
    <xf numFmtId="0" fontId="19" fillId="3" borderId="6" xfId="0" applyFont="1" applyFill="1" applyBorder="1" applyAlignment="1" applyProtection="1">
      <alignment horizontal="left" vertical="center" indent="1"/>
      <protection hidden="1"/>
    </xf>
    <xf numFmtId="0" fontId="19" fillId="3" borderId="3" xfId="0" applyFont="1" applyFill="1" applyBorder="1" applyAlignment="1" applyProtection="1">
      <alignment horizontal="left" vertical="center" indent="1"/>
      <protection hidden="1"/>
    </xf>
    <xf numFmtId="3" fontId="26" fillId="7" borderId="11" xfId="0" applyNumberFormat="1" applyFont="1" applyFill="1" applyBorder="1" applyAlignment="1">
      <alignment horizontal="right" vertical="center" indent="1"/>
    </xf>
    <xf numFmtId="3" fontId="26" fillId="7" borderId="12" xfId="0" applyNumberFormat="1" applyFont="1" applyFill="1" applyBorder="1" applyAlignment="1">
      <alignment horizontal="right" vertical="center" indent="1"/>
    </xf>
    <xf numFmtId="0" fontId="26" fillId="3" borderId="4" xfId="0" applyFont="1" applyFill="1" applyBorder="1" applyAlignment="1" applyProtection="1">
      <alignment horizontal="left" vertical="center" wrapText="1" indent="1"/>
      <protection hidden="1"/>
    </xf>
    <xf numFmtId="0" fontId="26" fillId="3" borderId="0" xfId="0" applyFont="1" applyFill="1" applyAlignment="1" applyProtection="1">
      <alignment horizontal="left" vertical="center" wrapText="1" indent="1"/>
      <protection hidden="1"/>
    </xf>
    <xf numFmtId="3" fontId="26" fillId="3" borderId="11" xfId="0" applyNumberFormat="1" applyFont="1" applyFill="1" applyBorder="1" applyAlignment="1" applyProtection="1">
      <alignment horizontal="right" vertical="center" indent="1"/>
      <protection hidden="1"/>
    </xf>
    <xf numFmtId="3" fontId="26" fillId="3" borderId="12" xfId="0" applyNumberFormat="1" applyFont="1" applyFill="1" applyBorder="1" applyAlignment="1" applyProtection="1">
      <alignment horizontal="right" vertical="center" indent="1"/>
      <protection hidden="1"/>
    </xf>
    <xf numFmtId="0" fontId="26" fillId="3" borderId="6" xfId="0" applyFont="1" applyFill="1" applyBorder="1" applyAlignment="1" applyProtection="1">
      <alignment horizontal="left" vertical="center" indent="1"/>
      <protection hidden="1"/>
    </xf>
    <xf numFmtId="0" fontId="30" fillId="4" borderId="2" xfId="4" applyAlignment="1" applyProtection="1">
      <alignment horizontal="center" vertical="top"/>
      <protection hidden="1"/>
    </xf>
    <xf numFmtId="167" fontId="11" fillId="3" borderId="5" xfId="11" applyBorder="1">
      <alignment horizontal="center"/>
      <protection hidden="1"/>
    </xf>
    <xf numFmtId="0" fontId="68" fillId="3" borderId="0" xfId="0" applyFont="1" applyFill="1" applyProtection="1">
      <alignment horizontal="left" indent="1"/>
      <protection hidden="1"/>
    </xf>
    <xf numFmtId="0" fontId="67" fillId="3" borderId="0" xfId="0" applyFont="1" applyFill="1" applyProtection="1">
      <alignment horizontal="left" indent="1"/>
      <protection hidden="1"/>
    </xf>
    <xf numFmtId="0" fontId="31" fillId="3" borderId="0" xfId="0" applyFont="1" applyFill="1" applyProtection="1">
      <alignment horizontal="left" indent="1"/>
      <protection hidden="1"/>
    </xf>
    <xf numFmtId="0" fontId="0" fillId="3" borderId="0" xfId="0" applyFill="1" applyProtection="1">
      <alignment horizontal="left" indent="1"/>
      <protection hidden="1"/>
    </xf>
    <xf numFmtId="0" fontId="0" fillId="0" borderId="0" xfId="0" applyProtection="1">
      <alignment horizontal="left" indent="1"/>
      <protection hidden="1"/>
    </xf>
    <xf numFmtId="0" fontId="24" fillId="3" borderId="0" xfId="0" applyFont="1" applyFill="1" applyProtection="1">
      <alignment horizontal="left" indent="1"/>
      <protection hidden="1"/>
    </xf>
    <xf numFmtId="0" fontId="24" fillId="3" borderId="0" xfId="0" applyFont="1" applyFill="1" applyAlignment="1" applyProtection="1">
      <alignment horizontal="left" wrapText="1" indent="1"/>
      <protection hidden="1"/>
    </xf>
    <xf numFmtId="0" fontId="40" fillId="0" borderId="5" xfId="2" applyFill="1" applyBorder="1">
      <alignment horizontal="center"/>
      <protection hidden="1"/>
    </xf>
    <xf numFmtId="0" fontId="30" fillId="4" borderId="14" xfId="4" applyBorder="1" applyAlignment="1" applyProtection="1">
      <alignment horizontal="center"/>
      <protection hidden="1"/>
    </xf>
    <xf numFmtId="0" fontId="30" fillId="4" borderId="31" xfId="4" applyBorder="1" applyAlignment="1" applyProtection="1">
      <alignment horizontal="center"/>
      <protection hidden="1"/>
    </xf>
    <xf numFmtId="0" fontId="30" fillId="4" borderId="32" xfId="4" applyBorder="1" applyAlignment="1" applyProtection="1">
      <alignment horizontal="center"/>
      <protection hidden="1"/>
    </xf>
    <xf numFmtId="0" fontId="30" fillId="4" borderId="33" xfId="4" applyBorder="1" applyAlignment="1" applyProtection="1">
      <alignment horizontal="center"/>
      <protection hidden="1"/>
    </xf>
    <xf numFmtId="0" fontId="0" fillId="3" borderId="42" xfId="0" applyFill="1" applyBorder="1" applyProtection="1">
      <alignment horizontal="left" indent="1"/>
      <protection hidden="1"/>
    </xf>
    <xf numFmtId="0" fontId="0" fillId="3" borderId="3" xfId="0" applyFill="1" applyBorder="1" applyProtection="1">
      <alignment horizontal="left" indent="1"/>
      <protection hidden="1"/>
    </xf>
    <xf numFmtId="0" fontId="0" fillId="3" borderId="7" xfId="0" applyFill="1" applyBorder="1" applyProtection="1">
      <alignment horizontal="left" indent="1"/>
      <protection hidden="1"/>
    </xf>
    <xf numFmtId="0" fontId="0" fillId="3" borderId="43" xfId="0" applyFill="1" applyBorder="1" applyProtection="1">
      <alignment horizontal="left" indent="1"/>
      <protection hidden="1"/>
    </xf>
    <xf numFmtId="0" fontId="0" fillId="3" borderId="8" xfId="0" applyFill="1" applyBorder="1" applyProtection="1">
      <alignment horizontal="left" indent="1"/>
      <protection hidden="1"/>
    </xf>
    <xf numFmtId="0" fontId="0" fillId="3" borderId="44" xfId="0" applyFill="1" applyBorder="1" applyProtection="1">
      <alignment horizontal="left" indent="1"/>
      <protection hidden="1"/>
    </xf>
    <xf numFmtId="0" fontId="0" fillId="3" borderId="5" xfId="0" applyFill="1" applyBorder="1" applyProtection="1">
      <alignment horizontal="left" indent="1"/>
      <protection hidden="1"/>
    </xf>
    <xf numFmtId="0" fontId="0" fillId="3" borderId="10" xfId="0" applyFill="1" applyBorder="1" applyProtection="1">
      <alignment horizontal="left" indent="1"/>
      <protection hidden="1"/>
    </xf>
    <xf numFmtId="0" fontId="26" fillId="3" borderId="31" xfId="0" applyFont="1" applyFill="1" applyBorder="1" applyAlignment="1" applyProtection="1">
      <alignment horizontal="left" vertical="top" wrapText="1" indent="1"/>
      <protection hidden="1"/>
    </xf>
    <xf numFmtId="0" fontId="26" fillId="3" borderId="32" xfId="0" applyFont="1" applyFill="1" applyBorder="1" applyAlignment="1" applyProtection="1">
      <alignment horizontal="left" vertical="top" wrapText="1" indent="1"/>
      <protection hidden="1"/>
    </xf>
    <xf numFmtId="0" fontId="26" fillId="3" borderId="33" xfId="0" applyFont="1" applyFill="1" applyBorder="1" applyAlignment="1" applyProtection="1">
      <alignment horizontal="left" vertical="top" wrapText="1" indent="1"/>
      <protection hidden="1"/>
    </xf>
    <xf numFmtId="0" fontId="24" fillId="0" borderId="31" xfId="0" applyFont="1" applyBorder="1" applyAlignment="1" applyProtection="1">
      <alignment horizontal="left" vertical="top" wrapText="1"/>
      <protection hidden="1"/>
    </xf>
    <xf numFmtId="0" fontId="24" fillId="0" borderId="32" xfId="0" applyFont="1" applyBorder="1" applyAlignment="1" applyProtection="1">
      <alignment horizontal="left" vertical="top" wrapText="1"/>
      <protection hidden="1"/>
    </xf>
    <xf numFmtId="0" fontId="24" fillId="0" borderId="33" xfId="0" applyFont="1" applyBorder="1" applyAlignment="1" applyProtection="1">
      <alignment horizontal="left" vertical="top" wrapText="1"/>
      <protection hidden="1"/>
    </xf>
    <xf numFmtId="0" fontId="19" fillId="8" borderId="6" xfId="4" applyFont="1" applyFill="1" applyBorder="1" applyAlignment="1" applyProtection="1">
      <alignment horizontal="left" vertical="top" wrapText="1" indent="1"/>
      <protection hidden="1"/>
    </xf>
    <xf numFmtId="0" fontId="19" fillId="8" borderId="3" xfId="4" applyFont="1" applyFill="1" applyBorder="1" applyAlignment="1" applyProtection="1">
      <alignment horizontal="left" vertical="top" wrapText="1" indent="1"/>
      <protection hidden="1"/>
    </xf>
    <xf numFmtId="0" fontId="19" fillId="8" borderId="7" xfId="4" applyFont="1" applyFill="1" applyBorder="1" applyAlignment="1" applyProtection="1">
      <alignment horizontal="left" vertical="top" wrapText="1" indent="1"/>
      <protection hidden="1"/>
    </xf>
    <xf numFmtId="0" fontId="58" fillId="6" borderId="6" xfId="3" applyFont="1" applyBorder="1" applyAlignment="1" applyProtection="1">
      <alignment horizontal="center" wrapText="1"/>
      <protection hidden="1"/>
    </xf>
    <xf numFmtId="0" fontId="58" fillId="6" borderId="7" xfId="3" applyFont="1" applyBorder="1" applyAlignment="1" applyProtection="1">
      <alignment horizontal="center" wrapText="1"/>
      <protection hidden="1"/>
    </xf>
    <xf numFmtId="0" fontId="32" fillId="3" borderId="0" xfId="2" applyFont="1">
      <alignment horizontal="center"/>
      <protection hidden="1"/>
    </xf>
    <xf numFmtId="167" fontId="12" fillId="3" borderId="0" xfId="0" applyNumberFormat="1" applyFont="1" applyFill="1" applyAlignment="1" applyProtection="1">
      <alignment horizontal="center"/>
      <protection hidden="1"/>
    </xf>
    <xf numFmtId="0" fontId="25" fillId="4" borderId="4" xfId="4" applyFont="1" applyBorder="1" applyAlignment="1" applyProtection="1">
      <alignment horizontal="center"/>
      <protection hidden="1"/>
    </xf>
    <xf numFmtId="0" fontId="25" fillId="4" borderId="0" xfId="4" applyFont="1" applyBorder="1" applyAlignment="1" applyProtection="1">
      <alignment horizontal="center"/>
      <protection hidden="1"/>
    </xf>
    <xf numFmtId="0" fontId="30" fillId="4" borderId="2" xfId="4" applyAlignment="1" applyProtection="1">
      <alignment horizontal="center"/>
      <protection hidden="1"/>
    </xf>
    <xf numFmtId="14" fontId="0" fillId="3" borderId="3" xfId="0" applyNumberFormat="1" applyFill="1" applyBorder="1" applyAlignment="1" applyProtection="1">
      <alignment horizontal="center"/>
      <protection hidden="1"/>
    </xf>
    <xf numFmtId="0" fontId="0" fillId="3" borderId="3" xfId="0" applyFill="1" applyBorder="1" applyAlignment="1" applyProtection="1">
      <alignment horizontal="center"/>
      <protection hidden="1"/>
    </xf>
    <xf numFmtId="0" fontId="4" fillId="3" borderId="0" xfId="0" applyFont="1" applyFill="1" applyAlignment="1" applyProtection="1">
      <alignment horizontal="left" wrapText="1" indent="1"/>
      <protection hidden="1"/>
    </xf>
    <xf numFmtId="0" fontId="4" fillId="3" borderId="30" xfId="0" applyFont="1" applyFill="1" applyBorder="1" applyAlignment="1" applyProtection="1">
      <alignment horizontal="left" wrapText="1" indent="1"/>
      <protection hidden="1"/>
    </xf>
    <xf numFmtId="0" fontId="4" fillId="3" borderId="0" xfId="0" applyFont="1" applyFill="1" applyAlignment="1" applyProtection="1">
      <alignment horizontal="center" wrapText="1"/>
      <protection hidden="1"/>
    </xf>
    <xf numFmtId="0" fontId="4" fillId="3" borderId="30" xfId="0" applyFont="1" applyFill="1" applyBorder="1" applyAlignment="1" applyProtection="1">
      <alignment horizontal="center" wrapText="1"/>
      <protection hidden="1"/>
    </xf>
    <xf numFmtId="0" fontId="40" fillId="3" borderId="2" xfId="2" applyBorder="1">
      <alignment horizontal="center"/>
      <protection hidden="1"/>
    </xf>
  </cellXfs>
  <cellStyles count="16">
    <cellStyle name="Accent1" xfId="10" builtinId="29"/>
    <cellStyle name="Comma" xfId="1" builtinId="3"/>
    <cellStyle name="Explanatory Text" xfId="7" builtinId="53" customBuiltin="1"/>
    <cellStyle name="FICE" xfId="9" xr:uid="{1B640203-6333-4E0C-9D5F-48D8950773C1}"/>
    <cellStyle name="Heading 1" xfId="4" builtinId="16" customBuiltin="1"/>
    <cellStyle name="Heading 2" xfId="3" builtinId="17" customBuiltin="1"/>
    <cellStyle name="Heading 3" xfId="5" builtinId="18"/>
    <cellStyle name="Hyperlink" xfId="8" builtinId="8"/>
    <cellStyle name="Normal" xfId="0" builtinId="0" customBuiltin="1"/>
    <cellStyle name="Normal 2" xfId="14" xr:uid="{D7F14671-F660-45A0-847A-E18A7B519EA7}"/>
    <cellStyle name="Normal 3" xfId="15" xr:uid="{ED184001-AD22-4A13-A357-4894D423B013}"/>
    <cellStyle name="Normal 4 2" xfId="13" xr:uid="{E8014143-0C8A-4868-B732-E3ABC10A87E8}"/>
    <cellStyle name="Section Heading" xfId="12" xr:uid="{1759B162-5452-4910-B3ED-A43FB739634F}"/>
    <cellStyle name="SubDate" xfId="11" xr:uid="{E8A44E66-D2C8-4AC8-AB15-F9AC446D4F05}"/>
    <cellStyle name="Title" xfId="2" builtinId="15" customBuiltin="1"/>
    <cellStyle name="Total" xfId="6" builtinId="25" customBuiltin="1"/>
  </cellStyles>
  <dxfs count="1108">
    <dxf>
      <font>
        <color rgb="FF9C0006"/>
      </font>
      <fill>
        <patternFill>
          <bgColor rgb="FFFFC7CE"/>
        </patternFill>
      </fill>
    </dxf>
    <dxf>
      <font>
        <b/>
        <i val="0"/>
        <color theme="0"/>
      </font>
      <fill>
        <patternFill>
          <bgColor rgb="FFAF211A"/>
        </patternFill>
      </fill>
      <border>
        <left style="thin">
          <color rgb="FFAF211A"/>
        </left>
        <right style="thin">
          <color rgb="FFAF211A"/>
        </right>
        <top style="thin">
          <color rgb="FFAF211A"/>
        </top>
        <bottom style="thin">
          <color rgb="FFAF211A"/>
        </bottom>
      </border>
    </dxf>
    <dxf>
      <fill>
        <patternFill>
          <bgColor rgb="FFFF7C80"/>
        </patternFill>
      </fill>
    </dxf>
    <dxf>
      <font>
        <color theme="0"/>
      </font>
      <fill>
        <patternFill>
          <bgColor rgb="FFAF211A"/>
        </patternFill>
      </fill>
    </dxf>
    <dxf>
      <font>
        <color theme="0"/>
      </font>
      <fill>
        <patternFill>
          <bgColor rgb="FFAF211A"/>
        </patternFill>
      </fill>
    </dxf>
    <dxf>
      <font>
        <b val="0"/>
        <i val="0"/>
        <color theme="9"/>
      </font>
      <fill>
        <patternFill>
          <bgColor rgb="FFAF211A"/>
        </patternFill>
      </fill>
    </dxf>
    <dxf>
      <font>
        <b/>
        <i val="0"/>
        <color theme="0"/>
      </font>
      <fill>
        <patternFill>
          <bgColor rgb="FFAF211A"/>
        </patternFill>
      </fill>
      <border>
        <left style="thin">
          <color rgb="FFAF211A"/>
        </left>
        <right style="thin">
          <color rgb="FFAF211A"/>
        </right>
        <top style="thin">
          <color rgb="FFAF211A"/>
        </top>
        <bottom style="thin">
          <color rgb="FFAF211A"/>
        </bottom>
      </border>
    </dxf>
    <dxf>
      <font>
        <b/>
        <i val="0"/>
        <color theme="0"/>
      </font>
      <fill>
        <patternFill>
          <bgColor rgb="FFAF211A"/>
        </patternFill>
      </fill>
    </dxf>
    <dxf>
      <font>
        <b val="0"/>
        <i val="0"/>
        <color theme="0"/>
      </font>
      <fill>
        <patternFill>
          <bgColor rgb="FFAF211A"/>
        </patternFill>
      </fill>
    </dxf>
    <dxf>
      <font>
        <b/>
        <i val="0"/>
        <color theme="0"/>
      </font>
      <fill>
        <patternFill>
          <bgColor rgb="FFAF211A"/>
        </patternFill>
      </fill>
      <border>
        <left style="thin">
          <color rgb="FFAF211A"/>
        </left>
        <right style="thin">
          <color rgb="FFAF211A"/>
        </right>
        <top style="thin">
          <color rgb="FFAF211A"/>
        </top>
        <bottom style="thin">
          <color rgb="FFAF211A"/>
        </bottom>
      </border>
    </dxf>
    <dxf>
      <font>
        <strike val="0"/>
        <outline val="0"/>
        <shadow val="0"/>
        <u val="none"/>
        <vertAlign val="baseline"/>
        <sz val="12"/>
        <color theme="4"/>
        <name val="Besley"/>
        <family val="2"/>
        <scheme val="minor"/>
      </font>
      <numFmt numFmtId="0" formatCode="General"/>
    </dxf>
    <dxf>
      <font>
        <strike val="0"/>
        <outline val="0"/>
        <shadow val="0"/>
        <u val="none"/>
        <vertAlign val="baseline"/>
        <sz val="12"/>
        <color theme="4"/>
        <name val="Besley"/>
        <family val="2"/>
        <scheme val="minor"/>
      </font>
      <numFmt numFmtId="165" formatCode="[&lt;=9999999]###\-####;\(###\)\ ###\-####"/>
    </dxf>
    <dxf>
      <font>
        <strike val="0"/>
        <outline val="0"/>
        <shadow val="0"/>
        <u val="none"/>
        <vertAlign val="baseline"/>
        <sz val="12"/>
        <color theme="4"/>
        <name val="Besley"/>
        <family val="2"/>
        <scheme val="minor"/>
      </font>
      <numFmt numFmtId="0" formatCode="General"/>
    </dxf>
    <dxf>
      <font>
        <strike val="0"/>
        <outline val="0"/>
        <shadow val="0"/>
        <u val="none"/>
        <vertAlign val="baseline"/>
        <sz val="12"/>
        <color theme="4"/>
        <name val="Besley"/>
        <family val="2"/>
        <scheme val="minor"/>
      </font>
      <fill>
        <patternFill patternType="none">
          <fgColor indexed="64"/>
          <bgColor indexed="65"/>
        </patternFill>
      </fill>
    </dxf>
    <dxf>
      <font>
        <strike val="0"/>
        <outline val="0"/>
        <shadow val="0"/>
        <u val="none"/>
        <vertAlign val="baseline"/>
        <sz val="12"/>
        <color theme="4"/>
        <name val="Besley"/>
        <family val="2"/>
        <scheme val="minor"/>
      </font>
    </dxf>
    <dxf>
      <font>
        <strike val="0"/>
        <outline val="0"/>
        <shadow val="0"/>
        <u val="none"/>
        <vertAlign val="baseline"/>
        <sz val="12"/>
        <color theme="4"/>
        <name val="Besley"/>
        <family val="2"/>
        <scheme val="minor"/>
      </font>
      <alignment horizontal="left" vertical="bottom" textRotation="0" wrapText="0" indent="1" justifyLastLine="0" shrinkToFit="0" readingOrder="0"/>
    </dxf>
    <dxf>
      <font>
        <b/>
        <i val="0"/>
        <strike val="0"/>
        <condense val="0"/>
        <extend val="0"/>
        <outline val="0"/>
        <shadow val="0"/>
        <u val="none"/>
        <vertAlign val="baseline"/>
        <sz val="12"/>
        <color theme="1"/>
        <name val="Besley"/>
        <scheme val="minor"/>
      </font>
      <fill>
        <patternFill patternType="none">
          <fgColor indexed="64"/>
          <bgColor indexed="65"/>
        </patternFill>
      </fill>
      <alignment horizontal="right" vertical="bottom" textRotation="0" wrapText="0" indent="1" justifyLastLine="0" shrinkToFit="0" readingOrder="0"/>
    </dxf>
    <dxf>
      <font>
        <strike val="0"/>
        <outline val="0"/>
        <shadow val="0"/>
        <u val="none"/>
        <vertAlign val="baseline"/>
        <sz val="12"/>
        <color theme="4"/>
        <name val="Besley"/>
        <scheme val="minor"/>
      </font>
      <numFmt numFmtId="6" formatCode="#,##0_);[Red]\(#,##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6" formatCode="#,##0_);[Red]\(#,##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2"/>
        <color auto="1"/>
        <name val="Besley"/>
        <scheme val="minor"/>
      </font>
      <numFmt numFmtId="6" formatCode="#,##0_);[Red]\(#,##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6" formatCode="#,##0_);[Red]\(#,##0\)"/>
      <fill>
        <patternFill patternType="none">
          <fgColor indexed="64"/>
          <bgColor indexed="65"/>
        </patternFill>
      </fill>
      <alignment horizontal="right" vertical="bottom" textRotation="0" wrapText="0" indent="1" justifyLastLine="0" shrinkToFit="0" readingOrder="0"/>
    </dxf>
    <dxf>
      <font>
        <strike val="0"/>
        <outline val="0"/>
        <shadow val="0"/>
        <u val="none"/>
        <vertAlign val="baseline"/>
        <sz val="12"/>
        <color auto="1"/>
        <name val="Besley"/>
        <scheme val="minor"/>
      </font>
      <numFmt numFmtId="6" formatCode="#,##0_);[Red]\(#,##0\)"/>
      <fill>
        <patternFill patternType="none">
          <fgColor indexed="64"/>
          <bgColor auto="1"/>
        </patternFill>
      </fill>
      <alignment horizontal="right" vertical="bottom" textRotation="0" wrapText="0" indent="1" justifyLastLine="0" shrinkToFit="0" readingOrder="0"/>
      <protection locked="1" hidden="0"/>
    </dxf>
    <dxf>
      <font>
        <b/>
        <i val="0"/>
        <strike val="0"/>
        <condense val="0"/>
        <extend val="0"/>
        <outline val="0"/>
        <shadow val="0"/>
        <u val="none"/>
        <vertAlign val="baseline"/>
        <sz val="12"/>
        <color theme="1"/>
        <name val="Besley"/>
        <scheme val="minor"/>
      </font>
      <numFmt numFmtId="6" formatCode="#,##0_);[Red]\(#,##0\)"/>
      <fill>
        <patternFill patternType="none">
          <fgColor indexed="64"/>
          <bgColor indexed="65"/>
        </patternFill>
      </fill>
      <alignment horizontal="right" vertical="bottom" textRotation="0" wrapText="0" indent="1" justifyLastLine="0" shrinkToFit="0" readingOrder="0"/>
    </dxf>
    <dxf>
      <font>
        <strike val="0"/>
        <outline val="0"/>
        <shadow val="0"/>
        <u val="none"/>
        <vertAlign val="baseline"/>
        <sz val="12"/>
        <color auto="1"/>
        <name val="Besley"/>
        <scheme val="minor"/>
      </font>
      <numFmt numFmtId="6" formatCode="#,##0_);[Red]\(#,##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6" formatCode="#,##0_);[Red]\(#,##0\)"/>
      <fill>
        <patternFill patternType="none">
          <fgColor indexed="64"/>
          <bgColor indexed="65"/>
        </patternFill>
      </fill>
      <alignment horizontal="right" vertical="bottom" textRotation="0" wrapText="0" indent="1" justifyLastLine="0" shrinkToFit="0" readingOrder="0"/>
    </dxf>
    <dxf>
      <font>
        <strike val="0"/>
        <outline val="0"/>
        <shadow val="0"/>
        <u val="none"/>
        <vertAlign val="baseline"/>
        <sz val="12"/>
        <color auto="1"/>
        <name val="Besley"/>
        <scheme val="minor"/>
      </font>
      <numFmt numFmtId="6" formatCode="#,##0_);[Red]\(#,##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6" formatCode="#,##0_);[Red]\(#,##0\)"/>
      <fill>
        <patternFill patternType="none">
          <fgColor indexed="64"/>
          <bgColor indexed="65"/>
        </patternFill>
      </fill>
      <alignment horizontal="right" vertical="bottom" textRotation="0" wrapText="0" indent="1" justifyLastLine="0" shrinkToFit="0" readingOrder="0"/>
    </dxf>
    <dxf>
      <font>
        <strike val="0"/>
        <outline val="0"/>
        <shadow val="0"/>
        <u val="none"/>
        <vertAlign val="baseline"/>
        <sz val="12"/>
        <color auto="1"/>
        <name val="Besley"/>
        <scheme val="minor"/>
      </font>
      <numFmt numFmtId="6" formatCode="#,##0_);[Red]\(#,##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6" formatCode="#,##0_);[Red]\(#,##0\)"/>
      <fill>
        <patternFill patternType="none">
          <fgColor indexed="64"/>
          <bgColor indexed="65"/>
        </patternFill>
      </fill>
      <alignment horizontal="right" vertical="bottom" textRotation="0" wrapText="0" indent="1" justifyLastLine="0" shrinkToFit="0" readingOrder="0"/>
    </dxf>
    <dxf>
      <font>
        <strike val="0"/>
        <outline val="0"/>
        <shadow val="0"/>
        <u val="none"/>
        <vertAlign val="baseline"/>
        <sz val="12"/>
        <color auto="1"/>
        <name val="Besley"/>
        <scheme val="minor"/>
      </font>
      <numFmt numFmtId="6" formatCode="#,##0_);[Red]\(#,##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164" formatCode="000000"/>
      <fill>
        <patternFill patternType="none">
          <fgColor indexed="64"/>
          <bgColor indexed="65"/>
        </patternFill>
      </fill>
      <alignment horizontal="center" vertical="bottom" textRotation="0" wrapText="0" indent="0" justifyLastLine="0" shrinkToFit="0" readingOrder="0"/>
      <protection locked="1" hidden="1"/>
    </dxf>
    <dxf>
      <font>
        <strike val="0"/>
        <outline val="0"/>
        <shadow val="0"/>
        <sz val="12"/>
        <name val="Besley"/>
        <scheme val="minor"/>
      </font>
      <fill>
        <patternFill patternType="none">
          <fgColor indexed="64"/>
          <bgColor auto="1"/>
        </patternFill>
      </fill>
      <protection locked="1" hidden="1"/>
    </dxf>
    <dxf>
      <font>
        <b/>
        <i val="0"/>
        <strike val="0"/>
        <condense val="0"/>
        <extend val="0"/>
        <outline val="0"/>
        <shadow val="0"/>
        <u val="none"/>
        <vertAlign val="baseline"/>
        <sz val="12"/>
        <color theme="1"/>
        <name val="Besley"/>
        <scheme val="minor"/>
      </font>
      <numFmt numFmtId="1" formatCode="0"/>
      <fill>
        <patternFill patternType="none">
          <fgColor indexed="64"/>
          <bgColor indexed="65"/>
        </patternFill>
      </fill>
      <alignment horizontal="center" vertical="bottom" textRotation="0" wrapText="0" indent="0" justifyLastLine="0" shrinkToFit="0" readingOrder="0"/>
      <protection locked="1" hidden="1"/>
    </dxf>
    <dxf>
      <font>
        <strike val="0"/>
        <outline val="0"/>
        <shadow val="0"/>
        <u val="none"/>
        <vertAlign val="baseline"/>
        <sz val="12"/>
        <color theme="4"/>
        <name val="Besley"/>
        <scheme val="minor"/>
      </font>
      <numFmt numFmtId="1" formatCode="0"/>
      <fill>
        <patternFill patternType="none">
          <fgColor indexed="64"/>
          <bgColor auto="1"/>
        </patternFill>
      </fill>
      <alignment horizontal="center" vertical="bottom" textRotation="0" wrapText="0" indent="0" justifyLastLine="0" shrinkToFit="0" readingOrder="0"/>
      <protection locked="1" hidden="1"/>
    </dxf>
    <dxf>
      <font>
        <b/>
        <i val="0"/>
        <strike val="0"/>
        <condense val="0"/>
        <extend val="0"/>
        <outline val="0"/>
        <shadow val="0"/>
        <u val="none"/>
        <vertAlign val="baseline"/>
        <sz val="12"/>
        <color theme="1"/>
        <name val="Besley"/>
        <scheme val="minor"/>
      </font>
      <fill>
        <patternFill patternType="none">
          <fgColor indexed="64"/>
          <bgColor indexed="65"/>
        </patternFill>
      </fill>
      <protection locked="1" hidden="1"/>
    </dxf>
    <dxf>
      <font>
        <strike val="0"/>
        <outline val="0"/>
        <shadow val="0"/>
        <u val="none"/>
        <vertAlign val="baseline"/>
        <sz val="12"/>
        <color theme="4"/>
        <name val="Besley"/>
        <scheme val="minor"/>
      </font>
      <fill>
        <patternFill patternType="none">
          <fgColor indexed="64"/>
          <bgColor auto="1"/>
        </patternFill>
      </fill>
      <alignment horizontal="left" vertical="bottom" textRotation="0" wrapText="0" relativeIndent="1" justifyLastLine="0" shrinkToFit="0" readingOrder="0"/>
      <protection locked="1" hidden="1"/>
    </dxf>
    <dxf>
      <font>
        <strike val="0"/>
        <outline val="0"/>
        <shadow val="0"/>
        <sz val="12"/>
        <name val="Besley"/>
        <scheme val="minor"/>
      </font>
      <fill>
        <patternFill patternType="none">
          <fgColor indexed="64"/>
          <bgColor auto="1"/>
        </patternFill>
      </fill>
      <protection locked="1" hidden="1"/>
    </dxf>
    <dxf>
      <font>
        <strike val="0"/>
        <outline val="0"/>
        <shadow val="0"/>
        <u val="none"/>
        <sz val="12"/>
        <color theme="4"/>
        <name val="Besley"/>
        <scheme val="minor"/>
      </font>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1" indent="0" justifyLastLine="0" shrinkToFit="0" readingOrder="0"/>
      <protection locked="1" hidden="1"/>
    </dxf>
    <dxf>
      <font>
        <b/>
        <i val="0"/>
        <strike val="0"/>
        <condense val="0"/>
        <extend val="0"/>
        <outline val="0"/>
        <shadow val="0"/>
        <u val="none"/>
        <vertAlign val="baseline"/>
        <sz val="12"/>
        <color theme="1"/>
        <name val="Besley"/>
        <scheme val="minor"/>
      </font>
      <fill>
        <patternFill patternType="none">
          <fgColor indexed="64"/>
          <bgColor indexed="65"/>
        </patternFill>
      </fill>
      <alignment horizontal="general" vertical="bottom" textRotation="0" wrapText="0" indent="0" justifyLastLine="0" shrinkToFit="0" readingOrder="0"/>
    </dxf>
    <dxf>
      <font>
        <b val="0"/>
        <strike val="0"/>
        <outline val="0"/>
        <shadow val="0"/>
        <u val="none"/>
        <vertAlign val="baseline"/>
        <sz val="12"/>
        <color theme="5" tint="-0.499984740745262"/>
        <name val="Besley"/>
        <scheme val="minor"/>
      </font>
      <numFmt numFmtId="3" formatCode="#,##0"/>
      <fill>
        <patternFill patternType="none">
          <fgColor indexed="64"/>
          <bgColor auto="1"/>
        </patternFill>
      </fill>
      <alignment horizontal="right" vertical="bottom" textRotation="0" wrapText="0" relativeIndent="1" justifyLastLine="0" shrinkToFit="0" readingOrder="0"/>
      <protection locked="1" hidden="1"/>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5" tint="-0.499984740745262"/>
        <name val="Besley"/>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general" vertical="bottom" textRotation="0" wrapText="0" indent="0" justifyLastLine="0" shrinkToFit="0" readingOrder="0"/>
    </dxf>
    <dxf>
      <font>
        <b val="0"/>
        <strike val="0"/>
        <outline val="0"/>
        <shadow val="0"/>
        <u val="none"/>
        <vertAlign val="baseline"/>
        <sz val="12"/>
        <color theme="5" tint="-0.499984740745262"/>
        <name val="Besley"/>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general" vertical="bottom" textRotation="0" wrapText="0" indent="0" justifyLastLine="0" shrinkToFit="0" readingOrder="0"/>
    </dxf>
    <dxf>
      <font>
        <b val="0"/>
        <strike val="0"/>
        <outline val="0"/>
        <shadow val="0"/>
        <u val="none"/>
        <vertAlign val="baseline"/>
        <sz val="12"/>
        <color theme="5" tint="-0.499984740745262"/>
        <name val="Besley"/>
        <scheme val="minor"/>
      </font>
      <numFmt numFmtId="3" formatCode="#,##0"/>
      <fill>
        <patternFill patternType="none">
          <fgColor indexed="64"/>
          <bgColor auto="1"/>
        </patternFill>
      </fill>
      <alignment horizontal="right" vertical="bottom" textRotation="0" wrapText="0" relativeIndent="1" justifyLastLine="0" shrinkToFit="0" readingOrder="0"/>
      <protection locked="1" hidden="1"/>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general" vertical="bottom" textRotation="0" wrapText="0" indent="0" justifyLastLine="0" shrinkToFit="0" readingOrder="0"/>
    </dxf>
    <dxf>
      <font>
        <b val="0"/>
        <strike val="0"/>
        <outline val="0"/>
        <shadow val="0"/>
        <u val="none"/>
        <vertAlign val="baseline"/>
        <sz val="12"/>
        <color theme="5" tint="-0.499984740745262"/>
        <name val="Besley"/>
        <scheme val="minor"/>
      </font>
      <numFmt numFmtId="3" formatCode="#,##0"/>
      <fill>
        <patternFill patternType="none">
          <fgColor indexed="64"/>
          <bgColor auto="1"/>
        </patternFill>
      </fill>
      <alignment horizontal="right" vertical="bottom" textRotation="0" wrapText="0" relativeIndent="1" justifyLastLine="0" shrinkToFit="0" readingOrder="0"/>
      <protection locked="1" hidden="1"/>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general" vertical="bottom" textRotation="0" wrapText="0" indent="0" justifyLastLine="0" shrinkToFit="0" readingOrder="0"/>
    </dxf>
    <dxf>
      <font>
        <b val="0"/>
        <strike val="0"/>
        <outline val="0"/>
        <shadow val="0"/>
        <u val="none"/>
        <vertAlign val="baseline"/>
        <sz val="12"/>
        <color theme="5" tint="-0.499984740745262"/>
        <name val="Besley"/>
        <scheme val="minor"/>
      </font>
      <numFmt numFmtId="3" formatCode="#,##0"/>
      <fill>
        <patternFill patternType="none">
          <fgColor indexed="64"/>
          <bgColor auto="1"/>
        </patternFill>
      </fill>
      <alignment horizontal="right" vertical="bottom" textRotation="0" wrapText="0" relativeIndent="1" justifyLastLine="0" shrinkToFit="0" readingOrder="0"/>
      <protection locked="1" hidden="1"/>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general" vertical="bottom" textRotation="0" wrapText="0" indent="0" justifyLastLine="0" shrinkToFit="0" readingOrder="0"/>
    </dxf>
    <dxf>
      <font>
        <b val="0"/>
        <strike val="0"/>
        <outline val="0"/>
        <shadow val="0"/>
        <u val="none"/>
        <vertAlign val="baseline"/>
        <sz val="12"/>
        <color theme="5" tint="-0.499984740745262"/>
        <name val="Besley"/>
        <scheme val="minor"/>
      </font>
      <numFmt numFmtId="3" formatCode="#,##0"/>
      <fill>
        <patternFill patternType="none">
          <fgColor indexed="64"/>
          <bgColor auto="1"/>
        </patternFill>
      </fill>
      <alignment horizontal="right" vertical="bottom" textRotation="0" wrapText="0" relativeIndent="1" justifyLastLine="0" shrinkToFit="0" readingOrder="0"/>
      <protection locked="1" hidden="1"/>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general" vertical="bottom" textRotation="0" wrapText="0" indent="0" justifyLastLine="0" shrinkToFit="0" readingOrder="0"/>
    </dxf>
    <dxf>
      <font>
        <b val="0"/>
        <strike val="0"/>
        <outline val="0"/>
        <shadow val="0"/>
        <u val="none"/>
        <vertAlign val="baseline"/>
        <sz val="12"/>
        <color theme="5" tint="-0.499984740745262"/>
        <name val="Besley"/>
        <scheme val="minor"/>
      </font>
      <numFmt numFmtId="3" formatCode="#,##0"/>
      <fill>
        <patternFill patternType="none">
          <fgColor indexed="64"/>
          <bgColor auto="1"/>
        </patternFill>
      </fill>
      <alignment horizontal="right" vertical="bottom" textRotation="0" wrapText="0" relativeIndent="1" justifyLastLine="0" shrinkToFit="0" readingOrder="0"/>
      <protection locked="1" hidden="1"/>
    </dxf>
    <dxf>
      <font>
        <b/>
        <i val="0"/>
        <strike val="0"/>
        <condense val="0"/>
        <extend val="0"/>
        <outline val="0"/>
        <shadow val="0"/>
        <u val="none"/>
        <vertAlign val="baseline"/>
        <sz val="12"/>
        <color theme="1"/>
        <name val="Besley"/>
        <scheme val="minor"/>
      </font>
      <numFmt numFmtId="164" formatCode="000000"/>
      <fill>
        <patternFill patternType="none">
          <fgColor indexed="64"/>
          <bgColor indexed="65"/>
        </patternFill>
      </fill>
      <alignment horizontal="center" vertical="bottom" textRotation="0" wrapText="0" indent="0" justifyLastLine="0" shrinkToFit="0" readingOrder="0"/>
      <protection locked="1" hidden="1"/>
    </dxf>
    <dxf>
      <font>
        <b val="0"/>
        <strike val="0"/>
        <outline val="0"/>
        <shadow val="0"/>
        <u val="none"/>
        <vertAlign val="baseline"/>
        <sz val="12"/>
        <color theme="5" tint="-0.499984740745262"/>
        <name val="Besley"/>
        <scheme val="minor"/>
      </font>
      <fill>
        <patternFill patternType="none">
          <fgColor indexed="64"/>
          <bgColor auto="1"/>
        </patternFill>
      </fill>
      <protection locked="1" hidden="1"/>
    </dxf>
    <dxf>
      <font>
        <b/>
        <i val="0"/>
        <strike val="0"/>
        <condense val="0"/>
        <extend val="0"/>
        <outline val="0"/>
        <shadow val="0"/>
        <u val="none"/>
        <vertAlign val="baseline"/>
        <sz val="12"/>
        <color theme="1"/>
        <name val="Besley"/>
        <scheme val="minor"/>
      </font>
      <numFmt numFmtId="1" formatCode="0"/>
      <fill>
        <patternFill patternType="none">
          <fgColor indexed="64"/>
          <bgColor indexed="65"/>
        </patternFill>
      </fill>
      <alignment horizontal="center" vertical="bottom" textRotation="0" wrapText="0" indent="0" justifyLastLine="0" shrinkToFit="0" readingOrder="0"/>
      <protection locked="1" hidden="1"/>
    </dxf>
    <dxf>
      <font>
        <b/>
        <strike val="0"/>
        <outline val="0"/>
        <shadow val="0"/>
        <u val="none"/>
        <vertAlign val="baseline"/>
        <sz val="12"/>
        <color theme="0"/>
        <name val="Besley"/>
        <scheme val="minor"/>
      </font>
      <numFmt numFmtId="1" formatCode="0"/>
      <fill>
        <patternFill patternType="none">
          <fgColor indexed="64"/>
          <bgColor auto="1"/>
        </patternFill>
      </fill>
      <alignment horizontal="center" vertical="bottom" textRotation="0" wrapText="0" indent="0" justifyLastLine="0" shrinkToFit="0" readingOrder="0"/>
      <protection locked="1" hidden="1"/>
    </dxf>
    <dxf>
      <font>
        <b/>
        <i val="0"/>
        <strike val="0"/>
        <condense val="0"/>
        <extend val="0"/>
        <outline val="0"/>
        <shadow val="0"/>
        <u val="none"/>
        <vertAlign val="baseline"/>
        <sz val="12"/>
        <color theme="1"/>
        <name val="Besley"/>
        <scheme val="minor"/>
      </font>
      <fill>
        <patternFill patternType="none">
          <fgColor indexed="64"/>
          <bgColor indexed="65"/>
        </patternFill>
      </fill>
      <protection locked="1" hidden="1"/>
    </dxf>
    <dxf>
      <font>
        <b val="0"/>
        <strike val="0"/>
        <outline val="0"/>
        <shadow val="0"/>
        <u val="none"/>
        <vertAlign val="baseline"/>
        <sz val="12"/>
        <color theme="5" tint="-0.499984740745262"/>
        <name val="Besley"/>
        <scheme val="minor"/>
      </font>
      <fill>
        <patternFill patternType="none">
          <fgColor indexed="64"/>
          <bgColor auto="1"/>
        </patternFill>
      </fill>
      <protection locked="1" hidden="1"/>
    </dxf>
    <dxf>
      <font>
        <strike val="0"/>
        <outline val="0"/>
        <shadow val="0"/>
        <sz val="12"/>
        <name val="Besley"/>
        <scheme val="minor"/>
      </font>
      <fill>
        <patternFill patternType="none">
          <fgColor indexed="64"/>
          <bgColor auto="1"/>
        </patternFill>
      </fill>
      <protection locked="1" hidden="1"/>
    </dxf>
    <dxf>
      <font>
        <b val="0"/>
        <strike val="0"/>
        <outline val="0"/>
        <shadow val="0"/>
        <u val="none"/>
        <vertAlign val="baseline"/>
        <sz val="12"/>
        <color theme="5" tint="-0.499984740745262"/>
        <name val="Besley"/>
        <scheme val="minor"/>
      </font>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1" indent="0" justifyLastLine="0" shrinkToFit="0" readingOrder="0"/>
      <protection locked="1" hidden="1"/>
    </dxf>
    <dxf>
      <font>
        <b/>
        <i val="0"/>
        <strike val="0"/>
        <condense val="0"/>
        <extend val="0"/>
        <outline val="0"/>
        <shadow val="0"/>
        <u val="none"/>
        <vertAlign val="baseline"/>
        <sz val="12"/>
        <color theme="1"/>
        <name val="Besley"/>
        <scheme val="minor"/>
      </font>
      <numFmt numFmtId="4" formatCode="#,##0.00"/>
      <fill>
        <patternFill patternType="none">
          <fgColor indexed="64"/>
          <bgColor indexed="65"/>
        </patternFill>
      </fill>
      <alignment horizontal="right" vertical="bottom" textRotation="0" wrapText="0" indent="1" justifyLastLine="0" shrinkToFit="0" readingOrder="0"/>
    </dxf>
    <dxf>
      <font>
        <strike val="0"/>
        <outline val="0"/>
        <shadow val="0"/>
        <u val="none"/>
        <sz val="12"/>
        <color theme="4"/>
        <name val="Besley"/>
        <scheme val="minor"/>
      </font>
      <numFmt numFmtId="3" formatCode="#,##0"/>
      <fill>
        <patternFill patternType="solid">
          <fgColor indexed="64"/>
          <bgColor rgb="FFFFFFCC"/>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2"/>
        <color theme="4"/>
        <name val="Besley"/>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right" vertical="bottom" textRotation="0" wrapText="0" indent="1" justifyLastLine="0" shrinkToFit="0" readingOrder="0"/>
    </dxf>
    <dxf>
      <font>
        <strike val="0"/>
        <outline val="0"/>
        <shadow val="0"/>
        <u val="none"/>
        <sz val="12"/>
        <color theme="4"/>
        <name val="Besley"/>
        <scheme val="minor"/>
      </font>
      <numFmt numFmtId="3" formatCode="#,##0"/>
      <fill>
        <patternFill patternType="none">
          <fgColor indexed="64"/>
          <bgColor auto="1"/>
        </patternFill>
      </fill>
      <alignment horizontal="right" vertical="bottom" textRotation="0" wrapText="0" indent="1" justifyLastLine="0" shrinkToFit="0" readingOrder="0"/>
      <protection locked="1" hidden="0"/>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right" vertical="bottom" textRotation="0" wrapText="0" indent="1" justifyLastLine="0" shrinkToFit="0" readingOrder="0"/>
    </dxf>
    <dxf>
      <font>
        <strike val="0"/>
        <outline val="0"/>
        <shadow val="0"/>
        <u val="none"/>
        <sz val="12"/>
        <color theme="4"/>
        <name val="Besley"/>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right" vertical="bottom" textRotation="0" wrapText="0" indent="1" justifyLastLine="0" shrinkToFit="0" readingOrder="0"/>
    </dxf>
    <dxf>
      <font>
        <strike val="0"/>
        <outline val="0"/>
        <shadow val="0"/>
        <u val="none"/>
        <sz val="12"/>
        <color theme="4"/>
        <name val="Besley"/>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right" vertical="bottom" textRotation="0" wrapText="0" indent="1" justifyLastLine="0" shrinkToFit="0" readingOrder="0"/>
    </dxf>
    <dxf>
      <font>
        <strike val="0"/>
        <outline val="0"/>
        <shadow val="0"/>
        <u val="none"/>
        <sz val="12"/>
        <color theme="4"/>
        <name val="Besley"/>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right" vertical="bottom" textRotation="0" wrapText="0" indent="1" justifyLastLine="0" shrinkToFit="0" readingOrder="0"/>
    </dxf>
    <dxf>
      <font>
        <strike val="0"/>
        <outline val="0"/>
        <shadow val="0"/>
        <u val="none"/>
        <sz val="12"/>
        <color theme="4"/>
        <name val="Besley"/>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3" formatCode="#,##0"/>
      <fill>
        <patternFill patternType="none">
          <fgColor indexed="64"/>
          <bgColor indexed="65"/>
        </patternFill>
      </fill>
      <alignment horizontal="right" vertical="bottom" textRotation="0" wrapText="0" indent="1" justifyLastLine="0" shrinkToFit="0" readingOrder="0"/>
    </dxf>
    <dxf>
      <font>
        <strike val="0"/>
        <outline val="0"/>
        <shadow val="0"/>
        <u val="none"/>
        <sz val="12"/>
        <color theme="4"/>
        <name val="Besley"/>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1"/>
        <name val="Besley"/>
        <scheme val="minor"/>
      </font>
      <numFmt numFmtId="164" formatCode="000000"/>
      <fill>
        <patternFill patternType="none">
          <fgColor indexed="64"/>
          <bgColor indexed="65"/>
        </patternFill>
      </fill>
      <alignment horizontal="center" vertical="bottom" textRotation="0" wrapText="0" indent="0" justifyLastLine="0" shrinkToFit="0" readingOrder="0"/>
      <protection locked="1" hidden="1"/>
    </dxf>
    <dxf>
      <font>
        <strike val="0"/>
        <outline val="0"/>
        <shadow val="0"/>
        <sz val="12"/>
        <name val="Besley"/>
        <scheme val="minor"/>
      </font>
      <fill>
        <patternFill patternType="none">
          <fgColor indexed="64"/>
          <bgColor auto="1"/>
        </patternFill>
      </fill>
      <protection locked="1" hidden="1"/>
    </dxf>
    <dxf>
      <font>
        <b/>
        <i val="0"/>
        <strike val="0"/>
        <condense val="0"/>
        <extend val="0"/>
        <outline val="0"/>
        <shadow val="0"/>
        <u val="none"/>
        <vertAlign val="baseline"/>
        <sz val="12"/>
        <color theme="1"/>
        <name val="Besley"/>
        <scheme val="minor"/>
      </font>
      <numFmt numFmtId="1" formatCode="0"/>
      <fill>
        <patternFill patternType="none">
          <fgColor indexed="64"/>
          <bgColor indexed="65"/>
        </patternFill>
      </fill>
      <alignment horizontal="center" vertical="bottom" textRotation="0" wrapText="0" indent="0" justifyLastLine="0" shrinkToFit="0" readingOrder="0"/>
      <protection locked="1" hidden="1"/>
    </dxf>
    <dxf>
      <font>
        <strike val="0"/>
        <outline val="0"/>
        <shadow val="0"/>
        <u val="none"/>
        <sz val="12"/>
        <color theme="4"/>
        <name val="Besley"/>
        <scheme val="minor"/>
      </font>
      <numFmt numFmtId="1" formatCode="0"/>
      <fill>
        <patternFill patternType="none">
          <fgColor indexed="64"/>
          <bgColor auto="1"/>
        </patternFill>
      </fill>
      <alignment horizontal="center" vertical="bottom" textRotation="0" wrapText="0" indent="0" justifyLastLine="0" shrinkToFit="0" readingOrder="0"/>
      <protection locked="1" hidden="1"/>
    </dxf>
    <dxf>
      <font>
        <b/>
        <i val="0"/>
        <strike val="0"/>
        <condense val="0"/>
        <extend val="0"/>
        <outline val="0"/>
        <shadow val="0"/>
        <u val="none"/>
        <vertAlign val="baseline"/>
        <sz val="12"/>
        <color theme="1"/>
        <name val="Besley"/>
        <scheme val="minor"/>
      </font>
      <fill>
        <patternFill patternType="none">
          <fgColor indexed="64"/>
          <bgColor indexed="65"/>
        </patternFill>
      </fill>
      <protection locked="1" hidden="1"/>
    </dxf>
    <dxf>
      <font>
        <strike val="0"/>
        <outline val="0"/>
        <shadow val="0"/>
        <u val="none"/>
        <sz val="12"/>
        <color theme="4"/>
        <name val="Besley"/>
        <scheme val="minor"/>
      </font>
      <fill>
        <patternFill patternType="none">
          <fgColor indexed="64"/>
          <bgColor auto="1"/>
        </patternFill>
      </fill>
      <alignment horizontal="left" vertical="bottom" textRotation="0" wrapText="0" relativeIndent="1" justifyLastLine="0" shrinkToFit="0" readingOrder="0"/>
      <protection locked="1" hidden="1"/>
    </dxf>
    <dxf>
      <font>
        <strike val="0"/>
        <outline val="0"/>
        <shadow val="0"/>
        <sz val="12"/>
        <name val="Besley"/>
        <scheme val="minor"/>
      </font>
      <fill>
        <patternFill patternType="none">
          <fgColor indexed="64"/>
          <bgColor auto="1"/>
        </patternFill>
      </fill>
      <protection locked="1" hidden="1"/>
    </dxf>
    <dxf>
      <font>
        <strike val="0"/>
        <outline val="0"/>
        <shadow val="0"/>
        <u val="none"/>
        <sz val="12"/>
        <color theme="4"/>
        <name val="Besley"/>
        <scheme val="minor"/>
      </font>
      <fill>
        <patternFill patternType="none">
          <fgColor indexed="64"/>
          <bgColor auto="1"/>
        </patternFill>
      </fill>
      <protection locked="1" hidden="1"/>
    </dxf>
    <dxf>
      <font>
        <strike val="0"/>
        <outline val="0"/>
        <shadow val="0"/>
        <u val="none"/>
        <sz val="12"/>
        <color theme="4"/>
        <name val="Besley"/>
        <scheme val="minor"/>
      </font>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6" formatCode="#,##0_);[Red]\(#,##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numFmt numFmtId="6" formatCode="#,##0_);[Red]\(#,##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scheme val="minor"/>
      </font>
      <numFmt numFmtId="6" formatCode="#,##0_);[Red]\(#,##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scheme val="minor"/>
      </font>
      <numFmt numFmtId="6" formatCode="#,##0_);[Red]\(#,##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scheme val="minor"/>
      </font>
      <numFmt numFmtId="6" formatCode="#,##0_);[Red]\(#,##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scheme val="minor"/>
      </font>
      <numFmt numFmtId="6" formatCode="#,##0_);[Red]\(#,##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scheme val="minor"/>
      </font>
      <numFmt numFmtId="6" formatCode="#,##0_);[Red]\(#,##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1"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1"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1"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5" formatCode="[&lt;=9999999]###\-####;\(###\)\ ###\-####"/>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8" formatCode="_(* #,##0_);_(* \(#,##0\);_(* &quot;-&quot;??_);_(@_)"/>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fill>
        <patternFill patternType="none">
          <fgColor indexed="64"/>
          <bgColor auto="1"/>
        </patternFill>
      </fill>
      <alignment horizontal="center" vertical="bottom" textRotation="0" wrapText="0" indent="0" justifyLastLine="0" shrinkToFit="0" readingOrder="0"/>
      <protection locked="1" hidden="1"/>
    </dxf>
    <dxf>
      <font>
        <strike val="0"/>
        <outline val="0"/>
        <shadow val="0"/>
        <u val="none"/>
        <vertAlign val="baseline"/>
        <sz val="12"/>
        <color theme="4"/>
        <name val="Besley"/>
        <scheme val="minor"/>
      </font>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3" formatCode="#,##0"/>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indexed="65"/>
        </patternFill>
      </fill>
      <protection locked="1" hidden="1"/>
    </dxf>
    <dxf>
      <font>
        <b val="0"/>
        <i val="0"/>
        <strike val="0"/>
        <condense val="0"/>
        <extend val="0"/>
        <outline val="0"/>
        <shadow val="0"/>
        <u val="none"/>
        <vertAlign val="baseline"/>
        <sz val="12"/>
        <color theme="4"/>
        <name val="Besley"/>
        <scheme val="minor"/>
      </font>
      <numFmt numFmtId="3" formatCode="#,##0"/>
      <alignment horizontal="right" vertical="bottom" textRotation="0" wrapText="0" indent="1" justifyLastLine="0" shrinkToFit="0" readingOrder="0"/>
    </dxf>
    <dxf>
      <font>
        <b val="0"/>
        <i val="0"/>
        <strike val="0"/>
        <condense val="0"/>
        <extend val="0"/>
        <outline val="0"/>
        <shadow val="0"/>
        <u val="none"/>
        <vertAlign val="baseline"/>
        <sz val="12"/>
        <color theme="4"/>
        <name val="Besley"/>
        <scheme val="minor"/>
      </font>
      <numFmt numFmtId="3" formatCode="#,##0"/>
      <fill>
        <patternFill patternType="none">
          <fgColor indexed="64"/>
          <bgColor indexed="65"/>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inor"/>
      </font>
      <protection locked="1" hidden="1"/>
    </dxf>
    <dxf>
      <font>
        <b val="0"/>
        <i val="0"/>
        <strike val="0"/>
        <condense val="0"/>
        <extend val="0"/>
        <outline val="0"/>
        <shadow val="0"/>
        <u val="none"/>
        <vertAlign val="baseline"/>
        <sz val="12"/>
        <color theme="4"/>
        <name val="Besley"/>
        <scheme val="minor"/>
      </font>
      <numFmt numFmtId="164" formatCode="000000"/>
      <fill>
        <patternFill patternType="none">
          <fgColor indexed="64"/>
          <bgColor indexed="65"/>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fill>
        <patternFill patternType="none">
          <fgColor indexed="64"/>
          <bgColor indexed="65"/>
        </patternFill>
      </fill>
      <alignment horizontal="left" vertical="bottom" textRotation="0" wrapText="0" indent="0" justifyLastLine="0" shrinkToFit="0" readingOrder="0"/>
      <protection locked="1" hidden="1"/>
    </dxf>
    <dxf>
      <font>
        <strike val="0"/>
        <outline val="0"/>
        <shadow val="0"/>
        <u val="none"/>
        <vertAlign val="baseline"/>
        <sz val="12"/>
        <name val="Besley"/>
      </font>
      <protection locked="1" hidden="1"/>
    </dxf>
    <dxf>
      <font>
        <b val="0"/>
        <i val="0"/>
        <strike val="0"/>
        <condense val="0"/>
        <extend val="0"/>
        <outline val="0"/>
        <shadow val="0"/>
        <u val="none"/>
        <vertAlign val="baseline"/>
        <sz val="12"/>
        <color theme="4"/>
        <name val="Besley"/>
        <scheme val="minor"/>
      </font>
      <fill>
        <patternFill patternType="none">
          <fgColor indexed="64"/>
          <bgColor indexed="65"/>
        </patternFill>
      </fill>
      <protection locked="1" hidden="1"/>
    </dxf>
    <dxf>
      <font>
        <b val="0"/>
        <i val="0"/>
        <strike val="0"/>
        <condense val="0"/>
        <extend val="0"/>
        <outline val="0"/>
        <shadow val="0"/>
        <u val="none"/>
        <vertAlign val="baseline"/>
        <sz val="12"/>
        <color theme="4"/>
        <name val="Besley"/>
        <scheme val="minor"/>
      </font>
      <numFmt numFmtId="3" formatCode="#,##0"/>
      <alignment horizontal="right" vertical="bottom" textRotation="0" wrapText="0" indent="1" justifyLastLine="0" shrinkToFit="0" readingOrder="0"/>
      <protection locked="1" hidden="1"/>
    </dxf>
    <dxf>
      <font>
        <strike val="0"/>
        <outline val="0"/>
        <shadow val="0"/>
        <u val="none"/>
        <vertAlign val="baseline"/>
        <sz val="12"/>
        <color theme="4"/>
        <name val="Besley"/>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scheme val="minor"/>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inor"/>
      </font>
      <protection locked="1" hidden="1"/>
    </dxf>
    <dxf>
      <font>
        <strike val="0"/>
        <outline val="0"/>
        <shadow val="0"/>
        <u val="none"/>
        <vertAlign val="baseline"/>
        <sz val="12"/>
        <color theme="4"/>
        <name val="Besley"/>
        <scheme val="minor"/>
      </font>
      <numFmt numFmtId="0" formatCode="General"/>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protection locked="1" hidden="1"/>
    </dxf>
    <dxf>
      <font>
        <strike val="0"/>
        <outline val="0"/>
        <shadow val="0"/>
        <u val="none"/>
        <vertAlign val="baseline"/>
        <sz val="12"/>
        <color theme="4"/>
        <name val="Besley"/>
        <scheme val="minor"/>
      </font>
      <fill>
        <patternFill patternType="none">
          <fgColor indexed="64"/>
          <bgColor auto="1"/>
        </patternFill>
      </fill>
      <alignment horizontal="left" vertical="bottom" textRotation="0" wrapText="0" relativeIndent="1" justifyLastLine="0" shrinkToFit="0" readingOrder="0"/>
      <protection locked="1" hidden="1"/>
    </dxf>
    <dxf>
      <font>
        <strike val="0"/>
        <outline val="0"/>
        <shadow val="0"/>
        <u val="none"/>
        <vertAlign val="baseline"/>
        <sz val="12"/>
        <color theme="4"/>
        <name val="Besley"/>
        <scheme val="minor"/>
      </font>
      <fill>
        <patternFill patternType="none">
          <fgColor indexed="64"/>
          <bgColor auto="1"/>
        </patternFill>
      </fill>
      <protection locked="1" hidden="1"/>
    </dxf>
    <dxf>
      <font>
        <strike val="0"/>
        <outline val="0"/>
        <shadow val="0"/>
        <u val="none"/>
        <vertAlign val="baseline"/>
        <sz val="12"/>
        <color theme="4"/>
        <name val="Besley"/>
        <scheme val="minor"/>
      </font>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scheme val="minor"/>
      </font>
      <numFmt numFmtId="3" formatCode="#,##0"/>
      <fill>
        <patternFill patternType="solid">
          <fgColor indexed="64"/>
          <bgColor rgb="FFFFFFCC"/>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scheme val="minor"/>
      </font>
      <numFmt numFmtId="3" formatCode="#,##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inor"/>
      </font>
      <numFmt numFmtId="164" formatCode="000000"/>
      <alignment horizontal="center" vertical="bottom" textRotation="0" wrapText="0" indent="0" justifyLastLine="0" shrinkToFit="0" readingOrder="0"/>
      <protection locked="1" hidden="1"/>
    </dxf>
    <dxf>
      <font>
        <strike val="0"/>
        <outline val="0"/>
        <shadow val="0"/>
        <u val="none"/>
        <vertAlign val="baseline"/>
        <sz val="12"/>
        <color theme="4"/>
        <name val="Besley"/>
        <scheme val="minor"/>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protection locked="1" hidden="1"/>
    </dxf>
    <dxf>
      <font>
        <strike val="0"/>
        <outline val="0"/>
        <shadow val="0"/>
        <u val="none"/>
        <vertAlign val="baseline"/>
        <sz val="12"/>
        <color theme="4"/>
        <name val="Besley"/>
        <scheme val="minor"/>
      </font>
      <fill>
        <patternFill patternType="none">
          <fgColor indexed="64"/>
          <bgColor auto="1"/>
        </patternFill>
      </fill>
      <alignment horizontal="left" vertical="bottom" textRotation="0" wrapText="0" relativeIndent="1" justifyLastLine="0" shrinkToFit="0" readingOrder="0"/>
      <protection locked="1" hidden="1"/>
    </dxf>
    <dxf>
      <font>
        <strike val="0"/>
        <outline val="0"/>
        <shadow val="0"/>
        <u val="none"/>
        <vertAlign val="baseline"/>
        <sz val="12"/>
        <color theme="4"/>
        <name val="Besley"/>
        <scheme val="minor"/>
      </font>
      <fill>
        <patternFill patternType="none">
          <fgColor indexed="64"/>
          <bgColor auto="1"/>
        </patternFill>
      </fill>
      <protection locked="1" hidden="1"/>
    </dxf>
    <dxf>
      <font>
        <strike val="0"/>
        <outline val="0"/>
        <shadow val="0"/>
        <u val="none"/>
        <vertAlign val="baseline"/>
        <sz val="12"/>
        <color theme="4"/>
        <name val="Besley"/>
        <scheme val="minor"/>
      </font>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scheme val="minor"/>
      </font>
      <numFmt numFmtId="164" formatCode="000000"/>
      <alignment horizontal="center" vertical="bottom" textRotation="0" wrapText="0" indent="0" justifyLastLine="0" shrinkToFit="0" readingOrder="0"/>
      <protection locked="1" hidden="1"/>
    </dxf>
    <dxf>
      <font>
        <strike val="0"/>
        <outline val="0"/>
        <shadow val="0"/>
        <u val="none"/>
        <vertAlign val="baseline"/>
        <sz val="12"/>
        <color theme="4"/>
        <name val="Besley"/>
        <scheme val="minor"/>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protection locked="1" hidden="1"/>
    </dxf>
    <dxf>
      <font>
        <strike val="0"/>
        <outline val="0"/>
        <shadow val="0"/>
        <u val="none"/>
        <vertAlign val="baseline"/>
        <sz val="12"/>
        <color theme="4"/>
        <name val="Besley"/>
        <scheme val="minor"/>
      </font>
      <fill>
        <patternFill patternType="none">
          <fgColor indexed="64"/>
          <bgColor auto="1"/>
        </patternFill>
      </fill>
      <alignment horizontal="left" vertical="bottom" textRotation="0" wrapText="0" relativeIndent="1" justifyLastLine="0" shrinkToFit="0" readingOrder="0"/>
      <protection locked="1" hidden="1"/>
    </dxf>
    <dxf>
      <font>
        <strike val="0"/>
        <outline val="0"/>
        <shadow val="0"/>
        <u val="none"/>
        <vertAlign val="baseline"/>
        <sz val="12"/>
        <color theme="4"/>
        <name val="Besley"/>
        <scheme val="minor"/>
      </font>
      <fill>
        <patternFill patternType="none">
          <fgColor indexed="64"/>
          <bgColor auto="1"/>
        </patternFill>
      </fill>
      <protection locked="1" hidden="1"/>
    </dxf>
    <dxf>
      <font>
        <strike val="0"/>
        <outline val="0"/>
        <shadow val="0"/>
        <u val="none"/>
        <vertAlign val="baseline"/>
        <sz val="12"/>
        <color theme="4"/>
        <name val="Besley"/>
        <scheme val="minor"/>
      </font>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scheme val="minor"/>
      </font>
      <numFmt numFmtId="3" formatCode="#,##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scheme val="minor"/>
      </font>
      <numFmt numFmtId="3" formatCode="#,##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inor"/>
      </font>
      <numFmt numFmtId="164" formatCode="000000"/>
      <alignment horizontal="center" vertical="bottom" textRotation="0" wrapText="0" indent="0" justifyLastLine="0" shrinkToFit="0" readingOrder="0"/>
      <protection locked="1" hidden="1"/>
    </dxf>
    <dxf>
      <font>
        <strike val="0"/>
        <outline val="0"/>
        <shadow val="0"/>
        <u val="none"/>
        <vertAlign val="baseline"/>
        <sz val="12"/>
        <color theme="4"/>
        <name val="Besley"/>
        <scheme val="minor"/>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inor"/>
      </font>
      <protection locked="1" hidden="1"/>
    </dxf>
    <dxf>
      <font>
        <strike val="0"/>
        <outline val="0"/>
        <shadow val="0"/>
        <u val="none"/>
        <vertAlign val="baseline"/>
        <sz val="12"/>
        <color theme="4"/>
        <name val="Besley"/>
        <scheme val="minor"/>
      </font>
      <fill>
        <patternFill patternType="none">
          <fgColor indexed="64"/>
          <bgColor auto="1"/>
        </patternFill>
      </fill>
      <alignment horizontal="left" vertical="bottom" textRotation="0" wrapText="0" relativeIndent="1" justifyLastLine="0" shrinkToFit="0" readingOrder="0"/>
      <protection locked="1" hidden="1"/>
    </dxf>
    <dxf>
      <font>
        <strike val="0"/>
        <outline val="0"/>
        <shadow val="0"/>
        <u val="none"/>
        <vertAlign val="baseline"/>
        <sz val="12"/>
        <color theme="4"/>
        <name val="Besley"/>
        <scheme val="minor"/>
      </font>
      <fill>
        <patternFill patternType="none">
          <fgColor indexed="64"/>
          <bgColor auto="1"/>
        </patternFill>
      </fill>
      <protection locked="1" hidden="1"/>
    </dxf>
    <dxf>
      <font>
        <strike val="0"/>
        <outline val="0"/>
        <shadow val="0"/>
        <u val="none"/>
        <vertAlign val="baseline"/>
        <sz val="12"/>
        <color theme="4"/>
        <name val="Besley"/>
        <scheme val="minor"/>
      </font>
      <fill>
        <patternFill patternType="none">
          <fgColor indexed="64"/>
          <bgColor auto="1"/>
        </patternFill>
      </fill>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164" formatCode="000000"/>
      <alignment horizontal="center" vertical="bottom" textRotation="0" wrapText="0" indent="0" justifyLastLine="0" shrinkToFit="0" readingOrder="0"/>
      <protection locked="1" hidden="1"/>
    </dxf>
    <dxf>
      <font>
        <strike val="0"/>
        <outline val="0"/>
        <shadow val="0"/>
        <u val="none"/>
        <vertAlign val="baseline"/>
        <sz val="12"/>
        <name val="Besley"/>
        <family val="2"/>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family val="2"/>
        <scheme val="minor"/>
      </font>
      <fill>
        <patternFill patternType="none">
          <fgColor indexed="64"/>
          <bgColor indexed="65"/>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family val="2"/>
        <scheme val="minor"/>
      </font>
      <numFmt numFmtId="0" formatCode="General"/>
      <alignment horizontal="center" vertical="bottom" textRotation="0" indent="0" justifyLastLine="0" shrinkToFit="0" readingOrder="0"/>
      <protection locked="1" hidden="1"/>
    </dxf>
    <dxf>
      <font>
        <b val="0"/>
        <i val="0"/>
        <strike val="0"/>
        <condense val="0"/>
        <extend val="0"/>
        <outline val="0"/>
        <shadow val="0"/>
        <u val="none"/>
        <vertAlign val="baseline"/>
        <sz val="12"/>
        <color theme="4"/>
        <name val="Besley"/>
        <family val="2"/>
        <scheme val="minor"/>
      </font>
      <protection locked="1" hidden="1"/>
    </dxf>
    <dxf>
      <font>
        <strike val="0"/>
        <outline val="0"/>
        <shadow val="0"/>
        <u val="none"/>
        <vertAlign val="baseline"/>
        <sz val="12"/>
        <name val="Besley"/>
        <family val="2"/>
      </font>
      <fill>
        <patternFill patternType="none">
          <fgColor indexed="64"/>
          <bgColor auto="1"/>
        </patternFill>
      </fill>
      <alignment horizontal="left" vertical="bottom" textRotation="0" wrapText="0" indent="1" justifyLastLine="0" shrinkToFit="0" readingOrder="0"/>
      <protection locked="1" hidden="1"/>
    </dxf>
    <dxf>
      <font>
        <strike val="0"/>
        <outline val="0"/>
        <shadow val="0"/>
        <u val="none"/>
        <vertAlign val="baseline"/>
        <sz val="12"/>
        <name val="Besley"/>
        <family val="2"/>
      </font>
      <fill>
        <patternFill patternType="none">
          <fgColor indexed="64"/>
          <bgColor auto="1"/>
        </patternFill>
      </fill>
      <protection locked="1" hidden="1"/>
    </dxf>
    <dxf>
      <font>
        <strike val="0"/>
        <outline val="0"/>
        <shadow val="0"/>
        <u val="none"/>
        <vertAlign val="baseline"/>
        <sz val="12"/>
        <name val="Besley"/>
        <family val="2"/>
      </font>
      <fill>
        <patternFill patternType="none">
          <fgColor indexed="64"/>
          <bgColor auto="1"/>
        </patternFill>
      </fill>
      <alignment horizontal="right" vertical="bottom" textRotation="0" wrapText="0" indent="1" justifyLastLine="0" shrinkToFit="0" readingOrder="0"/>
      <protection locked="1" hidden="1"/>
    </dxf>
    <dxf>
      <font>
        <strike val="0"/>
        <outline val="0"/>
        <shadow val="0"/>
        <u val="none"/>
        <vertAlign val="baseline"/>
        <sz val="12"/>
        <name val="Besley"/>
        <family val="2"/>
      </font>
      <fill>
        <patternFill patternType="none">
          <fgColor indexed="64"/>
          <bgColor auto="1"/>
        </patternFill>
      </fill>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protection locked="1" hidden="1"/>
    </dxf>
    <dxf>
      <font>
        <strike val="0"/>
        <outline val="0"/>
        <shadow val="0"/>
        <u val="none"/>
        <vertAlign val="baseline"/>
        <sz val="12"/>
        <color theme="4"/>
        <name val="Besley"/>
        <family val="2"/>
        <scheme val="minor"/>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family val="2"/>
        <scheme val="minor"/>
      </font>
      <fill>
        <patternFill patternType="none">
          <fgColor indexed="64"/>
          <bgColor indexed="65"/>
        </patternFill>
      </fill>
      <alignment horizontal="center" vertical="bottom" textRotation="0" indent="0" justifyLastLine="0" shrinkToFit="0" readingOrder="0"/>
      <protection locked="1" hidden="1"/>
    </dxf>
    <dxf>
      <font>
        <b val="0"/>
        <i val="0"/>
        <strike val="0"/>
        <condense val="0"/>
        <extend val="0"/>
        <outline val="0"/>
        <shadow val="0"/>
        <u val="none"/>
        <vertAlign val="baseline"/>
        <sz val="12"/>
        <color theme="4"/>
        <name val="Besley"/>
        <family val="2"/>
        <scheme val="minor"/>
      </font>
      <numFmt numFmtId="0" formatCode="General"/>
      <alignment horizontal="center" vertical="bottom" textRotation="0" indent="0" justifyLastLine="0" shrinkToFit="0" readingOrder="0"/>
      <protection locked="1" hidden="1"/>
    </dxf>
    <dxf>
      <font>
        <b val="0"/>
        <i val="0"/>
        <strike val="0"/>
        <condense val="0"/>
        <extend val="0"/>
        <outline val="0"/>
        <shadow val="0"/>
        <u val="none"/>
        <vertAlign val="baseline"/>
        <sz val="12"/>
        <color theme="4"/>
        <name val="Besley"/>
        <family val="2"/>
        <scheme val="minor"/>
      </font>
      <protection locked="1" hidden="1"/>
    </dxf>
    <dxf>
      <font>
        <strike val="0"/>
        <outline val="0"/>
        <shadow val="0"/>
        <u val="none"/>
        <vertAlign val="baseline"/>
        <sz val="12"/>
        <color theme="4"/>
        <name val="Besley"/>
        <family val="2"/>
        <scheme val="minor"/>
      </font>
      <fill>
        <patternFill patternType="none">
          <fgColor indexed="64"/>
          <bgColor auto="1"/>
        </patternFill>
      </fill>
      <alignment horizontal="left" vertical="bottom" textRotation="0" wrapText="0" relativeIndent="1" justifyLastLine="0" shrinkToFit="0" readingOrder="0"/>
      <protection locked="1" hidden="1"/>
    </dxf>
    <dxf>
      <font>
        <strike val="0"/>
        <outline val="0"/>
        <shadow val="0"/>
        <u val="none"/>
        <vertAlign val="baseline"/>
        <sz val="12"/>
        <name val="Besley"/>
        <family val="2"/>
      </font>
      <fill>
        <patternFill patternType="none">
          <fgColor indexed="64"/>
          <bgColor auto="1"/>
        </patternFill>
      </fill>
      <protection locked="1" hidden="1"/>
    </dxf>
    <dxf>
      <font>
        <strike val="0"/>
        <outline val="0"/>
        <shadow val="0"/>
        <u val="none"/>
        <vertAlign val="baseline"/>
        <sz val="12"/>
        <color theme="4"/>
        <name val="Besley"/>
        <family val="2"/>
        <scheme val="minor"/>
      </font>
      <fill>
        <patternFill patternType="none">
          <fgColor indexed="64"/>
          <bgColor auto="1"/>
        </patternFill>
      </fill>
      <protection locked="1" hidden="1"/>
    </dxf>
    <dxf>
      <font>
        <strike val="0"/>
        <outline val="0"/>
        <shadow val="0"/>
        <u val="none"/>
        <vertAlign val="baseline"/>
        <sz val="12"/>
        <name val="Besley"/>
        <family val="2"/>
      </font>
      <fill>
        <patternFill patternType="none">
          <fgColor indexed="64"/>
          <bgColor auto="1"/>
        </patternFill>
      </fill>
      <alignment horizontal="center" vertical="bottom" textRotation="0" wrapText="1" indent="0"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164" formatCode="000000"/>
      <alignment horizontal="center" vertical="bottom" textRotation="0" wrapText="0" indent="0" justifyLastLine="0" shrinkToFit="0" readingOrder="0"/>
      <protection locked="1" hidden="1"/>
    </dxf>
    <dxf>
      <font>
        <strike val="0"/>
        <outline val="0"/>
        <shadow val="0"/>
        <u val="none"/>
        <vertAlign val="baseline"/>
        <sz val="12"/>
        <name val="Besley"/>
        <family val="2"/>
      </font>
      <numFmt numFmtId="164" formatCode="000000"/>
      <fill>
        <patternFill patternType="none">
          <fgColor indexed="64"/>
          <bgColor auto="1"/>
        </patternFill>
      </fill>
      <alignment horizontal="center" vertical="bottom" textRotation="0" wrapText="0" indent="0" justifyLastLine="0" shrinkToFit="0" readingOrder="0"/>
      <protection locked="1" hidden="1"/>
    </dxf>
    <dxf>
      <fill>
        <patternFill patternType="none">
          <fgColor indexed="64"/>
          <bgColor indexed="65"/>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family val="2"/>
        <scheme val="minor"/>
      </font>
      <numFmt numFmtId="0" formatCode="General"/>
      <alignment horizontal="center" vertical="bottom" textRotation="0" indent="0" justifyLastLine="0" shrinkToFit="0" readingOrder="0"/>
      <protection locked="1" hidden="1"/>
    </dxf>
    <dxf>
      <font>
        <b val="0"/>
        <i val="0"/>
        <strike val="0"/>
        <condense val="0"/>
        <extend val="0"/>
        <outline val="0"/>
        <shadow val="0"/>
        <u val="none"/>
        <vertAlign val="baseline"/>
        <sz val="12"/>
        <color theme="4"/>
        <name val="Besley"/>
        <family val="2"/>
        <scheme val="minor"/>
      </font>
      <alignment horizontal="left" vertical="bottom" textRotation="0" wrapText="0" indent="2" justifyLastLine="0" shrinkToFit="0" readingOrder="0"/>
      <protection locked="1" hidden="1"/>
    </dxf>
    <dxf>
      <font>
        <strike val="0"/>
        <outline val="0"/>
        <shadow val="0"/>
        <u val="none"/>
        <vertAlign val="baseline"/>
        <sz val="12"/>
        <name val="Besley"/>
        <family val="2"/>
      </font>
      <fill>
        <patternFill patternType="none">
          <fgColor indexed="64"/>
          <bgColor auto="1"/>
        </patternFill>
      </fill>
      <alignment horizontal="left" vertical="bottom" textRotation="0" relativeIndent="1" justifyLastLine="0" shrinkToFit="0" readingOrder="0"/>
      <protection locked="1" hidden="1"/>
    </dxf>
    <dxf>
      <font>
        <strike val="0"/>
        <outline val="0"/>
        <shadow val="0"/>
        <u val="none"/>
        <vertAlign val="baseline"/>
        <sz val="12"/>
        <name val="Besley"/>
        <family val="2"/>
      </font>
      <fill>
        <patternFill patternType="none">
          <fgColor indexed="64"/>
          <bgColor auto="1"/>
        </patternFill>
      </fill>
      <protection locked="1" hidden="1"/>
    </dxf>
    <dxf>
      <font>
        <strike val="0"/>
        <outline val="0"/>
        <shadow val="0"/>
        <u val="none"/>
        <vertAlign val="baseline"/>
        <sz val="12"/>
        <name val="Besley"/>
        <family val="2"/>
      </font>
      <fill>
        <patternFill patternType="none">
          <fgColor indexed="64"/>
          <bgColor auto="1"/>
        </patternFill>
      </fill>
      <protection locked="1" hidden="1"/>
    </dxf>
    <dxf>
      <font>
        <strike val="0"/>
        <outline val="0"/>
        <shadow val="0"/>
        <u val="none"/>
        <vertAlign val="baseline"/>
        <sz val="12"/>
        <name val="Besley"/>
        <family val="2"/>
      </font>
      <fill>
        <patternFill patternType="none">
          <fgColor indexed="64"/>
          <bgColor auto="1"/>
        </patternFill>
      </fill>
      <alignment horizontal="center" vertical="bottom" textRotation="0" wrapText="1" indent="0"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color theme="4"/>
        <name val="Besley"/>
        <family val="2"/>
        <scheme val="min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164" formatCode="000000"/>
      <alignment horizontal="center" vertical="bottom" textRotation="0" wrapText="0" indent="0" justifyLastLine="0" shrinkToFit="0" readingOrder="0"/>
      <protection locked="1" hidden="1"/>
    </dxf>
    <dxf>
      <font>
        <strike val="0"/>
        <outline val="0"/>
        <shadow val="0"/>
        <u val="none"/>
        <vertAlign val="baseline"/>
        <sz val="12"/>
        <color theme="4"/>
        <name val="Besley"/>
        <family val="2"/>
        <scheme val="minor"/>
      </font>
      <numFmt numFmtId="164" formatCode="000000"/>
      <fill>
        <patternFill patternType="none">
          <fgColor indexed="64"/>
          <bgColor auto="1"/>
        </patternFill>
      </fill>
      <protection locked="1" hidden="1"/>
    </dxf>
    <dxf>
      <fill>
        <patternFill patternType="none">
          <fgColor indexed="64"/>
          <bgColor indexed="65"/>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family val="2"/>
        <scheme val="minor"/>
      </font>
      <numFmt numFmtId="0" formatCode="General"/>
      <alignment horizontal="center" vertical="bottom" textRotation="0" indent="0" justifyLastLine="0" shrinkToFit="0" readingOrder="0"/>
      <protection locked="1" hidden="1"/>
    </dxf>
    <dxf>
      <font>
        <b val="0"/>
        <i val="0"/>
        <strike val="0"/>
        <condense val="0"/>
        <extend val="0"/>
        <outline val="0"/>
        <shadow val="0"/>
        <u val="none"/>
        <vertAlign val="baseline"/>
        <sz val="12"/>
        <color theme="4"/>
        <name val="Besley"/>
        <family val="2"/>
        <scheme val="minor"/>
      </font>
      <alignment horizontal="left" vertical="bottom" textRotation="0" wrapText="0" indent="2" justifyLastLine="0" shrinkToFit="0" readingOrder="0"/>
      <protection locked="1" hidden="1"/>
    </dxf>
    <dxf>
      <font>
        <strike val="0"/>
        <outline val="0"/>
        <shadow val="0"/>
        <u val="none"/>
        <vertAlign val="baseline"/>
        <sz val="12"/>
        <color theme="4"/>
        <name val="Besley"/>
        <family val="2"/>
        <scheme val="minor"/>
      </font>
      <fill>
        <patternFill patternType="none">
          <fgColor indexed="64"/>
          <bgColor auto="1"/>
        </patternFill>
      </fill>
      <alignment horizontal="left" vertical="bottom" textRotation="0" relativeIndent="1" justifyLastLine="0" shrinkToFit="0" readingOrder="0"/>
      <protection locked="1" hidden="1"/>
    </dxf>
    <dxf>
      <font>
        <strike val="0"/>
        <outline val="0"/>
        <shadow val="0"/>
        <u val="none"/>
        <vertAlign val="baseline"/>
        <sz val="12"/>
        <color theme="4"/>
        <name val="Besley"/>
        <family val="2"/>
        <scheme val="minor"/>
      </font>
      <fill>
        <patternFill patternType="none">
          <fgColor indexed="64"/>
          <bgColor auto="1"/>
        </patternFill>
      </fill>
      <protection locked="1" hidden="1"/>
    </dxf>
    <dxf>
      <font>
        <strike val="0"/>
        <outline val="0"/>
        <shadow val="0"/>
        <u val="none"/>
        <vertAlign val="baseline"/>
        <sz val="12"/>
        <color theme="4"/>
        <name val="Besley"/>
        <family val="2"/>
        <scheme val="minor"/>
      </font>
      <fill>
        <patternFill patternType="none">
          <fgColor indexed="64"/>
          <bgColor auto="1"/>
        </patternFill>
      </fill>
      <protection locked="1" hidden="1"/>
    </dxf>
    <dxf>
      <font>
        <strike val="0"/>
        <outline val="0"/>
        <shadow val="0"/>
        <u val="none"/>
        <vertAlign val="baseline"/>
        <sz val="12"/>
        <color theme="4"/>
        <name val="Besley"/>
        <family val="2"/>
        <scheme val="minor"/>
      </font>
      <fill>
        <patternFill patternType="none">
          <fgColor indexed="64"/>
          <bgColor auto="1"/>
        </patternFill>
      </fill>
      <alignment horizontal="center" vertical="bottom" textRotation="0" wrapText="1" indent="0"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name val="Besley"/>
        <family val="2"/>
        <scheme val="minor"/>
      </font>
      <numFmt numFmtId="164" formatCode="000000"/>
      <alignment horizontal="center" vertical="bottom" textRotation="0" wrapText="0" indent="0" justifyLastLine="0" shrinkToFit="0" readingOrder="0"/>
      <protection locked="1" hidden="1"/>
    </dxf>
    <dxf>
      <font>
        <strike val="0"/>
        <outline val="0"/>
        <shadow val="0"/>
        <u val="none"/>
        <vertAlign val="baseline"/>
        <sz val="12"/>
        <name val="Besley"/>
        <family val="2"/>
      </font>
      <numFmt numFmtId="164" formatCode="000000"/>
      <fill>
        <patternFill patternType="none">
          <fgColor indexed="64"/>
          <bgColor auto="1"/>
        </patternFill>
      </fill>
      <alignment horizontal="center" vertical="bottom" textRotation="0" wrapText="0" indent="0" justifyLastLine="0" shrinkToFit="0" readingOrder="0"/>
      <protection locked="1" hidden="1"/>
    </dxf>
    <dxf>
      <fill>
        <patternFill patternType="none">
          <fgColor indexed="64"/>
          <bgColor indexed="65"/>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family val="2"/>
        <scheme val="minor"/>
      </font>
      <numFmt numFmtId="0" formatCode="General"/>
      <alignment horizontal="center" vertical="bottom" textRotation="0" indent="0" justifyLastLine="0" shrinkToFit="0" readingOrder="0"/>
      <protection locked="1" hidden="1"/>
    </dxf>
    <dxf>
      <font>
        <b val="0"/>
        <i val="0"/>
        <strike val="0"/>
        <condense val="0"/>
        <extend val="0"/>
        <outline val="0"/>
        <shadow val="0"/>
        <u val="none"/>
        <vertAlign val="baseline"/>
        <sz val="12"/>
        <color theme="4"/>
        <name val="Besley"/>
        <family val="2"/>
        <scheme val="minor"/>
      </font>
      <alignment horizontal="left" vertical="bottom" textRotation="0" wrapText="0" indent="2" justifyLastLine="0" shrinkToFit="0" readingOrder="0"/>
      <protection locked="1" hidden="1"/>
    </dxf>
    <dxf>
      <font>
        <strike val="0"/>
        <outline val="0"/>
        <shadow val="0"/>
        <u val="none"/>
        <vertAlign val="baseline"/>
        <sz val="12"/>
        <name val="Besley"/>
        <family val="2"/>
      </font>
      <fill>
        <patternFill patternType="none">
          <fgColor indexed="64"/>
          <bgColor auto="1"/>
        </patternFill>
      </fill>
      <alignment horizontal="left" vertical="bottom" textRotation="0" relativeIndent="1" justifyLastLine="0" shrinkToFit="0" readingOrder="0"/>
      <protection locked="1" hidden="1"/>
    </dxf>
    <dxf>
      <font>
        <strike val="0"/>
        <outline val="0"/>
        <shadow val="0"/>
        <u val="none"/>
        <vertAlign val="baseline"/>
        <sz val="12"/>
        <name val="Besley"/>
        <family val="2"/>
      </font>
      <fill>
        <patternFill patternType="none">
          <fgColor indexed="64"/>
          <bgColor auto="1"/>
        </patternFill>
      </fill>
      <protection locked="1" hidden="1"/>
    </dxf>
    <dxf>
      <font>
        <strike val="0"/>
        <outline val="0"/>
        <shadow val="0"/>
        <u val="none"/>
        <vertAlign val="baseline"/>
        <sz val="12"/>
        <name val="Besley"/>
        <family val="2"/>
      </font>
      <fill>
        <patternFill patternType="none">
          <fgColor indexed="64"/>
          <bgColor auto="1"/>
        </patternFill>
      </fill>
      <protection locked="1" hidden="1"/>
    </dxf>
    <dxf>
      <font>
        <strike val="0"/>
        <outline val="0"/>
        <shadow val="0"/>
        <u val="none"/>
        <vertAlign val="baseline"/>
        <sz val="12"/>
        <name val="Besley"/>
        <family val="2"/>
      </font>
      <fill>
        <patternFill patternType="none">
          <fgColor indexed="64"/>
          <bgColor auto="1"/>
        </patternFill>
      </fill>
      <alignment horizontal="center" vertical="bottom" textRotation="0" wrapText="1" indent="0" justifyLastLine="0" shrinkToFit="0" readingOrder="0"/>
      <protection locked="1" hidden="1"/>
    </dxf>
    <dxf>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numFmt numFmtId="3" formatCode="#,##0"/>
      <alignment horizontal="right" vertical="bottom" textRotation="0" wrapText="0" indent="1" justifyLastLine="0" shrinkToFit="0" readingOrder="0"/>
      <border diagonalUp="0" diagonalDown="0" outline="0">
        <left style="medium">
          <color theme="4"/>
        </left>
        <right style="medium">
          <color theme="4"/>
        </right>
        <top/>
        <bottom/>
      </border>
    </dxf>
    <dxf>
      <font>
        <b val="0"/>
        <i val="0"/>
        <strike val="0"/>
        <condense val="0"/>
        <extend val="0"/>
        <outline val="0"/>
        <shadow val="0"/>
        <u val="none"/>
        <vertAlign val="baseline"/>
        <sz val="12"/>
        <color theme="4"/>
        <name val="Besley"/>
        <family val="2"/>
        <scheme val="minor"/>
      </font>
      <numFmt numFmtId="3" formatCode="#,##0"/>
      <alignment horizontal="right" vertical="bottom" textRotation="0" wrapText="0" indent="1" justifyLastLine="0" shrinkToFit="0" readingOrder="0"/>
      <border diagonalUp="0" diagonalDown="0">
        <left style="medium">
          <color theme="4"/>
        </left>
        <right style="medium">
          <color theme="4"/>
        </right>
        <top/>
        <bottom/>
        <vertical/>
        <horizontal/>
      </border>
    </dxf>
    <dxf>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0"/>
    </dxf>
    <dxf>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numFmt numFmtId="3" formatCode="#,##0"/>
      <alignment horizontal="right" vertical="bottom" textRotation="0" wrapText="0" indent="1" justifyLastLine="0" shrinkToFit="0" readingOrder="0"/>
    </dxf>
    <dxf>
      <font>
        <strike val="0"/>
        <outline val="0"/>
        <shadow val="0"/>
        <u val="none"/>
        <vertAlign val="baseline"/>
        <sz val="12"/>
        <name val="Besley"/>
        <family val="2"/>
      </font>
      <numFmt numFmtId="3" formatCode="#,##0"/>
      <fill>
        <patternFill patternType="none">
          <fgColor indexed="64"/>
          <bgColor auto="1"/>
        </patternFill>
      </fill>
      <alignment horizontal="right" vertical="bottom" textRotation="0" wrapText="0" indent="1" justifyLastLine="0" shrinkToFit="0" readingOrder="0"/>
      <protection locked="1" hidden="1"/>
    </dxf>
    <dxf>
      <alignment horizontal="center" vertical="bottom" textRotation="0" wrapText="0" indent="0" justifyLastLine="0" shrinkToFit="0" readingOrder="0"/>
      <protection locked="1" hidden="1"/>
    </dxf>
    <dxf>
      <font>
        <strike val="0"/>
        <outline val="0"/>
        <shadow val="0"/>
        <u val="none"/>
        <vertAlign val="baseline"/>
        <sz val="12"/>
        <name val="Besley"/>
        <family val="2"/>
      </font>
      <fill>
        <patternFill patternType="none">
          <fgColor indexed="64"/>
          <bgColor auto="1"/>
        </patternFill>
      </fill>
      <protection locked="1" hidden="1"/>
    </dxf>
    <dxf>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family val="2"/>
        <scheme val="minor"/>
      </font>
      <numFmt numFmtId="0" formatCode="General"/>
      <alignment horizontal="center" vertical="bottom" textRotation="0" indent="0" justifyLastLine="0" shrinkToFit="0" readingOrder="0"/>
      <protection locked="1" hidden="1"/>
    </dxf>
    <dxf>
      <alignment horizontal="left" vertical="bottom" textRotation="0" wrapText="0" indent="2" justifyLastLine="0" shrinkToFit="0" readingOrder="0"/>
      <protection locked="1" hidden="1"/>
    </dxf>
    <dxf>
      <font>
        <strike val="0"/>
        <outline val="0"/>
        <shadow val="0"/>
        <u val="none"/>
        <vertAlign val="baseline"/>
        <sz val="12"/>
        <name val="Besley"/>
        <family val="2"/>
      </font>
      <fill>
        <patternFill patternType="none">
          <fgColor indexed="64"/>
          <bgColor auto="1"/>
        </patternFill>
      </fill>
      <alignment horizontal="left" vertical="bottom" textRotation="0" relativeIndent="1" justifyLastLine="0" shrinkToFit="0" readingOrder="0"/>
      <protection locked="1" hidden="1"/>
    </dxf>
    <dxf>
      <font>
        <strike val="0"/>
        <outline val="0"/>
        <shadow val="0"/>
        <u val="none"/>
        <vertAlign val="baseline"/>
        <sz val="12"/>
        <name val="Besley"/>
        <family val="2"/>
      </font>
      <fill>
        <patternFill patternType="none">
          <fgColor indexed="64"/>
          <bgColor auto="1"/>
        </patternFill>
      </fill>
      <protection locked="1" hidden="1"/>
    </dxf>
    <dxf>
      <font>
        <strike val="0"/>
        <outline val="0"/>
        <shadow val="0"/>
        <u val="none"/>
        <vertAlign val="baseline"/>
        <sz val="12"/>
        <name val="Besley"/>
        <family val="2"/>
      </font>
      <fill>
        <patternFill patternType="none">
          <fgColor indexed="64"/>
          <bgColor auto="1"/>
        </patternFill>
      </fill>
      <protection locked="1" hidden="1"/>
    </dxf>
    <dxf>
      <font>
        <strike val="0"/>
        <outline val="0"/>
        <shadow val="0"/>
        <u val="none"/>
        <vertAlign val="baseline"/>
        <sz val="12"/>
        <name val="Besley"/>
        <family val="2"/>
      </font>
      <fill>
        <patternFill patternType="none">
          <fgColor indexed="64"/>
          <bgColor auto="1"/>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protection locked="1" hidden="1"/>
    </dxf>
    <dxf>
      <protection locked="1" hidden="1"/>
    </dxf>
    <dxf>
      <font>
        <b val="0"/>
        <i val="0"/>
        <strike val="0"/>
        <condense val="0"/>
        <extend val="0"/>
        <outline val="0"/>
        <shadow val="0"/>
        <u val="none"/>
        <vertAlign val="baseline"/>
        <sz val="12"/>
        <color theme="5" tint="-0.499984740745262"/>
        <name val="Besley"/>
        <family val="2"/>
        <scheme val="major"/>
      </font>
      <protection locked="1" hidden="1"/>
    </dxf>
    <dxf>
      <font>
        <b val="0"/>
        <i val="0"/>
        <strike val="0"/>
        <condense val="0"/>
        <extend val="0"/>
        <outline val="0"/>
        <shadow val="0"/>
        <u val="none"/>
        <vertAlign val="baseline"/>
        <sz val="12"/>
        <color theme="5" tint="-0.499984740745262"/>
        <name val="Besley"/>
        <family val="2"/>
        <scheme val="major"/>
      </font>
      <numFmt numFmtId="0" formatCode="General"/>
      <protection locked="1" hidden="1"/>
    </dxf>
    <dxf>
      <font>
        <b val="0"/>
        <i val="0"/>
        <strike val="0"/>
        <condense val="0"/>
        <extend val="0"/>
        <outline val="0"/>
        <shadow val="0"/>
        <u val="none"/>
        <vertAlign val="baseline"/>
        <sz val="12"/>
        <color theme="5" tint="-0.499984740745262"/>
        <name val="Besley"/>
        <family val="2"/>
        <scheme val="major"/>
      </font>
      <protection locked="1" hidden="1"/>
    </dxf>
    <dxf>
      <font>
        <b val="0"/>
        <i val="0"/>
        <strike val="0"/>
        <condense val="0"/>
        <extend val="0"/>
        <outline val="0"/>
        <shadow val="0"/>
        <u val="none"/>
        <vertAlign val="baseline"/>
        <sz val="12"/>
        <color theme="5" tint="-0.499984740745262"/>
        <name val="Besley"/>
        <family val="2"/>
        <scheme val="major"/>
      </font>
      <protection locked="1" hidden="1"/>
    </dxf>
    <dxf>
      <protection locked="1" hidden="1"/>
    </dxf>
    <dxf>
      <border outline="0">
        <top style="thin">
          <color theme="4"/>
        </top>
      </border>
    </dxf>
    <dxf>
      <font>
        <b val="0"/>
        <i val="0"/>
        <strike val="0"/>
        <condense val="0"/>
        <extend val="0"/>
        <outline val="0"/>
        <shadow val="0"/>
        <u val="none"/>
        <vertAlign val="baseline"/>
        <sz val="12"/>
        <color theme="5" tint="-0.499984740745262"/>
        <name val="Besley"/>
        <family val="2"/>
        <scheme val="major"/>
      </font>
      <protection locked="1" hidden="1"/>
    </dxf>
    <dxf>
      <border outline="0">
        <bottom style="thin">
          <color theme="4"/>
        </bottom>
      </border>
    </dxf>
    <dxf>
      <font>
        <b/>
        <i val="0"/>
        <strike val="0"/>
        <condense val="0"/>
        <extend val="0"/>
        <outline val="0"/>
        <shadow val="0"/>
        <u val="none"/>
        <vertAlign val="baseline"/>
        <sz val="12"/>
        <color theme="5" tint="-0.499984740745262"/>
        <name val="Besley"/>
        <family val="2"/>
        <scheme val="major"/>
      </font>
      <fill>
        <patternFill patternType="solid">
          <fgColor indexed="64"/>
          <bgColor theme="0"/>
        </patternFill>
      </fill>
      <alignment horizontal="center" vertical="bottom" textRotation="0" wrapText="1" indent="0"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5" tint="-0.499984740745262"/>
        <name val="Besley"/>
        <family val="2"/>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5" tint="-0.499984740745262"/>
        <name val="Besley"/>
        <family val="2"/>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5" tint="-0.499984740745262"/>
        <name val="Besley"/>
        <family val="2"/>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5" tint="-0.499984740745262"/>
        <name val="Besley"/>
        <family val="2"/>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164" formatCode="000000"/>
      <alignment horizontal="center" vertical="bottom" textRotation="0" wrapText="0" indent="0" justifyLastLine="0" shrinkToFit="0" readingOrder="0"/>
      <protection locked="1" hidden="1"/>
    </dxf>
    <dxf>
      <font>
        <strike val="0"/>
        <outline val="0"/>
        <shadow val="0"/>
        <u val="none"/>
        <vertAlign val="baseline"/>
        <sz val="12"/>
        <color theme="5" tint="-0.499984740745262"/>
        <name val="Besley"/>
        <family val="2"/>
        <scheme val="major"/>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fill>
        <patternFill patternType="none">
          <fgColor indexed="64"/>
          <bgColor indexed="65"/>
        </patternFill>
      </fill>
      <protection locked="1" hidden="1"/>
    </dxf>
    <dxf>
      <font>
        <b val="0"/>
        <i val="0"/>
        <strike val="0"/>
        <condense val="0"/>
        <extend val="0"/>
        <outline val="0"/>
        <shadow val="0"/>
        <u val="none"/>
        <vertAlign val="baseline"/>
        <sz val="12"/>
        <color theme="5" tint="-0.499984740745262"/>
        <name val="Besley"/>
        <family val="2"/>
        <scheme val="maj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protection locked="1" hidden="1"/>
    </dxf>
    <dxf>
      <font>
        <strike val="0"/>
        <outline val="0"/>
        <shadow val="0"/>
        <u val="none"/>
        <vertAlign val="baseline"/>
        <sz val="12"/>
        <color theme="5" tint="-0.499984740745262"/>
        <name val="Besley"/>
        <family val="2"/>
        <scheme val="major"/>
      </font>
      <fill>
        <patternFill patternType="none">
          <fgColor indexed="64"/>
          <bgColor auto="1"/>
        </patternFill>
      </fill>
      <alignment horizontal="left" vertical="bottom" textRotation="0" wrapText="0" relativeIndent="1" justifyLastLine="0" shrinkToFit="0" readingOrder="0"/>
      <protection locked="1" hidden="1"/>
    </dxf>
    <dxf>
      <font>
        <strike val="0"/>
        <outline val="0"/>
        <shadow val="0"/>
        <u val="none"/>
        <vertAlign val="baseline"/>
        <sz val="12"/>
        <color theme="5" tint="-0.499984740745262"/>
        <name val="Besley"/>
        <family val="2"/>
        <scheme val="major"/>
      </font>
      <fill>
        <patternFill patternType="none">
          <fgColor indexed="64"/>
          <bgColor auto="1"/>
        </patternFill>
      </fill>
      <protection locked="1" hidden="1"/>
    </dxf>
    <dxf>
      <font>
        <strike val="0"/>
        <outline val="0"/>
        <shadow val="0"/>
        <u val="none"/>
        <vertAlign val="baseline"/>
        <sz val="12"/>
        <color theme="5" tint="-0.499984740745262"/>
        <name val="Besley"/>
        <family val="2"/>
        <scheme val="major"/>
      </font>
      <fill>
        <patternFill patternType="none">
          <fgColor indexed="64"/>
          <bgColor auto="1"/>
        </patternFill>
      </fill>
      <protection locked="1" hidden="1"/>
    </dxf>
    <dxf>
      <font>
        <strike val="0"/>
        <outline val="0"/>
        <shadow val="0"/>
        <u val="none"/>
        <vertAlign val="baseline"/>
        <sz val="12"/>
        <color theme="5" tint="-0.499984740745262"/>
        <name val="Besley"/>
        <family val="2"/>
        <scheme val="major"/>
      </font>
      <fill>
        <patternFill patternType="none">
          <fgColor indexed="64"/>
          <bgColor auto="1"/>
        </patternFill>
      </fill>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5" tint="-0.499984740745262"/>
        <name val="Besley"/>
        <family val="2"/>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5" tint="-0.499984740745262"/>
        <name val="Besley"/>
        <family val="2"/>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5" tint="-0.499984740745262"/>
        <name val="Besley"/>
        <family val="2"/>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5" tint="-0.499984740745262"/>
        <name val="Besley"/>
        <family val="2"/>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protection locked="1" hidden="1"/>
    </dxf>
    <dxf>
      <font>
        <b val="0"/>
        <i val="0"/>
        <strike val="0"/>
        <condense val="0"/>
        <extend val="0"/>
        <outline val="0"/>
        <shadow val="0"/>
        <u val="none"/>
        <vertAlign val="baseline"/>
        <sz val="12"/>
        <color theme="5" tint="-0.499984740745262"/>
        <name val="Besley"/>
        <family val="2"/>
        <scheme val="major"/>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fill>
        <patternFill patternType="none">
          <fgColor indexed="64"/>
          <bgColor indexed="65"/>
        </patternFill>
      </fill>
      <alignment horizontal="left" vertical="bottom" textRotation="0" wrapText="0" indent="2"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protection locked="1" hidden="1"/>
    </dxf>
    <dxf>
      <font>
        <strike val="0"/>
        <outline val="0"/>
        <shadow val="0"/>
        <u val="none"/>
        <vertAlign val="baseline"/>
        <sz val="12"/>
        <color theme="5" tint="-0.499984740745262"/>
        <name val="Besley"/>
        <family val="2"/>
        <scheme val="major"/>
      </font>
      <fill>
        <patternFill patternType="none">
          <fgColor indexed="64"/>
          <bgColor auto="1"/>
        </patternFill>
      </fill>
      <alignment horizontal="left" vertical="bottom" textRotation="0" wrapText="0" relativeIndent="1" justifyLastLine="0" shrinkToFit="0" readingOrder="0"/>
      <protection locked="1" hidden="1"/>
    </dxf>
    <dxf>
      <font>
        <strike val="0"/>
        <outline val="0"/>
        <shadow val="0"/>
        <u val="none"/>
        <vertAlign val="baseline"/>
        <sz val="12"/>
        <color theme="5" tint="-0.499984740745262"/>
        <name val="Besley"/>
        <family val="2"/>
        <scheme val="major"/>
      </font>
      <fill>
        <patternFill patternType="none">
          <fgColor indexed="64"/>
          <bgColor auto="1"/>
        </patternFill>
      </fill>
      <protection locked="1" hidden="1"/>
    </dxf>
    <dxf>
      <font>
        <strike val="0"/>
        <outline val="0"/>
        <shadow val="0"/>
        <u val="none"/>
        <vertAlign val="baseline"/>
        <sz val="12"/>
        <color theme="5" tint="-0.499984740745262"/>
        <name val="Besley"/>
        <family val="2"/>
        <scheme val="major"/>
      </font>
      <fill>
        <patternFill patternType="none">
          <fgColor indexed="64"/>
          <bgColor auto="1"/>
        </patternFill>
      </fill>
      <protection locked="1" hidden="1"/>
    </dxf>
    <dxf>
      <font>
        <strike val="0"/>
        <outline val="0"/>
        <shadow val="0"/>
        <u val="none"/>
        <vertAlign val="baseline"/>
        <sz val="12"/>
        <color theme="5" tint="-0.499984740745262"/>
        <name val="Besley"/>
        <family val="2"/>
        <scheme val="major"/>
      </font>
      <fill>
        <patternFill patternType="none">
          <fgColor indexed="64"/>
          <bgColor auto="1"/>
        </patternFill>
      </fill>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family val="2"/>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family val="2"/>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5" tint="-0.499984740745262"/>
        <name val="Besley"/>
        <family val="2"/>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3" formatCode="#,##0"/>
      <alignment horizontal="right" vertical="bottom" textRotation="0" wrapText="0" indent="1" justifyLastLine="0" shrinkToFit="0" readingOrder="0"/>
      <protection locked="1" hidden="0"/>
    </dxf>
    <dxf>
      <font>
        <strike val="0"/>
        <outline val="0"/>
        <shadow val="0"/>
        <u val="none"/>
        <vertAlign val="baseline"/>
        <sz val="12"/>
        <color theme="5" tint="-0.499984740745262"/>
        <name val="Besley"/>
        <family val="2"/>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protection locked="1" hidden="1"/>
    </dxf>
    <dxf>
      <font>
        <strike val="0"/>
        <outline val="0"/>
        <shadow val="0"/>
        <u val="none"/>
        <vertAlign val="baseline"/>
        <sz val="12"/>
        <color theme="5" tint="-0.499984740745262"/>
        <name val="Besley"/>
        <family val="2"/>
        <scheme val="major"/>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fill>
        <patternFill patternType="none">
          <fgColor indexed="64"/>
          <bgColor indexed="65"/>
        </patternFill>
      </fill>
      <protection locked="1" hidden="1"/>
    </dxf>
    <dxf>
      <font>
        <b val="0"/>
        <i val="0"/>
        <strike val="0"/>
        <condense val="0"/>
        <extend val="0"/>
        <outline val="0"/>
        <shadow val="0"/>
        <u val="none"/>
        <vertAlign val="baseline"/>
        <sz val="12"/>
        <color theme="5" tint="-0.499984740745262"/>
        <name val="Besley"/>
        <family val="2"/>
        <scheme val="maj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protection locked="1" hidden="1"/>
    </dxf>
    <dxf>
      <font>
        <strike val="0"/>
        <outline val="0"/>
        <shadow val="0"/>
        <u val="none"/>
        <vertAlign val="baseline"/>
        <sz val="12"/>
        <color theme="5" tint="-0.499984740745262"/>
        <name val="Besley"/>
        <family val="2"/>
        <scheme val="major"/>
      </font>
      <fill>
        <patternFill patternType="none">
          <fgColor indexed="64"/>
          <bgColor auto="1"/>
        </patternFill>
      </fill>
      <alignment horizontal="left" vertical="bottom" textRotation="0" wrapText="0" relativeIndent="1" justifyLastLine="0" shrinkToFit="0" readingOrder="0"/>
      <protection locked="1" hidden="1"/>
    </dxf>
    <dxf>
      <font>
        <strike val="0"/>
        <outline val="0"/>
        <shadow val="0"/>
        <u val="none"/>
        <vertAlign val="baseline"/>
        <sz val="12"/>
        <color theme="5" tint="-0.499984740745262"/>
        <name val="Besley"/>
        <family val="2"/>
        <scheme val="major"/>
      </font>
      <fill>
        <patternFill patternType="none">
          <fgColor indexed="64"/>
          <bgColor auto="1"/>
        </patternFill>
      </fill>
      <protection locked="1" hidden="1"/>
    </dxf>
    <dxf>
      <font>
        <strike val="0"/>
        <outline val="0"/>
        <shadow val="0"/>
        <u val="none"/>
        <vertAlign val="baseline"/>
        <sz val="12"/>
        <color theme="5" tint="-0.499984740745262"/>
        <name val="Besley"/>
        <family val="2"/>
        <scheme val="major"/>
      </font>
      <fill>
        <patternFill patternType="none">
          <fgColor indexed="64"/>
          <bgColor auto="1"/>
        </patternFill>
      </fill>
      <protection locked="1" hidden="1"/>
    </dxf>
    <dxf>
      <font>
        <strike val="0"/>
        <outline val="0"/>
        <shadow val="0"/>
        <u val="none"/>
        <vertAlign val="baseline"/>
        <sz val="12"/>
        <color theme="5" tint="-0.499984740745262"/>
        <name val="Besley"/>
        <family val="2"/>
        <scheme val="maj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1"/>
        <color theme="4" tint="-0.249977111117893"/>
        <name val="Besley"/>
        <scheme val="major"/>
      </font>
      <fill>
        <patternFill patternType="none">
          <fgColor indexed="64"/>
          <bgColor indexed="65"/>
        </patternFill>
      </fill>
      <protection locked="1" hidden="1"/>
    </dxf>
    <dxf>
      <font>
        <b val="0"/>
        <i val="0"/>
        <strike val="0"/>
        <condense val="0"/>
        <extend val="0"/>
        <outline val="0"/>
        <shadow val="0"/>
        <u val="none"/>
        <vertAlign val="baseline"/>
        <sz val="11"/>
        <color theme="4" tint="-0.249977111117893"/>
        <name val="Besley"/>
        <scheme val="major"/>
      </font>
      <protection locked="1" hidden="1"/>
    </dxf>
    <dxf>
      <font>
        <b val="0"/>
        <i val="0"/>
        <strike val="0"/>
        <condense val="0"/>
        <extend val="0"/>
        <outline val="0"/>
        <shadow val="0"/>
        <u val="none"/>
        <vertAlign val="baseline"/>
        <sz val="11"/>
        <color theme="4" tint="-0.249977111117893"/>
        <name val="Besley"/>
        <scheme val="maj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4" tint="-0.249977111117893"/>
        <name val="Besley"/>
        <scheme val="maj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4" tint="-0.249977111117893"/>
        <name val="Besley"/>
        <scheme val="major"/>
      </font>
      <protection locked="1" hidden="1"/>
    </dxf>
    <dxf>
      <font>
        <b val="0"/>
        <i val="0"/>
        <strike val="0"/>
        <condense val="0"/>
        <extend val="0"/>
        <outline val="0"/>
        <shadow val="0"/>
        <u val="none"/>
        <vertAlign val="baseline"/>
        <sz val="11"/>
        <color theme="4" tint="-0.249977111117893"/>
        <name val="Besley"/>
        <scheme val="major"/>
      </font>
      <protection locked="1" hidden="1"/>
    </dxf>
    <dxf>
      <border outline="0">
        <top style="thin">
          <color theme="4"/>
        </top>
      </border>
    </dxf>
    <dxf>
      <font>
        <b val="0"/>
        <i val="0"/>
        <strike val="0"/>
        <condense val="0"/>
        <extend val="0"/>
        <outline val="0"/>
        <shadow val="0"/>
        <u val="none"/>
        <vertAlign val="baseline"/>
        <sz val="11"/>
        <color theme="5" tint="-0.499984740745262"/>
        <name val="Besley"/>
        <scheme val="minor"/>
      </font>
      <protection locked="1" hidden="1"/>
    </dxf>
    <dxf>
      <border outline="0">
        <bottom style="thin">
          <color theme="4"/>
        </bottom>
      </border>
    </dxf>
    <dxf>
      <font>
        <b/>
        <i val="0"/>
        <strike val="0"/>
        <condense val="0"/>
        <extend val="0"/>
        <outline val="0"/>
        <shadow val="0"/>
        <u val="none"/>
        <vertAlign val="baseline"/>
        <sz val="11"/>
        <color theme="5" tint="-0.499984740745262"/>
        <name val="Besley"/>
        <family val="2"/>
        <scheme val="minor"/>
      </font>
      <fill>
        <patternFill patternType="solid">
          <fgColor indexed="64"/>
          <bgColor theme="0"/>
        </patternFill>
      </fill>
      <alignment horizontal="center" vertical="bottom" textRotation="0" wrapText="1" indent="0" justifyLastLine="0" shrinkToFit="0" readingOrder="0"/>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indexed="65"/>
        </patternFill>
      </fill>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auto="1"/>
        </patternFill>
      </fill>
      <alignment horizontal="left" vertical="bottom" textRotation="0" wrapText="0" relative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auto="1"/>
        </patternFill>
      </fill>
      <alignment horizontal="lef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auto="1"/>
        </patternFill>
      </fill>
      <alignment horizontal="lef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in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strike val="0"/>
        <outline val="0"/>
        <shadow val="0"/>
        <u val="none"/>
        <vertAlign val="baseline"/>
        <sz val="12"/>
        <color theme="5" tint="-0.499984740745262"/>
        <name val="Besley"/>
        <scheme val="min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5" formatCode="#,##0_);\(#,##0\)"/>
      <alignment horizontal="right" vertical="bottom" textRotation="0" wrapText="0" indent="1" justifyLastLine="0" shrinkToFit="0" readingOrder="0"/>
    </dxf>
    <dxf>
      <font>
        <b val="0"/>
        <strike val="0"/>
        <outline val="0"/>
        <shadow val="0"/>
        <u val="none"/>
        <vertAlign val="baseline"/>
        <sz val="12"/>
        <color theme="5" tint="-0.499984740745262"/>
        <name val="Besley"/>
        <scheme val="min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164" formatCode="000000"/>
      <alignment horizontal="center" vertical="bottom" textRotation="0" wrapText="0" indent="0" justifyLastLine="0" shrinkToFit="0" readingOrder="0"/>
      <protection locked="1" hidden="1"/>
    </dxf>
    <dxf>
      <font>
        <b val="0"/>
        <strike val="0"/>
        <outline val="0"/>
        <shadow val="0"/>
        <u val="none"/>
        <vertAlign val="baseline"/>
        <sz val="12"/>
        <color theme="5" tint="-0.499984740745262"/>
        <name val="Besley"/>
        <scheme val="minor"/>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scheme val="minor"/>
      </font>
      <protection locked="1" hidden="1"/>
    </dxf>
    <dxf>
      <font>
        <b val="0"/>
        <strike val="0"/>
        <outline val="0"/>
        <shadow val="0"/>
        <u val="none"/>
        <vertAlign val="baseline"/>
        <sz val="12"/>
        <color theme="5" tint="-0.499984740745262"/>
        <name val="Besley"/>
        <scheme val="minor"/>
      </font>
      <fill>
        <patternFill patternType="none">
          <fgColor indexed="64"/>
          <bgColor auto="1"/>
        </patternFill>
      </fill>
      <alignment horizontal="left" vertical="bottom" textRotation="0" wrapText="0" relativeIndent="1" justifyLastLine="0" shrinkToFit="0" readingOrder="0"/>
      <protection locked="1" hidden="1"/>
    </dxf>
    <dxf>
      <font>
        <b val="0"/>
        <strike val="0"/>
        <outline val="0"/>
        <shadow val="0"/>
        <u val="none"/>
        <vertAlign val="baseline"/>
        <sz val="11"/>
        <color theme="5" tint="-0.499984740745262"/>
        <name val="Besley"/>
        <family val="2"/>
        <scheme val="minor"/>
      </font>
      <fill>
        <patternFill patternType="none">
          <fgColor indexed="64"/>
          <bgColor auto="1"/>
        </patternFill>
      </fill>
      <protection locked="1" hidden="1"/>
    </dxf>
    <dxf>
      <font>
        <b val="0"/>
        <strike val="0"/>
        <outline val="0"/>
        <shadow val="0"/>
        <u val="none"/>
        <vertAlign val="baseline"/>
        <color theme="5" tint="-0.499984740745262"/>
        <name val="Besley"/>
        <family val="2"/>
      </font>
      <fill>
        <patternFill patternType="none">
          <fgColor indexed="64"/>
          <bgColor auto="1"/>
        </patternFill>
      </fill>
      <alignment horizontal="center" vertical="bottom" textRotation="0" wrapText="1" indent="0"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tint="-0.249977111117893"/>
        <name val="Besley"/>
        <scheme val="major"/>
      </font>
      <numFmt numFmtId="164" formatCode="000000"/>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tint="-0.249977111117893"/>
        <name val="Besley"/>
        <scheme val="major"/>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tint="-0.249977111117893"/>
        <name val="Besley"/>
        <scheme val="maj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tint="-0.249977111117893"/>
        <name val="Besley"/>
        <scheme val="maj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tint="-0.249977111117893"/>
        <name val="Besley"/>
        <scheme val="major"/>
      </font>
      <protection locked="1" hidden="1"/>
    </dxf>
    <dxf>
      <font>
        <b val="0"/>
        <i val="0"/>
        <strike val="0"/>
        <condense val="0"/>
        <extend val="0"/>
        <outline val="0"/>
        <shadow val="0"/>
        <u val="none"/>
        <vertAlign val="baseline"/>
        <sz val="12"/>
        <color theme="4" tint="-0.249977111117893"/>
        <name val="Besley"/>
        <scheme val="major"/>
      </font>
      <fill>
        <patternFill patternType="none">
          <fgColor indexed="64"/>
          <bgColor auto="1"/>
        </patternFill>
      </fill>
      <alignment horizontal="left" vertical="bottom" textRotation="0" wrapText="0" indent="1" justifyLastLine="0" shrinkToFit="0" readingOrder="0"/>
      <protection locked="1" hidden="1"/>
    </dxf>
    <dxf>
      <font>
        <strike val="0"/>
        <outline val="0"/>
        <shadow val="0"/>
        <u val="none"/>
        <vertAlign val="baseline"/>
        <sz val="12"/>
        <name val="Besley"/>
        <scheme val="major"/>
      </font>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ajor"/>
      </font>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tint="-0.249977111117893"/>
        <name val="Besley"/>
        <scheme val="major"/>
      </font>
      <fill>
        <patternFill patternType="none">
          <fgColor indexed="64"/>
          <bgColor auto="1"/>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tint="-0.249977111117893"/>
        <name val="Besley"/>
        <scheme val="major"/>
      </font>
      <numFmt numFmtId="164" formatCode="000000"/>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tint="-0.249977111117893"/>
        <name val="Besley"/>
        <scheme val="major"/>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tint="-0.249977111117893"/>
        <name val="Besley"/>
        <scheme val="maj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tint="-0.249977111117893"/>
        <name val="Besley"/>
        <scheme val="maj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tint="-0.249977111117893"/>
        <name val="Besley"/>
        <scheme val="major"/>
      </font>
      <protection locked="1" hidden="1"/>
    </dxf>
    <dxf>
      <font>
        <b val="0"/>
        <i val="0"/>
        <strike val="0"/>
        <condense val="0"/>
        <extend val="0"/>
        <outline val="0"/>
        <shadow val="0"/>
        <u val="none"/>
        <vertAlign val="baseline"/>
        <sz val="12"/>
        <color theme="4" tint="-0.249977111117893"/>
        <name val="Besley"/>
        <scheme val="major"/>
      </font>
      <fill>
        <patternFill patternType="none">
          <fgColor indexed="64"/>
          <bgColor auto="1"/>
        </patternFill>
      </fill>
      <alignment horizontal="left" vertical="bottom" textRotation="0" wrapText="0" indent="1" justifyLastLine="0" shrinkToFit="0" readingOrder="0"/>
      <protection locked="1" hidden="1"/>
    </dxf>
    <dxf>
      <font>
        <strike val="0"/>
        <outline val="0"/>
        <shadow val="0"/>
        <u val="none"/>
        <vertAlign val="baseline"/>
        <sz val="12"/>
        <name val="Besley"/>
        <scheme val="major"/>
      </font>
      <fill>
        <patternFill patternType="none">
          <fgColor indexed="64"/>
          <bgColor auto="1"/>
        </patternFill>
      </fill>
      <protection locked="1" hidden="1"/>
    </dxf>
    <dxf>
      <font>
        <b val="0"/>
        <i val="0"/>
        <strike val="0"/>
        <condense val="0"/>
        <extend val="0"/>
        <outline val="0"/>
        <shadow val="0"/>
        <u val="none"/>
        <vertAlign val="baseline"/>
        <sz val="12"/>
        <color theme="4"/>
        <name val="Besley"/>
        <scheme val="major"/>
      </font>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4" tint="-0.249977111117893"/>
        <name val="Besley"/>
        <scheme val="major"/>
      </font>
      <fill>
        <patternFill patternType="none">
          <fgColor indexed="64"/>
          <bgColor auto="1"/>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164" formatCode="000000"/>
      <alignment horizontal="center" vertical="bottom" textRotation="0" wrapText="0" indent="0" justifyLastLine="0" shrinkToFit="0" readingOrder="0"/>
      <protection locked="1" hidden="1"/>
    </dxf>
    <dxf>
      <font>
        <strike val="0"/>
        <outline val="0"/>
        <shadow val="0"/>
        <u val="none"/>
        <vertAlign val="baseline"/>
        <sz val="12"/>
        <name val="Besley"/>
        <scheme val="major"/>
      </font>
      <fill>
        <patternFill patternType="none">
          <fgColor indexed="64"/>
          <bgColor auto="1"/>
        </patternFill>
      </fill>
      <alignment horizontal="center" vertical="bottom" textRotation="0" indent="0" justifyLastLine="0" shrinkToFit="0" readingOrder="0"/>
      <protection locked="1" hidden="1"/>
    </dxf>
    <dxf>
      <font>
        <b val="0"/>
        <i val="0"/>
        <strike val="0"/>
        <condense val="0"/>
        <extend val="0"/>
        <outline val="0"/>
        <shadow val="0"/>
        <u val="none"/>
        <vertAlign val="baseline"/>
        <sz val="12"/>
        <color theme="4"/>
        <name val="Besley"/>
        <scheme val="maj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ajor"/>
      </font>
      <protection locked="1" hidden="1"/>
    </dxf>
    <dxf>
      <font>
        <strike val="0"/>
        <outline val="0"/>
        <shadow val="0"/>
        <u val="none"/>
        <vertAlign val="baseline"/>
        <sz val="12"/>
        <name val="Besley"/>
        <scheme val="major"/>
      </font>
      <fill>
        <patternFill patternType="none">
          <fgColor indexed="64"/>
          <bgColor auto="1"/>
        </patternFill>
      </fill>
      <alignment horizontal="left" vertical="bottom" textRotation="0" relativeIndent="1" justifyLastLine="0" shrinkToFit="0" readingOrder="0"/>
      <protection locked="1" hidden="1"/>
    </dxf>
    <dxf>
      <font>
        <strike val="0"/>
        <outline val="0"/>
        <shadow val="0"/>
        <u val="none"/>
        <vertAlign val="baseline"/>
        <sz val="12"/>
        <name val="Besley"/>
        <scheme val="major"/>
      </font>
      <fill>
        <patternFill patternType="none">
          <fgColor indexed="64"/>
          <bgColor auto="1"/>
        </patternFill>
      </fill>
      <protection locked="1" hidden="1"/>
    </dxf>
    <dxf>
      <font>
        <strike val="0"/>
        <outline val="0"/>
        <shadow val="0"/>
        <u val="none"/>
        <vertAlign val="baseline"/>
        <sz val="12"/>
        <name val="Besley"/>
        <scheme val="major"/>
      </font>
      <fill>
        <patternFill patternType="none">
          <fgColor indexed="64"/>
          <bgColor auto="1"/>
        </patternFill>
      </fill>
      <protection locked="1" hidden="1"/>
    </dxf>
    <dxf>
      <font>
        <strike val="0"/>
        <outline val="0"/>
        <shadow val="0"/>
        <u val="none"/>
        <vertAlign val="baseline"/>
        <sz val="12"/>
        <color theme="4"/>
        <name val="Besley"/>
        <scheme val="major"/>
      </font>
      <fill>
        <patternFill patternType="none">
          <fgColor indexed="64"/>
          <bgColor auto="1"/>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164" formatCode="000000"/>
      <alignment horizontal="center" vertical="bottom" textRotation="0" wrapText="0" indent="0" justifyLastLine="0" shrinkToFit="0" readingOrder="0"/>
      <protection locked="1" hidden="1"/>
    </dxf>
    <dxf>
      <font>
        <strike val="0"/>
        <outline val="0"/>
        <shadow val="0"/>
        <u val="none"/>
        <vertAlign val="baseline"/>
        <sz val="12"/>
        <name val="Besley"/>
        <scheme val="major"/>
      </font>
      <fill>
        <patternFill patternType="none">
          <fgColor indexed="64"/>
          <bgColor auto="1"/>
        </patternFill>
      </fill>
      <alignment horizontal="center" vertical="bottom" textRotation="0" indent="0" justifyLastLine="0" shrinkToFit="0" readingOrder="0"/>
      <protection locked="1" hidden="1"/>
    </dxf>
    <dxf>
      <font>
        <b val="0"/>
        <i val="0"/>
        <strike val="0"/>
        <condense val="0"/>
        <extend val="0"/>
        <outline val="0"/>
        <shadow val="0"/>
        <u val="none"/>
        <vertAlign val="baseline"/>
        <sz val="12"/>
        <color theme="4"/>
        <name val="Besley"/>
        <scheme val="maj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aj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ajor"/>
      </font>
      <protection locked="1" hidden="1"/>
    </dxf>
    <dxf>
      <font>
        <strike val="0"/>
        <outline val="0"/>
        <shadow val="0"/>
        <u val="none"/>
        <vertAlign val="baseline"/>
        <sz val="12"/>
        <name val="Besley"/>
        <scheme val="major"/>
      </font>
      <fill>
        <patternFill patternType="none">
          <fgColor indexed="64"/>
          <bgColor auto="1"/>
        </patternFill>
      </fill>
      <alignment horizontal="left" vertical="bottom" textRotation="0" relativeIndent="1" justifyLastLine="0" shrinkToFit="0" readingOrder="0"/>
      <protection locked="1" hidden="1"/>
    </dxf>
    <dxf>
      <font>
        <strike val="0"/>
        <outline val="0"/>
        <shadow val="0"/>
        <u val="none"/>
        <vertAlign val="baseline"/>
        <sz val="12"/>
        <name val="Besley"/>
        <scheme val="major"/>
      </font>
      <fill>
        <patternFill patternType="none">
          <fgColor indexed="64"/>
          <bgColor auto="1"/>
        </patternFill>
      </fill>
      <protection locked="1" hidden="1"/>
    </dxf>
    <dxf>
      <font>
        <strike val="0"/>
        <outline val="0"/>
        <shadow val="0"/>
        <u val="none"/>
        <vertAlign val="baseline"/>
        <sz val="12"/>
        <name val="Besley"/>
        <scheme val="major"/>
      </font>
      <fill>
        <patternFill patternType="none">
          <fgColor indexed="64"/>
          <bgColor auto="1"/>
        </patternFill>
      </fill>
      <protection locked="1" hidden="1"/>
    </dxf>
    <dxf>
      <font>
        <strike val="0"/>
        <outline val="0"/>
        <shadow val="0"/>
        <u val="none"/>
        <vertAlign val="baseline"/>
        <sz val="12"/>
        <color theme="4"/>
        <name val="Besley"/>
        <scheme val="major"/>
      </font>
      <fill>
        <patternFill patternType="none">
          <fgColor indexed="64"/>
          <bgColor auto="1"/>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164" formatCode="000000"/>
      <alignment horizontal="center" vertical="bottom" textRotation="0" wrapText="0" indent="0" justifyLastLine="0" shrinkToFit="0" readingOrder="0"/>
      <protection locked="1" hidden="1"/>
    </dxf>
    <dxf>
      <font>
        <strike val="0"/>
        <outline val="0"/>
        <shadow val="0"/>
        <u val="none"/>
        <vertAlign val="baseline"/>
        <sz val="12"/>
        <name val="Besley"/>
        <scheme val="major"/>
      </font>
      <fill>
        <patternFill patternType="none">
          <fgColor indexed="64"/>
          <bgColor auto="1"/>
        </patternFill>
      </fill>
      <alignment horizontal="center" vertical="bottom" textRotation="0" indent="0" justifyLastLine="0" shrinkToFit="0" readingOrder="0"/>
      <protection locked="1" hidden="1"/>
    </dxf>
    <dxf>
      <font>
        <b val="0"/>
        <i val="0"/>
        <strike val="0"/>
        <condense val="0"/>
        <extend val="0"/>
        <outline val="0"/>
        <shadow val="0"/>
        <u val="none"/>
        <vertAlign val="baseline"/>
        <sz val="12"/>
        <color theme="4"/>
        <name val="Besley"/>
        <scheme val="maj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aj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ajor"/>
      </font>
      <protection locked="1" hidden="1"/>
    </dxf>
    <dxf>
      <font>
        <strike val="0"/>
        <outline val="0"/>
        <shadow val="0"/>
        <u val="none"/>
        <vertAlign val="baseline"/>
        <sz val="12"/>
        <name val="Besley"/>
        <scheme val="major"/>
      </font>
      <fill>
        <patternFill patternType="none">
          <fgColor indexed="64"/>
          <bgColor auto="1"/>
        </patternFill>
      </fill>
      <alignment horizontal="left" vertical="bottom" textRotation="0" relativeIndent="1" justifyLastLine="0" shrinkToFit="0" readingOrder="0"/>
      <protection locked="1" hidden="1"/>
    </dxf>
    <dxf>
      <font>
        <strike val="0"/>
        <outline val="0"/>
        <shadow val="0"/>
        <u val="none"/>
        <vertAlign val="baseline"/>
        <sz val="12"/>
        <name val="Besley"/>
        <scheme val="major"/>
      </font>
      <fill>
        <patternFill patternType="none">
          <fgColor indexed="64"/>
          <bgColor auto="1"/>
        </patternFill>
      </fill>
      <protection locked="1" hidden="1"/>
    </dxf>
    <dxf>
      <font>
        <strike val="0"/>
        <outline val="0"/>
        <shadow val="0"/>
        <u val="none"/>
        <vertAlign val="baseline"/>
        <sz val="12"/>
        <name val="Besley"/>
        <scheme val="major"/>
      </font>
      <fill>
        <patternFill patternType="none">
          <fgColor indexed="64"/>
          <bgColor auto="1"/>
        </patternFill>
      </fill>
      <protection locked="1" hidden="1"/>
    </dxf>
    <dxf>
      <font>
        <strike val="0"/>
        <outline val="0"/>
        <shadow val="0"/>
        <u val="none"/>
        <vertAlign val="baseline"/>
        <sz val="12"/>
        <color theme="4"/>
        <name val="Besley"/>
        <scheme val="major"/>
      </font>
      <fill>
        <patternFill patternType="none">
          <fgColor indexed="64"/>
          <bgColor auto="1"/>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5" formatCode="#,##0_);\(#,##0\)"/>
      <alignment horizontal="right" vertical="bottom" textRotation="0" wrapText="0" indent="1" justifyLastLine="0" shrinkToFit="0" readingOrder="0"/>
      <protection locked="1" hidden="0"/>
    </dxf>
    <dxf>
      <font>
        <strike val="0"/>
        <outline val="0"/>
        <shadow val="0"/>
        <u val="none"/>
        <vertAlign val="baseline"/>
        <sz val="12"/>
        <color theme="4"/>
        <name val="Besley"/>
        <scheme val="major"/>
      </font>
      <numFmt numFmtId="5" formatCode="#,##0_);\(#,##0\)"/>
      <fill>
        <patternFill patternType="none">
          <fgColor indexed="64"/>
          <bgColor auto="1"/>
        </patternFill>
      </fill>
      <alignment horizontal="right" vertical="bottom" textRotation="0" wrapText="0" relativeIndent="1" justifyLastLine="0" shrinkToFit="0" readingOrder="0"/>
      <protection locked="1" hidden="1"/>
    </dxf>
    <dxf>
      <font>
        <b val="0"/>
        <i val="0"/>
        <strike val="0"/>
        <condense val="0"/>
        <extend val="0"/>
        <outline val="0"/>
        <shadow val="0"/>
        <u val="none"/>
        <vertAlign val="baseline"/>
        <sz val="12"/>
        <color theme="4"/>
        <name val="Besley"/>
        <scheme val="major"/>
      </font>
      <numFmt numFmtId="164" formatCode="000000"/>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ajor"/>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aj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aj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4"/>
        <name val="Besley"/>
        <scheme val="major"/>
      </font>
      <protection locked="1" hidden="1"/>
    </dxf>
    <dxf>
      <font>
        <strike val="0"/>
        <outline val="0"/>
        <shadow val="0"/>
        <u val="none"/>
        <vertAlign val="baseline"/>
        <sz val="12"/>
        <name val="Besley"/>
        <scheme val="major"/>
      </font>
      <fill>
        <patternFill patternType="none">
          <fgColor indexed="64"/>
          <bgColor auto="1"/>
        </patternFill>
      </fill>
      <alignment horizontal="left" vertical="bottom" textRotation="0" relativeIndent="1" justifyLastLine="0" shrinkToFit="0" readingOrder="0"/>
      <protection locked="1" hidden="1"/>
    </dxf>
    <dxf>
      <font>
        <strike val="0"/>
        <outline val="0"/>
        <shadow val="0"/>
        <u val="none"/>
        <vertAlign val="baseline"/>
        <sz val="12"/>
        <name val="Besley"/>
        <scheme val="major"/>
      </font>
      <fill>
        <patternFill patternType="none">
          <fgColor indexed="64"/>
          <bgColor auto="1"/>
        </patternFill>
      </fill>
      <protection locked="1" hidden="1"/>
    </dxf>
    <dxf>
      <font>
        <strike val="0"/>
        <outline val="0"/>
        <shadow val="0"/>
        <u val="none"/>
        <vertAlign val="baseline"/>
        <sz val="12"/>
        <name val="Besley"/>
        <scheme val="major"/>
      </font>
      <fill>
        <patternFill patternType="none">
          <fgColor indexed="64"/>
          <bgColor auto="1"/>
        </patternFill>
      </fill>
      <protection locked="1" hidden="1"/>
    </dxf>
    <dxf>
      <font>
        <strike val="0"/>
        <outline val="0"/>
        <shadow val="0"/>
        <u val="none"/>
        <vertAlign val="baseline"/>
        <sz val="12"/>
        <color theme="4"/>
        <name val="Besley"/>
        <scheme val="major"/>
      </font>
      <fill>
        <patternFill patternType="none">
          <fgColor indexed="64"/>
          <bgColor auto="1"/>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indexed="65"/>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border diagonalUp="0" diagonalDown="0">
        <left style="medium">
          <color theme="4"/>
        </left>
        <right style="medium">
          <color theme="4"/>
        </right>
        <top/>
        <bottom/>
        <vertical/>
        <horizontal/>
      </border>
      <protection locked="1" hidden="0"/>
    </dxf>
    <dxf>
      <font>
        <b/>
        <i val="0"/>
        <strike val="0"/>
        <condense val="0"/>
        <extend val="0"/>
        <outline val="0"/>
        <shadow val="0"/>
        <u val="none"/>
        <vertAlign val="baseline"/>
        <sz val="12"/>
        <color theme="5" tint="-0.499984740745262"/>
        <name val="Besley"/>
        <scheme val="major"/>
      </font>
      <numFmt numFmtId="3" formatCode="#,##0"/>
      <fill>
        <patternFill patternType="none">
          <fgColor indexed="64"/>
          <bgColor indexed="65"/>
        </patternFill>
      </fill>
      <alignment horizontal="right" vertical="bottom" textRotation="0" wrapText="0" indent="1" justifyLastLine="0" shrinkToFit="0" readingOrder="0"/>
      <border diagonalUp="0" diagonalDown="0">
        <left style="medium">
          <color theme="4"/>
        </left>
        <right style="medium">
          <color theme="4"/>
        </right>
        <top/>
        <bottom/>
        <vertical/>
        <horizontal/>
      </border>
      <protection locked="1" hidden="0"/>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indexed="65"/>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164" formatCode="000000"/>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family val="2"/>
        <scheme val="major"/>
      </font>
      <numFmt numFmtId="164" formatCode="000000"/>
      <fill>
        <patternFill patternType="none">
          <fgColor indexed="64"/>
          <bgColor indexed="65"/>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fill>
        <patternFill patternType="none">
          <fgColor indexed="64"/>
          <bgColor indexed="65"/>
        </patternFill>
      </fill>
      <alignment horizontal="center" vertical="bottom" textRotation="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0" formatCode="General"/>
      <alignment horizontal="center" vertical="bottom" textRotation="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protection locked="1" hidden="1"/>
    </dxf>
    <dxf>
      <font>
        <b val="0"/>
        <i val="0"/>
        <strike val="0"/>
        <condense val="0"/>
        <extend val="0"/>
        <outline val="0"/>
        <shadow val="0"/>
        <u val="none"/>
        <vertAlign val="baseline"/>
        <sz val="12"/>
        <color theme="5" tint="-0.499984740745262"/>
        <name val="Besley"/>
        <scheme val="major"/>
      </font>
      <fill>
        <patternFill patternType="none">
          <fgColor indexed="64"/>
          <bgColor indexed="65"/>
        </patternFill>
      </fill>
      <alignment horizontal="left" vertical="bottom" textRotation="0" wrapText="0" relativeIndent="1" justifyLastLine="0" shrinkToFit="0" readingOrder="0"/>
      <protection locked="1" hidden="1"/>
    </dxf>
    <dxf>
      <protection locked="1" hidden="1"/>
    </dxf>
    <dxf>
      <font>
        <b val="0"/>
        <i val="0"/>
        <strike val="0"/>
        <condense val="0"/>
        <extend val="0"/>
        <outline val="0"/>
        <shadow val="0"/>
        <u val="none"/>
        <vertAlign val="baseline"/>
        <sz val="12"/>
        <color theme="5" tint="-0.499984740745262"/>
        <name val="Besley"/>
        <scheme val="major"/>
      </font>
      <fill>
        <patternFill patternType="none">
          <fgColor indexed="64"/>
          <bgColor indexed="65"/>
        </patternFill>
      </fill>
      <protection locked="1" hidden="1"/>
    </dxf>
    <dxf>
      <font>
        <b val="0"/>
        <i val="0"/>
        <strike val="0"/>
        <condense val="0"/>
        <extend val="0"/>
        <outline val="0"/>
        <shadow val="0"/>
        <u val="none"/>
        <vertAlign val="baseline"/>
        <sz val="12"/>
        <color theme="5" tint="-0.499984740745262"/>
        <name val="Besley"/>
        <scheme val="major"/>
      </font>
      <alignment horizontal="center" vertical="bottom" textRotation="0" wrapText="1"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indent="1" justifyLastLine="0" shrinkToFit="0" readingOrder="0"/>
      <protection locked="1" hidden="1"/>
    </dxf>
    <dxf>
      <font>
        <b/>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border diagonalUp="0" diagonalDown="0">
        <left style="medium">
          <color theme="4"/>
        </left>
        <right style="medium">
          <color theme="4"/>
        </right>
        <top/>
        <bottom/>
        <vertical/>
        <horizontal/>
      </border>
      <protection locked="1" hidden="0"/>
    </dxf>
    <dxf>
      <font>
        <b/>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indent="1" justifyLastLine="0" shrinkToFit="0" readingOrder="0"/>
      <border diagonalUp="0" diagonalDown="0">
        <left style="medium">
          <color theme="4"/>
        </left>
        <right style="medium">
          <color theme="4"/>
        </right>
        <top/>
        <bottom/>
        <vertical/>
        <horizontal/>
      </border>
      <protection locked="1" hidden="0"/>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protection locked="1" hidden="1"/>
    </dxf>
    <dxf>
      <font>
        <b val="0"/>
        <i val="0"/>
        <strike val="0"/>
        <condense val="0"/>
        <extend val="0"/>
        <outline val="0"/>
        <shadow val="0"/>
        <u val="none"/>
        <vertAlign val="baseline"/>
        <sz val="12"/>
        <color theme="5" tint="-0.499984740745262"/>
        <name val="Besley"/>
        <scheme val="major"/>
      </font>
      <fill>
        <patternFill patternType="none">
          <fgColor indexed="64"/>
          <bgColor auto="1"/>
        </patternFill>
      </fill>
      <protection locked="1" hidden="1"/>
    </dxf>
    <dxf>
      <font>
        <b val="0"/>
        <i val="0"/>
        <strike val="0"/>
        <condense val="0"/>
        <extend val="0"/>
        <outline val="0"/>
        <shadow val="0"/>
        <u val="none"/>
        <vertAlign val="baseline"/>
        <sz val="12"/>
        <color theme="5" tint="-0.499984740745262"/>
        <name val="Besley"/>
        <scheme val="major"/>
      </font>
      <fill>
        <patternFill patternType="none">
          <fgColor indexed="64"/>
          <bgColor indexed="65"/>
        </patternFill>
      </fill>
      <alignment horizontal="center" vertical="bottom" textRotation="0" indent="0" justifyLastLine="0" shrinkToFit="0" readingOrder="0"/>
      <protection locked="1" hidden="1"/>
    </dxf>
    <dxf>
      <numFmt numFmtId="0" formatCode="General"/>
      <alignment horizontal="center" vertical="bottom" textRotation="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protection locked="1" hidden="1"/>
    </dxf>
    <dxf>
      <font>
        <b val="0"/>
        <i val="0"/>
        <strike val="0"/>
        <condense val="0"/>
        <extend val="0"/>
        <outline val="0"/>
        <shadow val="0"/>
        <u val="none"/>
        <vertAlign val="baseline"/>
        <sz val="12"/>
        <color theme="5" tint="-0.499984740745262"/>
        <name val="Besley"/>
        <scheme val="major"/>
      </font>
      <fill>
        <patternFill patternType="none">
          <fgColor indexed="64"/>
          <bgColor auto="1"/>
        </patternFill>
      </fill>
      <alignment horizontal="left" vertical="bottom" textRotation="0" relativeIndent="1" justifyLastLine="0" shrinkToFit="0" readingOrder="0"/>
      <protection locked="1" hidden="1"/>
    </dxf>
    <dxf>
      <font>
        <strike val="0"/>
        <outline val="0"/>
        <shadow val="0"/>
        <u val="none"/>
        <vertAlign val="baseline"/>
        <color theme="5" tint="-0.499984740745262"/>
        <name val="Besley"/>
      </font>
      <fill>
        <patternFill patternType="none">
          <fgColor indexed="64"/>
          <bgColor auto="1"/>
        </patternFill>
      </fill>
      <protection locked="1" hidden="1"/>
    </dxf>
    <dxf>
      <font>
        <b val="0"/>
        <i val="0"/>
        <strike val="0"/>
        <condense val="0"/>
        <extend val="0"/>
        <outline val="0"/>
        <shadow val="0"/>
        <u val="none"/>
        <vertAlign val="baseline"/>
        <sz val="12"/>
        <color theme="5" tint="-0.499984740745262"/>
        <name val="Besley"/>
        <scheme val="major"/>
      </font>
      <fill>
        <patternFill patternType="none">
          <fgColor indexed="64"/>
          <bgColor auto="1"/>
        </patternFill>
      </fill>
      <protection locked="1" hidden="1"/>
    </dxf>
    <dxf>
      <font>
        <b val="0"/>
        <i val="0"/>
        <strike val="0"/>
        <condense val="0"/>
        <extend val="0"/>
        <outline val="0"/>
        <shadow val="0"/>
        <u val="none"/>
        <vertAlign val="baseline"/>
        <sz val="12"/>
        <color theme="5" tint="-0.499984740745262"/>
        <name val="Besley"/>
        <scheme val="major"/>
      </font>
      <alignment horizontal="center" vertical="bottom" textRotation="0" wrapText="1" indent="0" justifyLastLine="0" shrinkToFit="0" readingOrder="0"/>
      <protection locked="1" hidden="1"/>
    </dxf>
    <dxf>
      <font>
        <b/>
        <i val="0"/>
        <strike val="0"/>
        <condense val="0"/>
        <extend val="0"/>
        <outline val="0"/>
        <shadow val="0"/>
        <u val="none"/>
        <vertAlign val="baseline"/>
        <sz val="12"/>
        <color theme="5" tint="-0.499984740745262"/>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5" tint="-0.499984740745262"/>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5" tint="-0.499984740745262"/>
        <name val="Besley"/>
        <scheme val="major"/>
      </font>
      <numFmt numFmtId="5" formatCode="#,##0_);\(#,##0\)"/>
      <alignment horizontal="right" vertical="bottom" textRotation="0" wrapText="0" indent="1" justifyLastLine="0" shrinkToFit="0" readingOrder="0"/>
      <border diagonalUp="0" diagonalDown="0">
        <left style="medium">
          <color theme="4"/>
        </left>
        <right style="medium">
          <color theme="4"/>
        </right>
        <top/>
        <bottom/>
        <vertical/>
        <horizontal/>
      </border>
      <protection locked="1" hidden="0"/>
    </dxf>
    <dxf>
      <font>
        <b/>
        <i val="0"/>
        <strike val="0"/>
        <condense val="0"/>
        <extend val="0"/>
        <outline val="0"/>
        <shadow val="0"/>
        <u val="none"/>
        <vertAlign val="baseline"/>
        <sz val="12"/>
        <color theme="5" tint="-0.499984740745262"/>
        <name val="Besley"/>
        <scheme val="major"/>
      </font>
      <numFmt numFmtId="5" formatCode="#,##0_);\(#,##0\)"/>
      <fill>
        <patternFill patternType="none">
          <fgColor indexed="64"/>
          <bgColor auto="1"/>
        </patternFill>
      </fill>
      <alignment horizontal="right" vertical="bottom" textRotation="0" wrapText="0" indent="1" justifyLastLine="0" shrinkToFit="0" readingOrder="0"/>
      <border diagonalUp="0" diagonalDown="0">
        <left style="medium">
          <color theme="4"/>
        </left>
        <right style="medium">
          <color theme="4"/>
        </right>
        <top/>
        <bottom/>
        <vertical/>
        <horizontal/>
      </border>
      <protection locked="1" hidden="1"/>
    </dxf>
    <dxf>
      <font>
        <b/>
        <i val="0"/>
        <strike val="0"/>
        <condense val="0"/>
        <extend val="0"/>
        <outline val="0"/>
        <shadow val="0"/>
        <u val="none"/>
        <vertAlign val="baseline"/>
        <sz val="12"/>
        <color theme="5" tint="-0.499984740745262"/>
        <name val="Besley"/>
        <scheme val="major"/>
      </font>
      <numFmt numFmtId="5" formatCode="#,##0_);\(#,##0\)"/>
      <alignment horizontal="right" vertical="bottom" textRotation="0" wrapText="0" indent="1" justifyLastLine="0" shrinkToFit="0" readingOrder="0"/>
      <protection locked="1" hidden="0"/>
    </dxf>
    <dxf>
      <font>
        <b val="0"/>
        <strike val="0"/>
        <outline val="0"/>
        <shadow val="0"/>
        <u val="none"/>
        <vertAlign val="baseline"/>
        <sz val="12"/>
        <color theme="5" tint="-0.499984740745262"/>
        <name val="Besley"/>
        <scheme val="maj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5" tint="-0.499984740745262"/>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5" tint="-0.499984740745262"/>
        <name val="Besley"/>
        <scheme val="major"/>
      </font>
      <numFmt numFmtId="5" formatCode="#,##0_);\(#,##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5" tint="-0.499984740745262"/>
        <name val="Besley"/>
        <scheme val="major"/>
      </font>
      <numFmt numFmtId="5" formatCode="#,##0_);\(#,##0\)"/>
      <alignment horizontal="right" vertical="bottom" textRotation="0" wrapText="0" indent="1" justifyLastLine="0" shrinkToFit="0" readingOrder="0"/>
      <protection locked="1" hidden="0"/>
    </dxf>
    <dxf>
      <font>
        <b val="0"/>
        <strike val="0"/>
        <outline val="0"/>
        <shadow val="0"/>
        <u val="none"/>
        <vertAlign val="baseline"/>
        <sz val="12"/>
        <color theme="5" tint="-0.499984740745262"/>
        <name val="Besley"/>
        <scheme val="maj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5" tint="-0.499984740745262"/>
        <name val="Besley"/>
        <scheme val="major"/>
      </font>
      <numFmt numFmtId="5" formatCode="#,##0_);\(#,##0\)"/>
      <alignment horizontal="right" vertical="bottom" textRotation="0" wrapText="0" indent="1" justifyLastLine="0" shrinkToFit="0" readingOrder="0"/>
      <protection locked="1" hidden="0"/>
    </dxf>
    <dxf>
      <font>
        <b val="0"/>
        <strike val="0"/>
        <outline val="0"/>
        <shadow val="0"/>
        <u val="none"/>
        <vertAlign val="baseline"/>
        <sz val="12"/>
        <color theme="5" tint="-0.499984740745262"/>
        <name val="Besley"/>
        <scheme val="maj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5" tint="-0.499984740745262"/>
        <name val="Besley"/>
        <scheme val="major"/>
      </font>
      <numFmt numFmtId="5" formatCode="#,##0_);\(#,##0\)"/>
      <alignment horizontal="right" vertical="bottom" textRotation="0" wrapText="0" indent="1" justifyLastLine="0" shrinkToFit="0" readingOrder="0"/>
      <protection locked="1" hidden="0"/>
    </dxf>
    <dxf>
      <font>
        <b val="0"/>
        <strike val="0"/>
        <outline val="0"/>
        <shadow val="0"/>
        <u val="none"/>
        <vertAlign val="baseline"/>
        <sz val="12"/>
        <color theme="5" tint="-0.499984740745262"/>
        <name val="Besley"/>
        <scheme val="major"/>
      </font>
      <numFmt numFmtId="5" formatCode="#,##0_);\(#,##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164" formatCode="000000"/>
      <alignment horizontal="center" vertical="bottom" textRotation="0" wrapText="0" indent="0" justifyLastLine="0" shrinkToFit="0" readingOrder="0"/>
      <protection locked="1" hidden="1"/>
    </dxf>
    <dxf>
      <font>
        <b val="0"/>
        <strike val="0"/>
        <outline val="0"/>
        <shadow val="0"/>
        <u val="none"/>
        <vertAlign val="baseline"/>
        <sz val="12"/>
        <color theme="5" tint="-0.499984740745262"/>
        <name val="Besley"/>
        <scheme val="major"/>
      </font>
      <fill>
        <patternFill patternType="none">
          <fgColor indexed="64"/>
          <bgColor auto="1"/>
        </patternFill>
      </fill>
      <protection locked="1" hidden="1"/>
    </dxf>
    <dxf>
      <font>
        <b val="0"/>
        <i val="0"/>
        <strike val="0"/>
        <condense val="0"/>
        <extend val="0"/>
        <outline val="0"/>
        <shadow val="0"/>
        <u val="none"/>
        <vertAlign val="baseline"/>
        <sz val="12"/>
        <color theme="5" tint="-0.499984740745262"/>
        <name val="Besley"/>
        <scheme val="major"/>
      </font>
      <fill>
        <patternFill patternType="none">
          <fgColor indexed="64"/>
          <bgColor indexed="65"/>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0" formatCode="General"/>
      <alignment horizontal="center" vertical="bottom" textRotation="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protection locked="1" hidden="1"/>
    </dxf>
    <dxf>
      <font>
        <b val="0"/>
        <strike val="0"/>
        <outline val="0"/>
        <shadow val="0"/>
        <u val="none"/>
        <vertAlign val="baseline"/>
        <sz val="12"/>
        <color theme="5" tint="-0.499984740745262"/>
        <name val="Besley"/>
        <scheme val="major"/>
      </font>
      <fill>
        <patternFill patternType="none">
          <fgColor indexed="64"/>
          <bgColor auto="1"/>
        </patternFill>
      </fill>
      <alignment horizontal="left" vertical="bottom" textRotation="0" relativeIndent="1" justifyLastLine="0" shrinkToFit="0" readingOrder="0"/>
      <protection locked="1" hidden="1"/>
    </dxf>
    <dxf>
      <font>
        <b val="0"/>
        <strike val="0"/>
        <outline val="0"/>
        <shadow val="0"/>
        <u val="none"/>
        <vertAlign val="baseline"/>
        <sz val="12"/>
        <color theme="5" tint="-0.499984740745262"/>
        <name val="Besley"/>
        <scheme val="major"/>
      </font>
      <fill>
        <patternFill patternType="none">
          <fgColor indexed="64"/>
          <bgColor auto="1"/>
        </patternFill>
      </fill>
      <protection locked="1" hidden="1"/>
    </dxf>
    <dxf>
      <font>
        <b val="0"/>
        <strike val="0"/>
        <outline val="0"/>
        <shadow val="0"/>
        <u val="none"/>
        <vertAlign val="baseline"/>
        <sz val="12"/>
        <color theme="5" tint="-0.499984740745262"/>
        <name val="Besley"/>
        <scheme val="major"/>
      </font>
      <fill>
        <patternFill patternType="none">
          <fgColor indexed="64"/>
          <bgColor auto="1"/>
        </patternFill>
      </fill>
      <protection locked="1" hidden="1"/>
    </dxf>
    <dxf>
      <font>
        <b val="0"/>
        <i val="0"/>
        <strike val="0"/>
        <condense val="0"/>
        <extend val="0"/>
        <outline val="0"/>
        <shadow val="0"/>
        <u val="none"/>
        <vertAlign val="baseline"/>
        <sz val="12"/>
        <color theme="5" tint="-0.499984740745262"/>
        <name val="Besley"/>
        <scheme val="major"/>
      </font>
      <alignment horizontal="center" vertical="bottom" textRotation="0" wrapText="1"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dxf>
    <dxf>
      <font>
        <b val="0"/>
        <strike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dxf>
    <dxf>
      <font>
        <b val="0"/>
        <strike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border diagonalUp="0" diagonalDown="0" outline="0">
        <left style="medium">
          <color theme="4"/>
        </left>
        <right style="medium">
          <color theme="4"/>
        </right>
        <top/>
        <bottom/>
      </border>
    </dxf>
    <dxf>
      <font>
        <b/>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border diagonalUp="0" diagonalDown="0">
        <left style="medium">
          <color theme="4"/>
        </left>
        <right style="medium">
          <color theme="4"/>
        </right>
        <top/>
        <bottom/>
        <vertical/>
        <horizontal/>
      </border>
      <protection locked="1" hidden="0"/>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dxf>
    <dxf>
      <font>
        <b val="0"/>
        <strike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dxf>
    <dxf>
      <font>
        <b val="0"/>
        <strike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dxf>
    <dxf>
      <font>
        <b val="0"/>
        <strike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dxf>
    <dxf>
      <font>
        <b val="0"/>
        <strike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164" formatCode="000000"/>
      <alignment horizontal="center" vertical="bottom" textRotation="0" wrapText="0" indent="0" justifyLastLine="0" shrinkToFit="0" readingOrder="0"/>
      <protection locked="1" hidden="1"/>
    </dxf>
    <dxf>
      <font>
        <b val="0"/>
        <strike val="0"/>
        <outline val="0"/>
        <shadow val="0"/>
        <u val="none"/>
        <vertAlign val="baseline"/>
        <sz val="12"/>
        <color theme="5" tint="-0.499984740745262"/>
        <name val="Besley"/>
        <scheme val="major"/>
      </font>
      <fill>
        <patternFill patternType="none">
          <fgColor indexed="64"/>
          <bgColor auto="1"/>
        </patternFill>
      </fill>
      <protection locked="1" hidden="1"/>
    </dxf>
    <dxf>
      <font>
        <b val="0"/>
        <i val="0"/>
        <strike val="0"/>
        <condense val="0"/>
        <extend val="0"/>
        <outline val="0"/>
        <shadow val="0"/>
        <u val="none"/>
        <vertAlign val="baseline"/>
        <sz val="12"/>
        <color theme="5" tint="-0.499984740745262"/>
        <name val="Besley"/>
        <scheme val="major"/>
      </font>
      <fill>
        <patternFill patternType="none">
          <fgColor indexed="64"/>
          <bgColor indexed="65"/>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0" formatCode="General"/>
      <alignment horizontal="center" vertical="bottom" textRotation="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protection locked="1" hidden="1"/>
    </dxf>
    <dxf>
      <font>
        <b val="0"/>
        <strike val="0"/>
        <outline val="0"/>
        <shadow val="0"/>
        <u val="none"/>
        <vertAlign val="baseline"/>
        <sz val="12"/>
        <color theme="5" tint="-0.499984740745262"/>
        <name val="Besley"/>
        <scheme val="major"/>
      </font>
      <fill>
        <patternFill patternType="none">
          <fgColor indexed="64"/>
          <bgColor auto="1"/>
        </patternFill>
      </fill>
      <alignment horizontal="left" vertical="bottom" textRotation="0" relativeIndent="1" justifyLastLine="0" shrinkToFit="0" readingOrder="0"/>
      <protection locked="1" hidden="1"/>
    </dxf>
    <dxf>
      <font>
        <b val="0"/>
        <strike val="0"/>
        <outline val="0"/>
        <shadow val="0"/>
        <u val="none"/>
        <vertAlign val="baseline"/>
        <sz val="12"/>
        <color theme="5" tint="-0.499984740745262"/>
        <name val="Besley"/>
        <scheme val="major"/>
      </font>
      <fill>
        <patternFill patternType="none">
          <fgColor indexed="64"/>
          <bgColor auto="1"/>
        </patternFill>
      </fill>
      <protection locked="1" hidden="1"/>
    </dxf>
    <dxf>
      <font>
        <b val="0"/>
        <strike val="0"/>
        <outline val="0"/>
        <shadow val="0"/>
        <u val="none"/>
        <vertAlign val="baseline"/>
        <sz val="12"/>
        <color theme="5" tint="-0.499984740745262"/>
        <name val="Besley"/>
        <scheme val="major"/>
      </font>
      <fill>
        <patternFill patternType="none">
          <fgColor indexed="64"/>
          <bgColor auto="1"/>
        </patternFill>
      </fill>
      <protection locked="1" hidden="1"/>
    </dxf>
    <dxf>
      <font>
        <b val="0"/>
        <i val="0"/>
        <strike val="0"/>
        <condense val="0"/>
        <extend val="0"/>
        <outline val="0"/>
        <shadow val="0"/>
        <u val="none"/>
        <vertAlign val="baseline"/>
        <sz val="12"/>
        <color theme="5" tint="-0.499984740745262"/>
        <name val="Besley"/>
        <scheme val="major"/>
      </font>
      <alignment horizontal="center" vertical="bottom" textRotation="0" wrapText="1"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border diagonalUp="0" diagonalDown="0">
        <left style="medium">
          <color theme="4"/>
        </left>
        <right style="medium">
          <color theme="4"/>
        </right>
        <top/>
        <bottom/>
        <vertical/>
        <horizontal/>
      </border>
      <protection locked="1" hidden="0"/>
    </dxf>
    <dxf>
      <font>
        <b/>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border diagonalUp="0" diagonalDown="0">
        <left style="medium">
          <color theme="4"/>
        </left>
        <right style="medium">
          <color theme="4"/>
        </right>
        <top/>
        <bottom/>
        <vertical/>
        <horizontal/>
      </border>
      <protection locked="1" hidden="0"/>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strike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strike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strike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164" formatCode="000000"/>
      <alignment horizontal="center" vertical="bottom" textRotation="0" wrapText="0" indent="0" justifyLastLine="0" shrinkToFit="0" readingOrder="0"/>
      <protection locked="1" hidden="1"/>
    </dxf>
    <dxf>
      <font>
        <b val="0"/>
        <strike val="0"/>
        <outline val="0"/>
        <shadow val="0"/>
        <u val="none"/>
        <vertAlign val="baseline"/>
        <sz val="12"/>
        <color theme="5" tint="-0.499984740745262"/>
        <name val="Besley"/>
        <scheme val="major"/>
      </font>
      <fill>
        <patternFill patternType="none">
          <fgColor indexed="64"/>
          <bgColor auto="1"/>
        </patternFill>
      </fill>
      <protection locked="1" hidden="1"/>
    </dxf>
    <dxf>
      <font>
        <b val="0"/>
        <i val="0"/>
        <strike val="0"/>
        <condense val="0"/>
        <extend val="0"/>
        <outline val="0"/>
        <shadow val="0"/>
        <u val="none"/>
        <vertAlign val="baseline"/>
        <sz val="12"/>
        <color theme="5" tint="-0.499984740745262"/>
        <name val="Besley"/>
        <scheme val="major"/>
      </font>
      <fill>
        <patternFill patternType="none">
          <fgColor indexed="64"/>
          <bgColor indexed="65"/>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0" formatCode="General"/>
      <alignment horizontal="center" vertical="bottom" textRotation="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protection locked="1" hidden="1"/>
    </dxf>
    <dxf>
      <font>
        <b val="0"/>
        <strike val="0"/>
        <outline val="0"/>
        <shadow val="0"/>
        <u val="none"/>
        <vertAlign val="baseline"/>
        <sz val="12"/>
        <color theme="5" tint="-0.499984740745262"/>
        <name val="Besley"/>
        <scheme val="major"/>
      </font>
      <fill>
        <patternFill patternType="none">
          <fgColor indexed="64"/>
          <bgColor auto="1"/>
        </patternFill>
      </fill>
      <alignment horizontal="left" vertical="bottom" textRotation="0" relativeIndent="1" justifyLastLine="0" shrinkToFit="0" readingOrder="0"/>
      <protection locked="1" hidden="1"/>
    </dxf>
    <dxf>
      <font>
        <b val="0"/>
        <strike val="0"/>
        <outline val="0"/>
        <shadow val="0"/>
        <u val="none"/>
        <vertAlign val="baseline"/>
        <sz val="12"/>
        <color theme="5" tint="-0.499984740745262"/>
        <name val="Besley"/>
        <scheme val="major"/>
      </font>
      <fill>
        <patternFill patternType="none">
          <fgColor indexed="64"/>
          <bgColor auto="1"/>
        </patternFill>
      </fill>
      <protection locked="1" hidden="1"/>
    </dxf>
    <dxf>
      <font>
        <b val="0"/>
        <strike val="0"/>
        <outline val="0"/>
        <shadow val="0"/>
        <u val="none"/>
        <vertAlign val="baseline"/>
        <sz val="12"/>
        <color theme="5" tint="-0.499984740745262"/>
        <name val="Besley"/>
        <scheme val="major"/>
      </font>
      <fill>
        <patternFill patternType="none">
          <fgColor indexed="64"/>
          <bgColor auto="1"/>
        </patternFill>
      </fill>
      <protection locked="1" hidden="1"/>
    </dxf>
    <dxf>
      <font>
        <b val="0"/>
        <i val="0"/>
        <strike val="0"/>
        <condense val="0"/>
        <extend val="0"/>
        <outline val="0"/>
        <shadow val="0"/>
        <u val="none"/>
        <vertAlign val="baseline"/>
        <sz val="12"/>
        <color theme="5" tint="-0.499984740745262"/>
        <name val="Besley"/>
        <scheme val="major"/>
      </font>
      <alignment horizontal="center" vertical="bottom" textRotation="0" wrapText="1"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border diagonalUp="0" diagonalDown="0">
        <left style="medium">
          <color theme="4"/>
        </left>
        <right style="medium">
          <color theme="4"/>
        </right>
        <top/>
        <bottom/>
        <vertical/>
        <horizontal/>
      </border>
      <protection locked="1" hidden="0"/>
    </dxf>
    <dxf>
      <font>
        <b/>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border diagonalUp="0" diagonalDown="0">
        <left style="medium">
          <color theme="4"/>
        </left>
        <right style="medium">
          <color theme="4"/>
        </right>
        <top/>
        <bottom/>
        <vertical/>
        <horizontal/>
      </border>
      <protection locked="1" hidden="0"/>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i val="0"/>
        <strike val="0"/>
        <condense val="0"/>
        <extend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strike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3" formatCode="#,##0"/>
      <alignment horizontal="right" vertical="bottom" textRotation="0" wrapText="0" indent="1" justifyLastLine="0" shrinkToFit="0" readingOrder="0"/>
      <protection locked="1" hidden="0"/>
    </dxf>
    <dxf>
      <font>
        <b val="0"/>
        <strike val="0"/>
        <outline val="0"/>
        <shadow val="0"/>
        <u val="none"/>
        <vertAlign val="baseline"/>
        <sz val="12"/>
        <color theme="5" tint="-0.499984740745262"/>
        <name val="Besley"/>
        <scheme val="major"/>
      </font>
      <numFmt numFmtId="3" formatCode="#,##0"/>
      <fill>
        <patternFill patternType="none">
          <fgColor indexed="64"/>
          <bgColor auto="1"/>
        </patternFill>
      </fill>
      <alignment horizontal="right" vertical="bottom" textRotation="0" wrapText="0" indent="1"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164" formatCode="000000"/>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164" formatCode="000000"/>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fill>
        <patternFill patternType="none">
          <fgColor indexed="64"/>
          <bgColor indexed="65"/>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numFmt numFmtId="0" formatCode="General"/>
      <alignment horizontal="center" vertical="bottom" textRotation="0" indent="0" justifyLastLine="0" shrinkToFit="0" readingOrder="0"/>
      <protection locked="1" hidden="1"/>
    </dxf>
    <dxf>
      <font>
        <b val="0"/>
        <i val="0"/>
        <strike val="0"/>
        <condense val="0"/>
        <extend val="0"/>
        <outline val="0"/>
        <shadow val="0"/>
        <u val="none"/>
        <vertAlign val="baseline"/>
        <sz val="12"/>
        <color theme="5" tint="-0.499984740745262"/>
        <name val="Besley"/>
        <scheme val="major"/>
      </font>
      <protection locked="1" hidden="1"/>
    </dxf>
    <dxf>
      <font>
        <b val="0"/>
        <strike val="0"/>
        <outline val="0"/>
        <shadow val="0"/>
        <u val="none"/>
        <vertAlign val="baseline"/>
        <sz val="12"/>
        <color theme="5" tint="-0.499984740745262"/>
        <name val="Besley"/>
        <scheme val="major"/>
      </font>
      <fill>
        <patternFill patternType="none">
          <fgColor indexed="64"/>
          <bgColor auto="1"/>
        </patternFill>
      </fill>
      <alignment horizontal="left" vertical="bottom" textRotation="0" relativeIndent="1" justifyLastLine="0" shrinkToFit="0" readingOrder="0"/>
      <protection locked="1" hidden="1"/>
    </dxf>
    <dxf>
      <font>
        <b val="0"/>
        <strike val="0"/>
        <outline val="0"/>
        <shadow val="0"/>
        <u val="none"/>
        <vertAlign val="baseline"/>
        <sz val="12"/>
        <color theme="5" tint="-0.499984740745262"/>
        <name val="Besley"/>
        <scheme val="major"/>
      </font>
      <fill>
        <patternFill patternType="none">
          <fgColor indexed="64"/>
          <bgColor auto="1"/>
        </patternFill>
      </fill>
      <protection locked="1" hidden="1"/>
    </dxf>
    <dxf>
      <font>
        <b val="0"/>
        <strike val="0"/>
        <outline val="0"/>
        <shadow val="0"/>
        <u val="none"/>
        <vertAlign val="baseline"/>
        <sz val="12"/>
        <color theme="5" tint="-0.499984740745262"/>
        <name val="Besley"/>
        <scheme val="major"/>
      </font>
      <fill>
        <patternFill patternType="none">
          <fgColor indexed="64"/>
          <bgColor auto="1"/>
        </patternFill>
      </fill>
      <protection locked="1" hidden="1"/>
    </dxf>
    <dxf>
      <font>
        <b val="0"/>
        <strike val="0"/>
        <outline val="0"/>
        <shadow val="0"/>
        <u val="none"/>
        <vertAlign val="baseline"/>
        <sz val="12"/>
        <color theme="5" tint="-0.499984740745262"/>
        <name val="Besley"/>
        <scheme val="major"/>
      </font>
      <fill>
        <patternFill patternType="none">
          <fgColor indexed="64"/>
          <bgColor auto="1"/>
        </patternFill>
      </fill>
      <alignment horizontal="general" vertical="bottom" textRotation="0" wrapText="1" indent="0" justifyLastLine="0" shrinkToFit="0" readingOrder="0"/>
      <protection locked="1" hidden="1"/>
    </dxf>
    <dxf>
      <font>
        <color theme="4"/>
      </font>
      <fill>
        <patternFill>
          <bgColor theme="0"/>
        </patternFill>
      </fill>
    </dxf>
    <dxf>
      <font>
        <color theme="4"/>
      </font>
      <fill>
        <patternFill>
          <bgColor theme="5" tint="0.79998168889431442"/>
        </patternFill>
      </fill>
    </dxf>
    <dxf>
      <font>
        <b/>
        <i val="0"/>
        <color theme="4"/>
      </font>
      <fill>
        <patternFill>
          <bgColor theme="8"/>
        </patternFill>
      </fill>
      <border>
        <left/>
        <right/>
        <top style="double">
          <color theme="4"/>
        </top>
        <bottom style="thin">
          <color theme="4"/>
        </bottom>
        <vertical/>
        <horizontal/>
      </border>
    </dxf>
    <dxf>
      <font>
        <b/>
        <i val="0"/>
        <color theme="4"/>
      </font>
      <fill>
        <patternFill>
          <bgColor theme="0"/>
        </patternFill>
      </fill>
      <border>
        <left/>
        <right/>
        <top style="thin">
          <color theme="4"/>
        </top>
        <bottom style="thin">
          <color theme="4"/>
        </bottom>
        <vertical/>
        <horizontal/>
      </border>
    </dxf>
    <dxf>
      <font>
        <color theme="4"/>
      </font>
      <fill>
        <patternFill>
          <bgColor theme="0"/>
        </patternFill>
      </fill>
    </dxf>
    <dxf>
      <fill>
        <patternFill>
          <bgColor theme="5" tint="0.79998168889431442"/>
        </patternFill>
      </fill>
    </dxf>
    <dxf>
      <fill>
        <patternFill>
          <bgColor theme="0"/>
        </patternFill>
      </fill>
    </dxf>
  </dxfs>
  <tableStyles count="2" defaultTableStyle="TableStyleMedium2" defaultPivotStyle="PivotStyleLight16">
    <tableStyle name="BlueWhite" pivot="0" count="2" xr9:uid="{CA2B6A47-6215-43B1-ACAC-ABC6924DD1C7}">
      <tableStyleElement type="firstRowStripe" dxfId="1107"/>
      <tableStyleElement type="secondRowStripe" dxfId="1106"/>
    </tableStyle>
    <tableStyle name="General" pivot="0" count="5" xr9:uid="{85DD2FD5-2D0C-4EE1-AEFA-76C51781B97B}">
      <tableStyleElement type="wholeTable" dxfId="1105"/>
      <tableStyleElement type="headerRow" dxfId="1104"/>
      <tableStyleElement type="totalRow" dxfId="1103"/>
      <tableStyleElement type="firstRowStripe" dxfId="1102"/>
      <tableStyleElement type="secondRowStripe" dxfId="1101"/>
    </tableStyle>
  </tableStyles>
  <colors>
    <mruColors>
      <color rgb="FFD2F4FF"/>
      <color rgb="FFFFFFCC"/>
      <color rgb="FFAF211A"/>
      <color rgb="FFC5F1C5"/>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9"/></Relationships>
</file>

<file path=xl/drawings/_rels/drawing1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29"/></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32"/></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36"/></Relationships>
</file>

<file path=xl/drawings/_rels/drawing1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39"/></Relationships>
</file>

<file path=xl/drawings/_rels/drawing1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1"/></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7"/></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11"/></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12"/></Relationships>
</file>

<file path=xl/drawings/_rels/drawing6.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16"/></Relationships>
</file>

<file path=xl/drawings/_rels/drawing7.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17"/></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19"/></Relationships>
</file>

<file path=xl/drawings/_rels/drawing9.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dex!A22"/></Relationships>
</file>

<file path=xl/drawings/drawing1.xml><?xml version="1.0" encoding="utf-8"?>
<xdr:wsDr xmlns:xdr="http://schemas.openxmlformats.org/drawingml/2006/spreadsheetDrawing" xmlns:a="http://schemas.openxmlformats.org/drawingml/2006/main">
  <xdr:oneCellAnchor>
    <xdr:from>
      <xdr:col>6</xdr:col>
      <xdr:colOff>0</xdr:colOff>
      <xdr:row>33</xdr:row>
      <xdr:rowOff>209550</xdr:rowOff>
    </xdr:from>
    <xdr:ext cx="65" cy="236283"/>
    <xdr:sp macro="" textlink="">
      <xdr:nvSpPr>
        <xdr:cNvPr id="2" name="TextBox 1">
          <a:extLst>
            <a:ext uri="{FF2B5EF4-FFF2-40B4-BE49-F238E27FC236}">
              <a16:creationId xmlns:a16="http://schemas.microsoft.com/office/drawing/2014/main" id="{4F5F8332-6CAA-9E23-BB52-67DB2159097E}"/>
            </a:ext>
          </a:extLst>
        </xdr:cNvPr>
        <xdr:cNvSpPr txBox="1"/>
      </xdr:nvSpPr>
      <xdr:spPr>
        <a:xfrm>
          <a:off x="12299496" y="4944836"/>
          <a:ext cx="65" cy="2362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twoCellAnchor editAs="oneCell">
    <xdr:from>
      <xdr:col>3</xdr:col>
      <xdr:colOff>1802466</xdr:colOff>
      <xdr:row>40</xdr:row>
      <xdr:rowOff>332253</xdr:rowOff>
    </xdr:from>
    <xdr:to>
      <xdr:col>4</xdr:col>
      <xdr:colOff>2041731</xdr:colOff>
      <xdr:row>45</xdr:row>
      <xdr:rowOff>20163</xdr:rowOff>
    </xdr:to>
    <xdr:pic>
      <xdr:nvPicPr>
        <xdr:cNvPr id="7" name="Picture 6" descr="The worksheet tab colors have specific meanings. Pale yellow signifies that the data on the worksheet is meant to provide definitions or descriptions for specific terms or acronyms. Dark blue signifies that the worksheet provides details for an individual institution. Light blue signifies that the data on the worksheet is an output report. The data is published in the THECB website, the THECB Almanac, the Texas Higher Education Accountability System, or to an external agency. The color beige signifies that the data is a feeder report or the input data from survey submissions.">
          <a:extLst>
            <a:ext uri="{FF2B5EF4-FFF2-40B4-BE49-F238E27FC236}">
              <a16:creationId xmlns:a16="http://schemas.microsoft.com/office/drawing/2014/main" id="{79AEE665-FA08-FA13-B329-09992DE9CB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87995" y="14451665"/>
          <a:ext cx="2446824" cy="1413392"/>
        </a:xfrm>
        <a:prstGeom prst="rect">
          <a:avLst/>
        </a:prstGeom>
        <a:ln w="9525">
          <a:solidFill>
            <a:schemeClr val="accent1"/>
          </a:solid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2269656</xdr:colOff>
      <xdr:row>0</xdr:row>
      <xdr:rowOff>0</xdr:rowOff>
    </xdr:from>
    <xdr:to>
      <xdr:col>5</xdr:col>
      <xdr:colOff>515134</xdr:colOff>
      <xdr:row>0</xdr:row>
      <xdr:rowOff>476865</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CCD11181-40F9-4872-AB52-DB229A18158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9979303" y="0"/>
          <a:ext cx="576078" cy="47686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171450</xdr:colOff>
      <xdr:row>0</xdr:row>
      <xdr:rowOff>0</xdr:rowOff>
    </xdr:from>
    <xdr:to>
      <xdr:col>7</xdr:col>
      <xdr:colOff>624840</xdr:colOff>
      <xdr:row>1</xdr:row>
      <xdr:rowOff>21570</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0E88A81C-1089-4BE2-AFB2-BB32AA95189D}"/>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407015" y="0"/>
          <a:ext cx="457200" cy="45972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78070</xdr:colOff>
      <xdr:row>0</xdr:row>
      <xdr:rowOff>0</xdr:rowOff>
    </xdr:from>
    <xdr:to>
      <xdr:col>7</xdr:col>
      <xdr:colOff>531110</xdr:colOff>
      <xdr:row>1</xdr:row>
      <xdr:rowOff>17998</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89E23918-CCD9-44EB-8FEE-44A0156F122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1384245" y="0"/>
          <a:ext cx="453040" cy="45614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11</xdr:col>
      <xdr:colOff>78070</xdr:colOff>
      <xdr:row>0</xdr:row>
      <xdr:rowOff>27214</xdr:rowOff>
    </xdr:from>
    <xdr:to>
      <xdr:col>11</xdr:col>
      <xdr:colOff>531110</xdr:colOff>
      <xdr:row>0</xdr:row>
      <xdr:rowOff>493447</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2167918C-976D-4BD9-8690-51AAE3DB45E5}"/>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8787891" y="27214"/>
          <a:ext cx="453040" cy="46623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152400</xdr:colOff>
      <xdr:row>0</xdr:row>
      <xdr:rowOff>19050</xdr:rowOff>
    </xdr:from>
    <xdr:to>
      <xdr:col>4</xdr:col>
      <xdr:colOff>628921</xdr:colOff>
      <xdr:row>0</xdr:row>
      <xdr:rowOff>456887</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90397EAE-08FC-449C-8868-D284B90681F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2353925" y="19050"/>
          <a:ext cx="480331" cy="43783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78070</xdr:colOff>
      <xdr:row>0</xdr:row>
      <xdr:rowOff>0</xdr:rowOff>
    </xdr:from>
    <xdr:to>
      <xdr:col>5</xdr:col>
      <xdr:colOff>531110</xdr:colOff>
      <xdr:row>1</xdr:row>
      <xdr:rowOff>21808</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6444632F-ED5C-414E-BAD2-638677AF2D5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1384245" y="0"/>
          <a:ext cx="453040" cy="4561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149679</xdr:colOff>
      <xdr:row>16</xdr:row>
      <xdr:rowOff>108857</xdr:rowOff>
    </xdr:from>
    <xdr:to>
      <xdr:col>10</xdr:col>
      <xdr:colOff>643944</xdr:colOff>
      <xdr:row>24</xdr:row>
      <xdr:rowOff>171252</xdr:rowOff>
    </xdr:to>
    <xdr:grpSp>
      <xdr:nvGrpSpPr>
        <xdr:cNvPr id="19" name="Group 18">
          <a:extLst>
            <a:ext uri="{FF2B5EF4-FFF2-40B4-BE49-F238E27FC236}">
              <a16:creationId xmlns:a16="http://schemas.microsoft.com/office/drawing/2014/main" id="{156B3F76-9936-5AC1-BE4E-49DF29D10D25}"/>
            </a:ext>
          </a:extLst>
        </xdr:cNvPr>
        <xdr:cNvGrpSpPr/>
      </xdr:nvGrpSpPr>
      <xdr:grpSpPr>
        <a:xfrm>
          <a:off x="15204622" y="5584371"/>
          <a:ext cx="1952951" cy="2849138"/>
          <a:chOff x="11907988" y="4336336"/>
          <a:chExt cx="1864243" cy="2559161"/>
        </a:xfrm>
      </xdr:grpSpPr>
      <xdr:cxnSp macro="">
        <xdr:nvCxnSpPr>
          <xdr:cNvPr id="3" name="Straight Arrow Connector 2">
            <a:extLst>
              <a:ext uri="{FF2B5EF4-FFF2-40B4-BE49-F238E27FC236}">
                <a16:creationId xmlns:a16="http://schemas.microsoft.com/office/drawing/2014/main" id="{9DF63E3F-16D9-20CC-0D0A-623E417C3684}"/>
              </a:ext>
            </a:extLst>
          </xdr:cNvPr>
          <xdr:cNvCxnSpPr/>
        </xdr:nvCxnSpPr>
        <xdr:spPr>
          <a:xfrm flipH="1" flipV="1">
            <a:off x="11907988" y="4336336"/>
            <a:ext cx="1864243" cy="1150"/>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10" name="Straight Arrow Connector 9">
            <a:extLst>
              <a:ext uri="{FF2B5EF4-FFF2-40B4-BE49-F238E27FC236}">
                <a16:creationId xmlns:a16="http://schemas.microsoft.com/office/drawing/2014/main" id="{BFFABFE7-70E4-DC64-A279-C0C6C7C9D853}"/>
              </a:ext>
            </a:extLst>
          </xdr:cNvPr>
          <xdr:cNvCxnSpPr/>
        </xdr:nvCxnSpPr>
        <xdr:spPr>
          <a:xfrm>
            <a:off x="13771647" y="4340748"/>
            <a:ext cx="0" cy="2554749"/>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twoCellAnchor>
    <xdr:from>
      <xdr:col>8</xdr:col>
      <xdr:colOff>96757</xdr:colOff>
      <xdr:row>26</xdr:row>
      <xdr:rowOff>48197</xdr:rowOff>
    </xdr:from>
    <xdr:to>
      <xdr:col>10</xdr:col>
      <xdr:colOff>651100</xdr:colOff>
      <xdr:row>38</xdr:row>
      <xdr:rowOff>108116</xdr:rowOff>
    </xdr:to>
    <xdr:grpSp>
      <xdr:nvGrpSpPr>
        <xdr:cNvPr id="18" name="Group 17">
          <a:extLst>
            <a:ext uri="{FF2B5EF4-FFF2-40B4-BE49-F238E27FC236}">
              <a16:creationId xmlns:a16="http://schemas.microsoft.com/office/drawing/2014/main" id="{895A9ABB-169A-9A12-AE36-8C98B405F5B1}"/>
            </a:ext>
          </a:extLst>
        </xdr:cNvPr>
        <xdr:cNvGrpSpPr/>
      </xdr:nvGrpSpPr>
      <xdr:grpSpPr>
        <a:xfrm>
          <a:off x="15151700" y="9007140"/>
          <a:ext cx="2013029" cy="4240033"/>
          <a:chOff x="11855066" y="7226399"/>
          <a:chExt cx="1924321" cy="2783664"/>
        </a:xfrm>
      </xdr:grpSpPr>
      <xdr:cxnSp macro="">
        <xdr:nvCxnSpPr>
          <xdr:cNvPr id="8" name="Straight Arrow Connector 7">
            <a:extLst>
              <a:ext uri="{FF2B5EF4-FFF2-40B4-BE49-F238E27FC236}">
                <a16:creationId xmlns:a16="http://schemas.microsoft.com/office/drawing/2014/main" id="{DF822085-CD86-438E-B344-E8587A98449D}"/>
              </a:ext>
            </a:extLst>
          </xdr:cNvPr>
          <xdr:cNvCxnSpPr/>
        </xdr:nvCxnSpPr>
        <xdr:spPr>
          <a:xfrm flipH="1" flipV="1">
            <a:off x="11855066" y="10010063"/>
            <a:ext cx="1924321" cy="0"/>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16" name="Straight Arrow Connector 15">
            <a:extLst>
              <a:ext uri="{FF2B5EF4-FFF2-40B4-BE49-F238E27FC236}">
                <a16:creationId xmlns:a16="http://schemas.microsoft.com/office/drawing/2014/main" id="{37DBBE99-69CF-252C-A320-9BDEEC28689F}"/>
              </a:ext>
            </a:extLst>
          </xdr:cNvPr>
          <xdr:cNvCxnSpPr/>
        </xdr:nvCxnSpPr>
        <xdr:spPr>
          <a:xfrm flipH="1" flipV="1">
            <a:off x="13775986" y="7226399"/>
            <a:ext cx="0" cy="2780617"/>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twoCellAnchor editAs="oneCell">
    <xdr:from>
      <xdr:col>7</xdr:col>
      <xdr:colOff>1069522</xdr:colOff>
      <xdr:row>0</xdr:row>
      <xdr:rowOff>0</xdr:rowOff>
    </xdr:from>
    <xdr:to>
      <xdr:col>7</xdr:col>
      <xdr:colOff>1526722</xdr:colOff>
      <xdr:row>1</xdr:row>
      <xdr:rowOff>21122</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547B13FF-717D-4227-9EF8-5D9DBB060CA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4771915" y="0"/>
          <a:ext cx="457200" cy="4565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1600199</xdr:colOff>
      <xdr:row>0</xdr:row>
      <xdr:rowOff>0</xdr:rowOff>
    </xdr:from>
    <xdr:to>
      <xdr:col>12</xdr:col>
      <xdr:colOff>440326</xdr:colOff>
      <xdr:row>0</xdr:row>
      <xdr:rowOff>476321</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A287746F-AB25-42D6-9F6B-772EC516FD8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1521056" y="0"/>
          <a:ext cx="457200" cy="4667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19</xdr:col>
      <xdr:colOff>24763</xdr:colOff>
      <xdr:row>0</xdr:row>
      <xdr:rowOff>0</xdr:rowOff>
    </xdr:from>
    <xdr:to>
      <xdr:col>19</xdr:col>
      <xdr:colOff>478153</xdr:colOff>
      <xdr:row>0</xdr:row>
      <xdr:rowOff>477966</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4BA8B63F-8055-46C7-8A4B-3C8C409AFEA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1838263" y="0"/>
          <a:ext cx="457200" cy="471843"/>
        </a:xfrm>
        <a:prstGeom prst="rect">
          <a:avLst/>
        </a:prstGeom>
      </xdr:spPr>
    </xdr:pic>
    <xdr:clientData/>
  </xdr:twoCellAnchor>
  <xdr:twoCellAnchor editAs="oneCell">
    <xdr:from>
      <xdr:col>0</xdr:col>
      <xdr:colOff>123265</xdr:colOff>
      <xdr:row>0</xdr:row>
      <xdr:rowOff>24653</xdr:rowOff>
    </xdr:from>
    <xdr:to>
      <xdr:col>0</xdr:col>
      <xdr:colOff>588085</xdr:colOff>
      <xdr:row>0</xdr:row>
      <xdr:rowOff>516498</xdr:rowOff>
    </xdr:to>
    <xdr:pic>
      <xdr:nvPicPr>
        <xdr:cNvPr id="3" name="Graphic 9" descr="Back with solid fill">
          <a:hlinkClick xmlns:r="http://schemas.openxmlformats.org/officeDocument/2006/relationships" r:id="rId1"/>
          <a:extLst>
            <a:ext uri="{FF2B5EF4-FFF2-40B4-BE49-F238E27FC236}">
              <a16:creationId xmlns:a16="http://schemas.microsoft.com/office/drawing/2014/main" id="{08340BB8-D6C6-4E8B-91A6-8E71180A7CDD}"/>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23265" y="24653"/>
          <a:ext cx="457200" cy="49565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149679</xdr:colOff>
      <xdr:row>16</xdr:row>
      <xdr:rowOff>108857</xdr:rowOff>
    </xdr:from>
    <xdr:to>
      <xdr:col>10</xdr:col>
      <xdr:colOff>643944</xdr:colOff>
      <xdr:row>24</xdr:row>
      <xdr:rowOff>171252</xdr:rowOff>
    </xdr:to>
    <xdr:grpSp>
      <xdr:nvGrpSpPr>
        <xdr:cNvPr id="8" name="Group 7">
          <a:extLst>
            <a:ext uri="{FF2B5EF4-FFF2-40B4-BE49-F238E27FC236}">
              <a16:creationId xmlns:a16="http://schemas.microsoft.com/office/drawing/2014/main" id="{CDC9BD6B-3E62-4D78-B25F-3FD0EBDD664F}"/>
            </a:ext>
          </a:extLst>
        </xdr:cNvPr>
        <xdr:cNvGrpSpPr/>
      </xdr:nvGrpSpPr>
      <xdr:grpSpPr>
        <a:xfrm>
          <a:off x="15661822" y="5181600"/>
          <a:ext cx="2018265" cy="2620538"/>
          <a:chOff x="11907988" y="4336336"/>
          <a:chExt cx="1864243" cy="2559161"/>
        </a:xfrm>
      </xdr:grpSpPr>
      <xdr:cxnSp macro="">
        <xdr:nvCxnSpPr>
          <xdr:cNvPr id="9" name="Straight Arrow Connector 8">
            <a:extLst>
              <a:ext uri="{FF2B5EF4-FFF2-40B4-BE49-F238E27FC236}">
                <a16:creationId xmlns:a16="http://schemas.microsoft.com/office/drawing/2014/main" id="{17837106-CB2C-15B1-BB9D-3D50F6A024A4}"/>
              </a:ext>
            </a:extLst>
          </xdr:cNvPr>
          <xdr:cNvCxnSpPr/>
        </xdr:nvCxnSpPr>
        <xdr:spPr>
          <a:xfrm flipH="1" flipV="1">
            <a:off x="11907988" y="4336336"/>
            <a:ext cx="1864243" cy="11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Straight Arrow Connector 9">
            <a:extLst>
              <a:ext uri="{FF2B5EF4-FFF2-40B4-BE49-F238E27FC236}">
                <a16:creationId xmlns:a16="http://schemas.microsoft.com/office/drawing/2014/main" id="{28FA8B3A-DE83-5406-D4A8-087F7E4E9581}"/>
              </a:ext>
            </a:extLst>
          </xdr:cNvPr>
          <xdr:cNvCxnSpPr/>
        </xdr:nvCxnSpPr>
        <xdr:spPr>
          <a:xfrm>
            <a:off x="13771647" y="4340748"/>
            <a:ext cx="0" cy="255474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96757</xdr:colOff>
      <xdr:row>26</xdr:row>
      <xdr:rowOff>48197</xdr:rowOff>
    </xdr:from>
    <xdr:to>
      <xdr:col>10</xdr:col>
      <xdr:colOff>651100</xdr:colOff>
      <xdr:row>38</xdr:row>
      <xdr:rowOff>108116</xdr:rowOff>
    </xdr:to>
    <xdr:grpSp>
      <xdr:nvGrpSpPr>
        <xdr:cNvPr id="11" name="Group 10">
          <a:extLst>
            <a:ext uri="{FF2B5EF4-FFF2-40B4-BE49-F238E27FC236}">
              <a16:creationId xmlns:a16="http://schemas.microsoft.com/office/drawing/2014/main" id="{A05FB135-7857-4D3B-8646-0E67B959A14F}"/>
            </a:ext>
          </a:extLst>
        </xdr:cNvPr>
        <xdr:cNvGrpSpPr/>
      </xdr:nvGrpSpPr>
      <xdr:grpSpPr>
        <a:xfrm>
          <a:off x="15608900" y="8310454"/>
          <a:ext cx="2078343" cy="3848148"/>
          <a:chOff x="11855066" y="7226399"/>
          <a:chExt cx="1924321" cy="2783664"/>
        </a:xfrm>
      </xdr:grpSpPr>
      <xdr:cxnSp macro="">
        <xdr:nvCxnSpPr>
          <xdr:cNvPr id="12" name="Straight Arrow Connector 11">
            <a:extLst>
              <a:ext uri="{FF2B5EF4-FFF2-40B4-BE49-F238E27FC236}">
                <a16:creationId xmlns:a16="http://schemas.microsoft.com/office/drawing/2014/main" id="{4C678658-A475-CE1F-2BC6-768F5541C4FE}"/>
              </a:ext>
            </a:extLst>
          </xdr:cNvPr>
          <xdr:cNvCxnSpPr/>
        </xdr:nvCxnSpPr>
        <xdr:spPr>
          <a:xfrm flipH="1" flipV="1">
            <a:off x="11855066" y="10010063"/>
            <a:ext cx="1924321"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Straight Arrow Connector 12">
            <a:extLst>
              <a:ext uri="{FF2B5EF4-FFF2-40B4-BE49-F238E27FC236}">
                <a16:creationId xmlns:a16="http://schemas.microsoft.com/office/drawing/2014/main" id="{FDD9A418-D469-A023-E336-DCDF006B0FF0}"/>
              </a:ext>
            </a:extLst>
          </xdr:cNvPr>
          <xdr:cNvCxnSpPr/>
        </xdr:nvCxnSpPr>
        <xdr:spPr>
          <a:xfrm flipH="1" flipV="1">
            <a:off x="13775986" y="7226399"/>
            <a:ext cx="0" cy="278061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8</xdr:col>
      <xdr:colOff>171450</xdr:colOff>
      <xdr:row>0</xdr:row>
      <xdr:rowOff>0</xdr:rowOff>
    </xdr:from>
    <xdr:to>
      <xdr:col>8</xdr:col>
      <xdr:colOff>624840</xdr:colOff>
      <xdr:row>1</xdr:row>
      <xdr:rowOff>19553</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0C71459A-DE6F-40DA-A9BB-655351B31C8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407015" y="0"/>
          <a:ext cx="457200" cy="45972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78070</xdr:colOff>
      <xdr:row>0</xdr:row>
      <xdr:rowOff>0</xdr:rowOff>
    </xdr:from>
    <xdr:to>
      <xdr:col>3</xdr:col>
      <xdr:colOff>531110</xdr:colOff>
      <xdr:row>1</xdr:row>
      <xdr:rowOff>21808</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45FEB289-B5E1-4011-BFCD-D05FC6541BE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1381718" y="0"/>
          <a:ext cx="453040" cy="45537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17</xdr:col>
      <xdr:colOff>2183209</xdr:colOff>
      <xdr:row>0</xdr:row>
      <xdr:rowOff>27214</xdr:rowOff>
    </xdr:from>
    <xdr:to>
      <xdr:col>19</xdr:col>
      <xdr:colOff>97482</xdr:colOff>
      <xdr:row>0</xdr:row>
      <xdr:rowOff>478386</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FE0726DE-A9F0-4A35-AB9D-B291BBEC933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1288888" y="27214"/>
          <a:ext cx="466725" cy="451172"/>
        </a:xfrm>
        <a:prstGeom prst="rect">
          <a:avLst/>
        </a:prstGeom>
      </xdr:spPr>
    </xdr:pic>
    <xdr:clientData/>
  </xdr:twoCellAnchor>
  <xdr:twoCellAnchor editAs="oneCell">
    <xdr:from>
      <xdr:col>0</xdr:col>
      <xdr:colOff>95250</xdr:colOff>
      <xdr:row>0</xdr:row>
      <xdr:rowOff>27214</xdr:rowOff>
    </xdr:from>
    <xdr:to>
      <xdr:col>0</xdr:col>
      <xdr:colOff>550545</xdr:colOff>
      <xdr:row>0</xdr:row>
      <xdr:rowOff>478386</xdr:rowOff>
    </xdr:to>
    <xdr:pic>
      <xdr:nvPicPr>
        <xdr:cNvPr id="3" name="Graphic 9" descr="Back with solid fill">
          <a:hlinkClick xmlns:r="http://schemas.openxmlformats.org/officeDocument/2006/relationships" r:id="rId1"/>
          <a:extLst>
            <a:ext uri="{FF2B5EF4-FFF2-40B4-BE49-F238E27FC236}">
              <a16:creationId xmlns:a16="http://schemas.microsoft.com/office/drawing/2014/main" id="{8344AB23-27C0-43D4-9BA4-913F4376D8E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95250" y="27214"/>
          <a:ext cx="466725" cy="45117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1594596</xdr:colOff>
      <xdr:row>0</xdr:row>
      <xdr:rowOff>0</xdr:rowOff>
    </xdr:from>
    <xdr:to>
      <xdr:col>7</xdr:col>
      <xdr:colOff>441959</xdr:colOff>
      <xdr:row>0</xdr:row>
      <xdr:rowOff>477313</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F5D716DC-FE6B-4B69-8D14-EEDAEF340FF3}"/>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3528861" y="0"/>
          <a:ext cx="457200" cy="46397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1412370</xdr:colOff>
      <xdr:row>0</xdr:row>
      <xdr:rowOff>0</xdr:rowOff>
    </xdr:from>
    <xdr:to>
      <xdr:col>13</xdr:col>
      <xdr:colOff>515451</xdr:colOff>
      <xdr:row>0</xdr:row>
      <xdr:rowOff>441647</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E5D51544-EDC9-4B27-BF8A-F28D828B57EF}"/>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6069664" y="0"/>
          <a:ext cx="505722" cy="447362"/>
        </a:xfrm>
        <a:prstGeom prst="rect">
          <a:avLst/>
        </a:prstGeom>
      </xdr:spPr>
    </xdr:pic>
    <xdr:clientData/>
  </xdr:twoCellAnchor>
  <xdr:twoCellAnchor editAs="oneCell">
    <xdr:from>
      <xdr:col>0</xdr:col>
      <xdr:colOff>89647</xdr:colOff>
      <xdr:row>0</xdr:row>
      <xdr:rowOff>0</xdr:rowOff>
    </xdr:from>
    <xdr:to>
      <xdr:col>0</xdr:col>
      <xdr:colOff>606799</xdr:colOff>
      <xdr:row>0</xdr:row>
      <xdr:rowOff>441647</xdr:rowOff>
    </xdr:to>
    <xdr:pic>
      <xdr:nvPicPr>
        <xdr:cNvPr id="4" name="Graphic 9" descr="Back with solid fill">
          <a:hlinkClick xmlns:r="http://schemas.openxmlformats.org/officeDocument/2006/relationships" r:id="rId1"/>
          <a:extLst>
            <a:ext uri="{FF2B5EF4-FFF2-40B4-BE49-F238E27FC236}">
              <a16:creationId xmlns:a16="http://schemas.microsoft.com/office/drawing/2014/main" id="{C99CB93B-2976-411B-AD5B-F04B7A150D6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89647" y="0"/>
          <a:ext cx="517152" cy="44545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C462938-2BE8-46B8-B807-3709E72E29CD}" name="SummaryHRI" displayName="SummaryHRI" ref="A6:L21" totalsRowCount="1" headerRowDxfId="1100" dataDxfId="1099" totalsRowDxfId="1098" headerRowCellStyle="Normal">
  <tableColumns count="12">
    <tableColumn id="1" xr3:uid="{CFE9692E-9022-4B86-9D51-28C1AED7C819}" name="Institution Name" dataDxfId="1097" totalsRowDxfId="1096"/>
    <tableColumn id="12" xr3:uid="{704D2FD5-7303-4E1E-9BAB-25F1B53DEEFE}" name="Sort" dataDxfId="1095" totalsRowDxfId="1094">
      <calculatedColumnFormula>VLOOKUP(SummaryHRI[[#This Row],[Institution Name]],InputResearch[],3,FALSE)</calculatedColumnFormula>
    </tableColumn>
    <tableColumn id="2" xr3:uid="{2770AD28-D84C-4E72-8F4F-5E7A3DE19C9D}" name="FICE" dataDxfId="1093" totalsRowDxfId="1092"/>
    <tableColumn id="3" xr3:uid="{28078CC8-F900-4FA5-ACC9-1621DCCB2C97}" name="Research Exp. _x000a_Per SRECNA" totalsRowFunction="sum" dataDxfId="1091" totalsRowDxfId="1090" dataCellStyle="Comma">
      <calculatedColumnFormula>SUMIFS(InputResearch[SRECNP Res. Exp.],InputResearch[Institution Name],SummaryHRI[[#This Row],[Institution Name]])</calculatedColumnFormula>
    </tableColumn>
    <tableColumn id="4" xr3:uid="{2EF0E0FD-4AA6-48F5-98C5-396E31AFE0C3}" name="R &amp; D Not Meeting _x000a_the Definition" totalsRowFunction="sum" dataDxfId="1089" totalsRowDxfId="1088" dataCellStyle="Comma">
      <calculatedColumnFormula>SUMIFS(InputResearch[R &amp; D Exp Not meeting narrow def],InputResearch[Institution Name],SummaryHRI[[#This Row],[Institution Name]])</calculatedColumnFormula>
    </tableColumn>
    <tableColumn id="5" xr3:uid="{9219C733-4A6C-4168-97AD-5D4325E8AFCC}" name="Indirect Costs Associated w/ R &amp; D" totalsRowFunction="sum" dataDxfId="1087" totalsRowDxfId="1086" dataCellStyle="Comma">
      <calculatedColumnFormula>SUMIFS(InputResearch[IDC assoc w/Exp for R &amp; D],InputResearch[Institution Name],SummaryHRI[[#This Row],[Institution Name]])</calculatedColumnFormula>
    </tableColumn>
    <tableColumn id="6" xr3:uid="{2E9B832D-652C-4943-8B7C-5B30143B454F}" name="Capital Outlay for Research" totalsRowFunction="sum" dataDxfId="1085" totalsRowDxfId="1084" dataCellStyle="Comma">
      <calculatedColumnFormula>SUMIFS(InputResearch[Capital Outlay (Res Equip)],InputResearch[Institution Name],SummaryHRI[[#This Row],[Institution Name]])</calculatedColumnFormula>
    </tableColumn>
    <tableColumn id="7" xr3:uid="{592727DA-7842-4159-BA9C-CB4B8E0EB51E}" name="R &amp; D for 501(c)(3) or Institution's Foundation" totalsRowFunction="sum" dataDxfId="1083" totalsRowDxfId="1082" dataCellStyle="Comma">
      <calculatedColumnFormula>SUMIFS(InputResearch[R&amp;D Exp - Inst foundation/501(c)(3)],InputResearch[Institution Name],SummaryHRI[[#This Row],[Institution Name]])</calculatedColumnFormula>
    </tableColumn>
    <tableColumn id="8" xr3:uid="{A10EE603-F9FF-4FD7-AAFB-35A5379E5A2B}" name="Pass-Thru From _x000a_TX Eng. Exp. Station" totalsRowFunction="sum" dataDxfId="1081" totalsRowDxfId="1080" dataCellStyle="Comma">
      <calculatedColumnFormula>SUMIFS(InputResearch[Pass-Thru from other Texas A&amp;M members],InputResearch[Institution Name],SummaryHRI[[#This Row],[Institution Name]])</calculatedColumnFormula>
    </tableColumn>
    <tableColumn id="9" xr3:uid="{8DA6DF68-16DB-4B4C-91E7-A7FCF9D730C1}" name="Total Research Expenditures" totalsRowFunction="sum" dataDxfId="1079" totalsRowDxfId="1078" dataCellStyle="Comma">
      <calculatedColumnFormula>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calculatedColumnFormula>
    </tableColumn>
    <tableColumn id="10" xr3:uid="{FBDC96F3-D207-4B58-B456-067A05241B80}" name="Pass-Thru as a Subrecipient" totalsRowFunction="sum" dataDxfId="1077" totalsRowDxfId="1076" dataCellStyle="Comma">
      <calculatedColumnFormula>SUMIFS(InputResearch[Total R &amp; D Exp as a Sub],InputResearch[Institution Name],SummaryHRI[[#This Row],[Institution Name]])</calculatedColumnFormula>
    </tableColumn>
    <tableColumn id="11" xr3:uid="{4401B97E-F6F2-4292-918C-7542472013DA}" name="Pass-Thru to a Subrecipient" totalsRowFunction="sum" dataDxfId="1075" totalsRowDxfId="1074" dataCellStyle="Comma">
      <calculatedColumnFormula>SUMIFS(InputResearch[Total R &amp; D Exp to a Sub],InputResearch[Institution Name],SummaryHRI[[#This Row],[Institution Name]])</calculatedColumnFormula>
    </tableColumn>
  </tableColumns>
  <tableStyleInfo name="General"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874EE6C8-D8D0-4D35-842B-78B303D65A57}" name="ListPVT" displayName="ListPVT" ref="A109:S127" totalsRowCount="1" headerRowDxfId="815" dataDxfId="814" totalsRowDxfId="813">
  <tableColumns count="19">
    <tableColumn id="1" xr3:uid="{C5D66767-C580-46CC-AF08-1D30BEF3CE05}" name="Institution Name" dataDxfId="812" totalsRowDxfId="811"/>
    <tableColumn id="19" xr3:uid="{A5197ABC-C107-4866-A8F1-BA38BC0B9C9E}" name="Sort" dataDxfId="810" totalsRowDxfId="809"/>
    <tableColumn id="2" xr3:uid="{8BDA32F6-FC47-4019-AE9C-38B1630EEEBC}" name="FICE" dataDxfId="808" totalsRowDxfId="807" dataCellStyle="FICE"/>
    <tableColumn id="3" xr3:uid="{6C2EDFB7-480F-4DF8-AA0B-221F125A6C91}" name="Agricultural _x000a_Sciences" totalsRowFunction="sum" dataDxfId="806" totalsRowDxfId="805" dataCellStyle="Comma">
      <calculatedColumnFormula>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calculatedColumnFormula>
    </tableColumn>
    <tableColumn id="4" xr3:uid="{79FD1552-DD7D-4F40-AECC-E92F32F0B072}" name="Biological &amp; Other _x000a_Life Sciences" totalsRowFunction="sum" dataDxfId="804" totalsRowDxfId="803" dataCellStyle="Comma">
      <calculatedColumnFormula>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calculatedColumnFormula>
    </tableColumn>
    <tableColumn id="5" xr3:uid="{6D59F161-0A4E-4326-A7FF-DB87260765D1}" name="Computer _x000a_Science" totalsRowFunction="sum" dataDxfId="802" totalsRowDxfId="801" dataCellStyle="Comma">
      <calculatedColumnFormula>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calculatedColumnFormula>
    </tableColumn>
    <tableColumn id="8" xr3:uid="{01EE870C-1191-4C40-9600-416F13277ECA}" name="Engineering" totalsRowFunction="sum" dataDxfId="800" totalsRowDxfId="799" dataCellStyle="Comma">
      <calculatedColumnFormula>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calculatedColumnFormula>
    </tableColumn>
    <tableColumn id="9" xr3:uid="{01312EAB-FB07-4F49-813A-25309EF610CD}" name="Environmental _x000a_Sciences" totalsRowFunction="sum" dataDxfId="798" totalsRowDxfId="797" dataCellStyle="Comma">
      <calculatedColumnFormula>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calculatedColumnFormula>
    </tableColumn>
    <tableColumn id="10" xr3:uid="{0C682086-F54E-4A89-BF96-BAD5C56FC2E7}" name="Mathematical _x000a_Sciences" totalsRowFunction="sum" dataDxfId="796" totalsRowDxfId="795" dataCellStyle="Comma">
      <calculatedColumnFormula>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calculatedColumnFormula>
    </tableColumn>
    <tableColumn id="11" xr3:uid="{6137E995-A168-4AF1-B3F9-0B035D5F00DB}" name="Medical _x000a_Sciences" totalsRowFunction="sum" dataDxfId="794" totalsRowDxfId="793" dataCellStyle="Comma">
      <calculatedColumnFormula>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calculatedColumnFormula>
    </tableColumn>
    <tableColumn id="6" xr3:uid="{1A921D2D-B542-4F9E-B426-1D78CED1FBFE}" name="Physical _x000a_Sciences" totalsRowFunction="sum" dataDxfId="792" totalsRowDxfId="791" dataCellStyle="Comma">
      <calculatedColumnFormula>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calculatedColumnFormula>
    </tableColumn>
    <tableColumn id="7" xr3:uid="{321806AE-2FFD-4BDD-B906-7B8F5392F37A}" name="Psychology" totalsRowFunction="sum" dataDxfId="790" totalsRowDxfId="789" dataCellStyle="Comma">
      <calculatedColumnFormula>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calculatedColumnFormula>
    </tableColumn>
    <tableColumn id="12" xr3:uid="{2F63345C-584D-4D7E-9D63-CEFFE737282C}" name="Social _x000a_Sciences" totalsRowFunction="sum" dataDxfId="788" totalsRowDxfId="787" dataCellStyle="Comma">
      <calculatedColumnFormula>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calculatedColumnFormula>
    </tableColumn>
    <tableColumn id="13" xr3:uid="{8CE2AFD6-0F1C-4C4D-AFBD-32EBC7065E04}" name="Other Sciences not _x000a_classified above" totalsRowFunction="sum" dataDxfId="786" totalsRowDxfId="785" dataCellStyle="Comma">
      <calculatedColumnFormula>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calculatedColumnFormula>
    </tableColumn>
    <tableColumn id="14" xr3:uid="{5B375D2A-DB3A-45DB-A495-2FB852A01CDB}" name="Arts &amp; _x000a_Humanities" totalsRowFunction="sum" dataDxfId="784" totalsRowDxfId="783" dataCellStyle="Comma">
      <calculatedColumnFormula>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calculatedColumnFormula>
    </tableColumn>
    <tableColumn id="15" xr3:uid="{78B8AD6D-A300-4029-9EE8-4CA8F62A6BB1}" name="Business _x000a_Administration" totalsRowFunction="sum" dataDxfId="782" totalsRowDxfId="781" dataCellStyle="Comma">
      <calculatedColumnFormula>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calculatedColumnFormula>
    </tableColumn>
    <tableColumn id="16" xr3:uid="{5DCF1CFE-BF09-4CB7-BE3D-DCF8BADF7717}" name="Education" totalsRowFunction="sum" dataDxfId="780" totalsRowDxfId="779" dataCellStyle="Comma">
      <calculatedColumnFormula>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calculatedColumnFormula>
    </tableColumn>
    <tableColumn id="17" xr3:uid="{E5B8BBF6-AE43-4670-BEC8-6104B36B51C4}" name="Law" totalsRowFunction="sum" dataDxfId="778" totalsRowDxfId="777" dataCellStyle="Comma">
      <calculatedColumnFormula>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calculatedColumnFormula>
    </tableColumn>
    <tableColumn id="18" xr3:uid="{470833D4-2CD0-4EF9-BD04-AF83F93BD2F8}" name="Other Non-Science _x000a_Activities" totalsRowFunction="sum" dataDxfId="776" totalsRowDxfId="775" dataCellStyle="Comma">
      <calculatedColumnFormula>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calculatedColumnFormula>
    </tableColumn>
  </tableColumns>
  <tableStyleInfo name="General"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8E97407-F8C9-414D-AAC7-946F47F39E5D}" name="ListTAMUS" displayName="ListTAMUS" ref="A82:S94" totalsRowCount="1" headerRowDxfId="774" dataDxfId="773" totalsRowDxfId="772" dataCellStyle="Comma">
  <tableColumns count="19">
    <tableColumn id="1" xr3:uid="{A069CC8D-A415-4783-813D-0D9E065056F7}" name="Institution Name" dataDxfId="771" totalsRowDxfId="770"/>
    <tableColumn id="19" xr3:uid="{3EADAA43-3CCC-43A1-B854-95149F8191D0}" name="Sort" dataDxfId="769" totalsRowDxfId="768">
      <calculatedColumnFormula>VLOOKUP(ListTAMUS[[#This Row],[Institution Name]],InputResearch[],3,FALSE)</calculatedColumnFormula>
    </tableColumn>
    <tableColumn id="2" xr3:uid="{DBBEBEB7-680A-478A-8EFD-FE49F83045FF}" name="FICE" dataDxfId="767" totalsRowDxfId="766" dataCellStyle="FICE"/>
    <tableColumn id="3" xr3:uid="{D2AA3F99-7350-4582-A31A-7411865BA43C}" name="Agricultural _x000a_Sciences" totalsRowFunction="sum" dataDxfId="765" totalsRowDxfId="764" dataCellStyle="Comma">
      <calculatedColumnFormula>SUMIFS(InputResearch[Agricultural Sci. Fed],InputResearch[Institution Name],ListTAMUS[[#This Row],[Institution Name]])+SUMIFS(InputResearch[Agricultural Sci. St. Approp.],InputResearch[Institution Name],ListTAMUS[[#This Row],[Institution Name]])+SUMIFS(InputResearch[Agricultural Sci. St. C&amp;G],InputResearch[Institution Name],ListTAMUS[[#This Row],[Institution Name]])+SUMIFS(InputResearch[Agricultural Sci. Inst Res],InputResearch[Institution Name],ListTAMUS[[#This Row],[Institution Name]])+SUMIFS(InputResearch[Agricultural Sci. PFP],InputResearch[Institution Name],ListTAMUS[[#This Row],[Institution Name]])+SUMIFS(InputResearch[Agricultural Sci. PNP],InputResearch[Institution Name],ListTAMUS[[#This Row],[Institution Name]])</calculatedColumnFormula>
    </tableColumn>
    <tableColumn id="4" xr3:uid="{2049CDDB-BE51-489E-BAC9-5EB6A348FB39}" name="Biological &amp; Other _x000a_Life Sciences" totalsRowFunction="sum" dataDxfId="763" totalsRowDxfId="762" dataCellStyle="Comma">
      <calculatedColumnFormula>SUMIFS(InputResearch[Biological &amp; Other Life Sci. Fed],InputResearch[Institution Name],ListTAMUS[[#This Row],[Institution Name]])+SUMIFS(InputResearch[Biological &amp; Other Life Sci. St. Approp.],InputResearch[Institution Name],ListTAMUS[[#This Row],[Institution Name]])+SUMIFS(InputResearch[Biological &amp; Other Life Sci. St. C&amp;G],InputResearch[Institution Name],ListTAMUS[[#This Row],[Institution Name]])+SUMIFS(InputResearch[Biological &amp; Other Life Sci. Inst Res],InputResearch[Institution Name],ListTAMUS[[#This Row],[Institution Name]])+SUMIFS(InputResearch[Biological &amp; Other Life Sci. PFP],InputResearch[Institution Name],ListTAMUS[[#This Row],[Institution Name]])+SUMIFS(InputResearch[Biological &amp; Other Life Sci. PNP],InputResearch[Institution Name],ListTAMUS[[#This Row],[Institution Name]])</calculatedColumnFormula>
    </tableColumn>
    <tableColumn id="5" xr3:uid="{2300E96C-AF1F-4E09-A0A3-35D44FF16E76}" name="Computer _x000a_Science" totalsRowFunction="sum" dataDxfId="761" totalsRowDxfId="760" dataCellStyle="Comma">
      <calculatedColumnFormula>SUMIFS(InputResearch[Comp. Sci. Fed],InputResearch[Institution Name],ListTAMUS[[#This Row],[Institution Name]])+SUMIFS(InputResearch[Comp. Sci. St. Approp.],InputResearch[Institution Name],ListTAMUS[[#This Row],[Institution Name]])+SUMIFS(InputResearch[Comp. Sci. St. C&amp;G],InputResearch[Institution Name],ListTAMUS[[#This Row],[Institution Name]])+SUMIFS(InputResearch[Comp. Sci. Inst Res],InputResearch[Institution Name],ListTAMUS[[#This Row],[Institution Name]])+SUMIFS(InputResearch[Comp. Sci. PFP],InputResearch[Institution Name],ListTAMUS[[#This Row],[Institution Name]])+SUMIFS(InputResearch[Comp. Sci. PNP],InputResearch[Institution Name],ListTAMUS[[#This Row],[Institution Name]])</calculatedColumnFormula>
    </tableColumn>
    <tableColumn id="6" xr3:uid="{C46317A0-6F3F-4A90-A9FA-FAC0FF584088}" name="Engineering" totalsRowFunction="sum" dataDxfId="759" totalsRowDxfId="758" dataCellStyle="Comma">
      <calculatedColumnFormula>SUMIFS(InputResearch[Engineering Fed],InputResearch[Institution Name],ListTAMUS[[#This Row],[Institution Name]])+SUMIFS(InputResearch[Engineering St. Approp.],InputResearch[Institution Name],ListTAMUS[[#This Row],[Institution Name]])+SUMIFS(InputResearch[Engineering St. C&amp;G],InputResearch[Institution Name],ListTAMUS[[#This Row],[Institution Name]])+SUMIFS(InputResearch[Engineering Inst Res],InputResearch[Institution Name],ListTAMUS[[#This Row],[Institution Name]])+SUMIFS(InputResearch[Engineering PFP],InputResearch[Institution Name],ListTAMUS[[#This Row],[Institution Name]])+SUMIFS(InputResearch[Engineering PNP],InputResearch[Institution Name],ListTAMUS[[#This Row],[Institution Name]])</calculatedColumnFormula>
    </tableColumn>
    <tableColumn id="7" xr3:uid="{64616BCC-5AE6-4E2E-9D2E-5A86DB103948}" name="Environmental _x000a_Sciences" totalsRowFunction="sum" dataDxfId="757" totalsRowDxfId="756" dataCellStyle="Comma">
      <calculatedColumnFormula>SUMIFS(InputResearch[Env Sci. Fed],InputResearch[Institution Name],ListTAMUS[[#This Row],[Institution Name]])+SUMIFS(InputResearch[Env Sci. St. Approp.],InputResearch[Institution Name],ListTAMUS[[#This Row],[Institution Name]])+SUMIFS(InputResearch[Env Sci. St. C&amp;G],InputResearch[Institution Name],ListTAMUS[[#This Row],[Institution Name]])+SUMIFS(InputResearch[Env Sci. Inst Res],InputResearch[Institution Name],ListTAMUS[[#This Row],[Institution Name]])+SUMIFS(InputResearch[Env Sci. PFP],InputResearch[Institution Name],ListTAMUS[[#This Row],[Institution Name]])+SUMIFS(InputResearch[Env Sci. PNP],InputResearch[Institution Name],ListTAMUS[[#This Row],[Institution Name]])</calculatedColumnFormula>
    </tableColumn>
    <tableColumn id="8" xr3:uid="{BBF93ED0-8F2A-4684-A92B-1398BC7E24C7}" name="Mathematical _x000a_Sciences" totalsRowFunction="sum" dataDxfId="755" totalsRowDxfId="754" dataCellStyle="Comma">
      <calculatedColumnFormula>SUMIFS(InputResearch[Math Fed],InputResearch[Institution Name],ListTAMUS[[#This Row],[Institution Name]])+SUMIFS(InputResearch[Math St. Approp.],InputResearch[Institution Name],ListTAMUS[[#This Row],[Institution Name]])+SUMIFS(InputResearch[Math St. C&amp;G],InputResearch[Institution Name],ListTAMUS[[#This Row],[Institution Name]])+SUMIFS(InputResearch[Math Inst Res],InputResearch[Institution Name],ListTAMUS[[#This Row],[Institution Name]])+SUMIFS(InputResearch[Math PFP],InputResearch[Institution Name],ListTAMUS[[#This Row],[Institution Name]])+SUMIFS(InputResearch[Math PNP],InputResearch[Institution Name],ListTAMUS[[#This Row],[Institution Name]])</calculatedColumnFormula>
    </tableColumn>
    <tableColumn id="9" xr3:uid="{C21D5847-1B80-45C6-9E34-6FEEAFAB29B8}" name="Medical _x000a_Sciences" totalsRowFunction="sum" dataDxfId="753" totalsRowDxfId="752" dataCellStyle="Comma">
      <calculatedColumnFormula>SUMIFS(InputResearch[Medical Fed],InputResearch[Institution Name],ListTAMUS[[#This Row],[Institution Name]])+SUMIFS(InputResearch[Medical St. Approp.],InputResearch[Institution Name],ListTAMUS[[#This Row],[Institution Name]])+SUMIFS(InputResearch[Medical St. C&amp;G],InputResearch[Institution Name],ListTAMUS[[#This Row],[Institution Name]])+SUMIFS(InputResearch[Medical Inst Res],InputResearch[Institution Name],ListTAMUS[[#This Row],[Institution Name]])+SUMIFS(InputResearch[Medical PFP],InputResearch[Institution Name],ListTAMUS[[#This Row],[Institution Name]])+SUMIFS(InputResearch[Medical PNP],InputResearch[Institution Name],ListTAMUS[[#This Row],[Institution Name]])</calculatedColumnFormula>
    </tableColumn>
    <tableColumn id="10" xr3:uid="{94C5FFFB-B9CE-4F83-8302-50151306D18D}" name="Physical _x000a_Sciences" totalsRowFunction="sum" dataDxfId="751" totalsRowDxfId="750" dataCellStyle="Comma">
      <calculatedColumnFormula>SUMIFS(InputResearch[Physical Sci. Fed],InputResearch[Institution Name],ListTAMUS[[#This Row],[Institution Name]])+SUMIFS(InputResearch[Physical Sci. St. Approp.],InputResearch[Institution Name],ListTAMUS[[#This Row],[Institution Name]])+SUMIFS(InputResearch[Physical Sci. St. C&amp;G],InputResearch[Institution Name],ListTAMUS[[#This Row],[Institution Name]])+SUMIFS(InputResearch[Physical Sci. Inst Res],InputResearch[Institution Name],ListTAMUS[[#This Row],[Institution Name]])+SUMIFS(InputResearch[Physical Sci. PFP],InputResearch[Institution Name],ListTAMUS[[#This Row],[Institution Name]])+SUMIFS(InputResearch[Physical Sci. PNP],InputResearch[Institution Name],ListTAMUS[[#This Row],[Institution Name]])</calculatedColumnFormula>
    </tableColumn>
    <tableColumn id="11" xr3:uid="{CC383DF5-B8C8-4315-8ACE-9D14D390EE18}" name="Psychology" totalsRowFunction="sum" dataDxfId="749" totalsRowDxfId="748" dataCellStyle="Comma">
      <calculatedColumnFormula>SUMIFS(InputResearch[Psychology Fed],InputResearch[Institution Name],ListTAMUS[[#This Row],[Institution Name]])+SUMIFS(InputResearch[Psychology St. Approp.],InputResearch[Institution Name],ListTAMUS[[#This Row],[Institution Name]])+SUMIFS(InputResearch[Psychology St. C&amp;G],InputResearch[Institution Name],ListTAMUS[[#This Row],[Institution Name]])+SUMIFS(InputResearch[Psychology Inst Res],InputResearch[Institution Name],ListTAMUS[[#This Row],[Institution Name]])+SUMIFS(InputResearch[Psychology PFP],InputResearch[Institution Name],ListTAMUS[[#This Row],[Institution Name]])+SUMIFS(InputResearch[Psychology PNP],InputResearch[Institution Name],ListTAMUS[[#This Row],[Institution Name]])</calculatedColumnFormula>
    </tableColumn>
    <tableColumn id="12" xr3:uid="{8B37FBEC-7180-43E6-ABC2-FF755A03866A}" name="Social Sciences" totalsRowFunction="sum" dataDxfId="747" totalsRowDxfId="746" dataCellStyle="Comma">
      <calculatedColumnFormula>SUMIFS(InputResearch[Social Sci. Fed],InputResearch[Institution Name],ListTAMUS[[#This Row],[Institution Name]])+SUMIFS(InputResearch[Social Sci. St. Approp.],InputResearch[Institution Name],ListTAMUS[[#This Row],[Institution Name]])+SUMIFS(InputResearch[Social Sci. St. C&amp;G],InputResearch[Institution Name],ListTAMUS[[#This Row],[Institution Name]])+SUMIFS(InputResearch[Social Sci. Inst Res],InputResearch[Institution Name],ListTAMUS[[#This Row],[Institution Name]])+SUMIFS(InputResearch[Social Sci. PFP],InputResearch[Institution Name],ListTAMUS[[#This Row],[Institution Name]])+SUMIFS(InputResearch[Social Sci. PNP],InputResearch[Institution Name],ListTAMUS[[#This Row],[Institution Name]])</calculatedColumnFormula>
    </tableColumn>
    <tableColumn id="13" xr3:uid="{773DE7E8-8CF1-437B-9697-02B99ACED812}" name="Other Sciences not _x000a_classified above" totalsRowFunction="sum" dataDxfId="745" totalsRowDxfId="744" dataCellStyle="Comma">
      <calculatedColumnFormula>SUMIFS(InputResearch[Other Sci. Fed],InputResearch[Institution Name],ListTAMUS[[#This Row],[Institution Name]])+SUMIFS(InputResearch[Other Sci. St. Approp.],InputResearch[Institution Name],ListTAMUS[[#This Row],[Institution Name]])+SUMIFS(InputResearch[Other Sci. St. C&amp;G],InputResearch[Institution Name],ListTAMUS[[#This Row],[Institution Name]])+SUMIFS(InputResearch[Other Sci. Inst Res],InputResearch[Institution Name],ListTAMUS[[#This Row],[Institution Name]])+SUMIFS(InputResearch[Other Sci. PFP],InputResearch[Institution Name],ListTAMUS[[#This Row],[Institution Name]])+SUMIFS(InputResearch[Other Sci. PNP],InputResearch[Institution Name],ListTAMUS[[#This Row],[Institution Name]])</calculatedColumnFormula>
    </tableColumn>
    <tableColumn id="14" xr3:uid="{4D1FC12A-290D-45DD-8A08-BBBDEA2C8B73}" name="Arts &amp; _x000a_Humanities" totalsRowFunction="sum" dataDxfId="743" totalsRowDxfId="742" dataCellStyle="Comma">
      <calculatedColumnFormula>SUMIFS(InputResearch[Arts &amp; Humanities Fed],InputResearch[Institution Name],ListTAMUS[[#This Row],[Institution Name]])+SUMIFS(InputResearch[Arts &amp; Humanities St. Approp.],InputResearch[Institution Name],ListTAMUS[[#This Row],[Institution Name]])+SUMIFS(InputResearch[Arts &amp; Humanities St. C&amp;G],InputResearch[Institution Name],ListTAMUS[[#This Row],[Institution Name]])+SUMIFS(InputResearch[Arts &amp; Humanities Inst Res],InputResearch[Institution Name],ListTAMUS[[#This Row],[Institution Name]])+SUMIFS(InputResearch[Arts &amp; Humanities PFP],InputResearch[Institution Name],ListTAMUS[[#This Row],[Institution Name]])+SUMIFS(InputResearch[Arts &amp; Humanities PNP],InputResearch[Institution Name],ListTAMUS[[#This Row],[Institution Name]])</calculatedColumnFormula>
    </tableColumn>
    <tableColumn id="15" xr3:uid="{AA9867CC-3498-437C-ABB5-342A3EC9AAE7}" name="Business _x000a_Administration" totalsRowFunction="sum" dataDxfId="741" totalsRowDxfId="740" dataCellStyle="Comma">
      <calculatedColumnFormula>SUMIFS(InputResearch[Business Fed],InputResearch[Institution Name],ListTAMUS[[#This Row],[Institution Name]])+SUMIFS(InputResearch[Business St. Approp.],InputResearch[Institution Name],ListTAMUS[[#This Row],[Institution Name]])+SUMIFS(InputResearch[Business St. C&amp;G],InputResearch[Institution Name],ListTAMUS[[#This Row],[Institution Name]])+SUMIFS(InputResearch[Business Inst Res],InputResearch[Institution Name],ListTAMUS[[#This Row],[Institution Name]])+SUMIFS(InputResearch[Business PFP],InputResearch[Institution Name],ListTAMUS[[#This Row],[Institution Name]])+SUMIFS(InputResearch[Business PNP],InputResearch[Institution Name],ListTAMUS[[#This Row],[Institution Name]])</calculatedColumnFormula>
    </tableColumn>
    <tableColumn id="16" xr3:uid="{5EDB68A9-0C85-4ECF-B633-8C229D2DE69B}" name="Education" totalsRowFunction="sum" dataDxfId="739" totalsRowDxfId="738" dataCellStyle="Comma">
      <calculatedColumnFormula>SUMIFS(InputResearch[Education Fed],InputResearch[Institution Name],ListTAMUS[[#This Row],[Institution Name]])+SUMIFS(InputResearch[Education St. Approp.],InputResearch[Institution Name],ListTAMUS[[#This Row],[Institution Name]])+SUMIFS(InputResearch[Education St. C&amp;G],InputResearch[Institution Name],ListTAMUS[[#This Row],[Institution Name]])+SUMIFS(InputResearch[Education Inst Res],InputResearch[Institution Name],ListTAMUS[[#This Row],[Institution Name]])+SUMIFS(InputResearch[Education PFP],InputResearch[Institution Name],ListTAMUS[[#This Row],[Institution Name]])+SUMIFS(InputResearch[Education PNP],InputResearch[Institution Name],ListTAMUS[[#This Row],[Institution Name]])</calculatedColumnFormula>
    </tableColumn>
    <tableColumn id="17" xr3:uid="{7640C27E-8136-4F8F-84D3-8A1A0861EFF5}" name="Law" totalsRowFunction="sum" dataDxfId="737" totalsRowDxfId="736" dataCellStyle="Comma">
      <calculatedColumnFormula>SUMIFS(InputResearch[Law Fed],InputResearch[Institution Name],ListTAMUS[[#This Row],[Institution Name]])+SUMIFS(InputResearch[Law St. Approp.],InputResearch[Institution Name],ListTAMUS[[#This Row],[Institution Name]])+SUMIFS(InputResearch[Law St. C&amp;G],InputResearch[Institution Name],ListTAMUS[[#This Row],[Institution Name]])+SUMIFS(InputResearch[Law Inst Res],InputResearch[Institution Name],ListTAMUS[[#This Row],[Institution Name]])+SUMIFS(InputResearch[Law PFP],InputResearch[Institution Name],ListTAMUS[[#This Row],[Institution Name]])+SUMIFS(InputResearch[Law PNP],InputResearch[Institution Name],ListTAMUS[[#This Row],[Institution Name]])</calculatedColumnFormula>
    </tableColumn>
    <tableColumn id="18" xr3:uid="{46372A68-3852-4961-96AD-E4FA56C9B5A3}" name="Other Non-Science _x000a_Activities" totalsRowFunction="sum" dataDxfId="735" totalsRowDxfId="734" dataCellStyle="Comma">
      <calculatedColumnFormula>SUMIFS(InputResearch[Other Non-Sci. Fed],InputResearch[Institution Name],ListTAMUS[[#This Row],[Institution Name]])+SUMIFS(InputResearch[Other Non-Sci. St. Approp.],InputResearch[Institution Name],ListTAMUS[[#This Row],[Institution Name]])+SUMIFS(InputResearch[Other Non-Sci. St. C&amp;G],InputResearch[Institution Name],ListTAMUS[[#This Row],[Institution Name]])+SUMIFS(InputResearch[Other Non-Sci. Inst Res],InputResearch[Institution Name],ListTAMUS[[#This Row],[Institution Name]])+SUMIFS(InputResearch[Other Non-Sci. PFP],InputResearch[Institution Name],ListTAMUS[[#This Row],[Institution Name]])+SUMIFS(InputResearch[Other Non-Sci. PNP],InputResearch[Institution Name],ListTAMUS[[#This Row],[Institution Name]])</calculatedColumnFormula>
    </tableColumn>
  </tableColumns>
  <tableStyleInfo name="General"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9C55C2B-9CA7-4EAB-A67D-F7681B61058E}" name="ListUNIVM" displayName="ListUNIVM" ref="A99:S104" totalsRowCount="1" headerRowDxfId="733" dataDxfId="732" totalsRowDxfId="731" dataCellStyle="Comma">
  <tableColumns count="19">
    <tableColumn id="1" xr3:uid="{DEF537B8-D0BA-410A-B29C-E18B633C12C9}" name="Institution Name" dataDxfId="730" totalsRowDxfId="729"/>
    <tableColumn id="19" xr3:uid="{2F3246A8-2D48-4029-A28A-F126AC5650B9}" name="Sort" dataDxfId="728" totalsRowDxfId="727">
      <calculatedColumnFormula>VLOOKUP(ListUNIVM[[#This Row],[Institution Name]],InputResearch[],3,FALSE)</calculatedColumnFormula>
    </tableColumn>
    <tableColumn id="2" xr3:uid="{497393B5-6319-460D-AFD0-6D85436325EA}" name="FICE" dataDxfId="726" totalsRowDxfId="725" dataCellStyle="FICE"/>
    <tableColumn id="3" xr3:uid="{6C1AC838-C7A5-45B4-A04F-17DC11FB95F3}" name="Agricultural _x000a_Sciences" totalsRowFunction="sum" dataDxfId="724" totalsRowDxfId="723" dataCellStyle="Comma">
      <calculatedColumnFormula>SUMIFS(InputResearch[Agricultural Sci. Fed],InputResearch[Institution Name],ListUNIVM[[#This Row],[Institution Name]])+SUMIFS(InputResearch[Agricultural Sci. St. Approp.],InputResearch[Institution Name],ListUNIVM[[#This Row],[Institution Name]])+SUMIFS(InputResearch[Agricultural Sci. St. C&amp;G],InputResearch[Institution Name],ListUNIVM[[#This Row],[Institution Name]])+SUMIFS(InputResearch[Agricultural Sci. Inst Res],InputResearch[Institution Name],ListUNIVM[[#This Row],[Institution Name]])+SUMIFS(InputResearch[Agricultural Sci. PFP],InputResearch[Institution Name],ListUNIVM[[#This Row],[Institution Name]])+SUMIFS(InputResearch[Agricultural Sci. PNP],InputResearch[Institution Name],ListUNIVM[[#This Row],[Institution Name]])</calculatedColumnFormula>
    </tableColumn>
    <tableColumn id="4" xr3:uid="{04761244-9BD2-4281-B9F0-7EFCEAD990C9}" name="Biological &amp; Other _x000a_Life Sciences" totalsRowFunction="sum" dataDxfId="722" totalsRowDxfId="721" dataCellStyle="Comma">
      <calculatedColumnFormula>SUMIFS(InputResearch[Biological &amp; Other Life Sci. Fed],InputResearch[Institution Name],ListUNIVM[[#This Row],[Institution Name]])+SUMIFS(InputResearch[Biological &amp; Other Life Sci. St. Approp.],InputResearch[Institution Name],ListUNIVM[[#This Row],[Institution Name]])+SUMIFS(InputResearch[Biological &amp; Other Life Sci. St. C&amp;G],InputResearch[Institution Name],ListUNIVM[[#This Row],[Institution Name]])+SUMIFS(InputResearch[Biological &amp; Other Life Sci. Inst Res],InputResearch[Institution Name],ListUNIVM[[#This Row],[Institution Name]])+SUMIFS(InputResearch[Biological &amp; Other Life Sci. PFP],InputResearch[Institution Name],ListUNIVM[[#This Row],[Institution Name]])+SUMIFS(InputResearch[Biological &amp; Other Life Sci. PNP],InputResearch[Institution Name],ListUNIVM[[#This Row],[Institution Name]])</calculatedColumnFormula>
    </tableColumn>
    <tableColumn id="5" xr3:uid="{ACD28110-2016-47A2-A52E-25FC2F0A08F9}" name="Computer _x000a_Science" totalsRowFunction="sum" dataDxfId="720" totalsRowDxfId="719" dataCellStyle="Comma">
      <calculatedColumnFormula>SUMIFS(InputResearch[Comp. Sci. Fed],InputResearch[Institution Name],ListUNIVM[[#This Row],[Institution Name]])+SUMIFS(InputResearch[Comp. Sci. St. Approp.],InputResearch[Institution Name],ListUNIVM[[#This Row],[Institution Name]])+SUMIFS(InputResearch[Comp. Sci. St. C&amp;G],InputResearch[Institution Name],ListUNIVM[[#This Row],[Institution Name]])+SUMIFS(InputResearch[Comp. Sci. Inst Res],InputResearch[Institution Name],ListUNIVM[[#This Row],[Institution Name]])+SUMIFS(InputResearch[Comp. Sci. PFP],InputResearch[Institution Name],ListUNIVM[[#This Row],[Institution Name]])+SUMIFS(InputResearch[Comp. Sci. PNP],InputResearch[Institution Name],ListUNIVM[[#This Row],[Institution Name]])</calculatedColumnFormula>
    </tableColumn>
    <tableColumn id="6" xr3:uid="{6F918191-CC8D-436A-A235-D96FB9FB2B7B}" name="Engineering" totalsRowFunction="sum" dataDxfId="718" totalsRowDxfId="717" dataCellStyle="Comma">
      <calculatedColumnFormula>SUMIFS(InputResearch[Engineering Fed],InputResearch[Institution Name],ListUNIVM[[#This Row],[Institution Name]])+SUMIFS(InputResearch[Engineering St. Approp.],InputResearch[Institution Name],ListUNIVM[[#This Row],[Institution Name]])+SUMIFS(InputResearch[Engineering St. C&amp;G],InputResearch[Institution Name],ListUNIVM[[#This Row],[Institution Name]])+SUMIFS(InputResearch[Engineering Inst Res],InputResearch[Institution Name],ListUNIVM[[#This Row],[Institution Name]])+SUMIFS(InputResearch[Engineering PFP],InputResearch[Institution Name],ListUNIVM[[#This Row],[Institution Name]])+SUMIFS(InputResearch[Engineering PNP],InputResearch[Institution Name],ListUNIVM[[#This Row],[Institution Name]])</calculatedColumnFormula>
    </tableColumn>
    <tableColumn id="7" xr3:uid="{03061BD5-8C5F-491C-ABAC-34D4B4F70B31}" name="Environmental _x000a_Sciences" totalsRowFunction="sum" dataDxfId="716" totalsRowDxfId="715" dataCellStyle="Comma">
      <calculatedColumnFormula>SUMIFS(InputResearch[Env Sci. Fed],InputResearch[Institution Name],ListUNIVM[[#This Row],[Institution Name]])+SUMIFS(InputResearch[Env Sci. St. Approp.],InputResearch[Institution Name],ListUNIVM[[#This Row],[Institution Name]])+SUMIFS(InputResearch[Env Sci. St. C&amp;G],InputResearch[Institution Name],ListUNIVM[[#This Row],[Institution Name]])+SUMIFS(InputResearch[Env Sci. Inst Res],InputResearch[Institution Name],ListUNIVM[[#This Row],[Institution Name]])+SUMIFS(InputResearch[Env Sci. PFP],InputResearch[Institution Name],ListUNIVM[[#This Row],[Institution Name]])+SUMIFS(InputResearch[Env Sci. PNP],InputResearch[Institution Name],ListUNIVM[[#This Row],[Institution Name]])</calculatedColumnFormula>
    </tableColumn>
    <tableColumn id="8" xr3:uid="{113F3F95-0F4C-466F-B154-C77942375000}" name="Mathematical _x000a_Sciences" totalsRowFunction="sum" dataDxfId="714" totalsRowDxfId="713" dataCellStyle="Comma">
      <calculatedColumnFormula>SUMIFS(InputResearch[Math Fed],InputResearch[Institution Name],ListUNIVM[[#This Row],[Institution Name]])+SUMIFS(InputResearch[Math St. Approp.],InputResearch[Institution Name],ListUNIVM[[#This Row],[Institution Name]])+SUMIFS(InputResearch[Math St. C&amp;G],InputResearch[Institution Name],ListUNIVM[[#This Row],[Institution Name]])+SUMIFS(InputResearch[Math Inst Res],InputResearch[Institution Name],ListUNIVM[[#This Row],[Institution Name]])+SUMIFS(InputResearch[Math PFP],InputResearch[Institution Name],ListUNIVM[[#This Row],[Institution Name]])+SUMIFS(InputResearch[Math PNP],InputResearch[Institution Name],ListUNIVM[[#This Row],[Institution Name]])</calculatedColumnFormula>
    </tableColumn>
    <tableColumn id="9" xr3:uid="{2D622F57-657D-44D7-92A4-A38C49245C57}" name="Medical _x000a_Sciences" totalsRowFunction="sum" dataDxfId="712" totalsRowDxfId="711" dataCellStyle="Comma">
      <calculatedColumnFormula>SUMIFS(InputResearch[Medical Fed],InputResearch[Institution Name],ListUNIVM[[#This Row],[Institution Name]])+SUMIFS(InputResearch[Medical St. Approp.],InputResearch[Institution Name],ListUNIVM[[#This Row],[Institution Name]])+SUMIFS(InputResearch[Medical St. C&amp;G],InputResearch[Institution Name],ListUNIVM[[#This Row],[Institution Name]])+SUMIFS(InputResearch[Medical Inst Res],InputResearch[Institution Name],ListUNIVM[[#This Row],[Institution Name]])+SUMIFS(InputResearch[Medical PFP],InputResearch[Institution Name],ListUNIVM[[#This Row],[Institution Name]])+SUMIFS(InputResearch[Medical PNP],InputResearch[Institution Name],ListUNIVM[[#This Row],[Institution Name]])</calculatedColumnFormula>
    </tableColumn>
    <tableColumn id="10" xr3:uid="{CF2D541D-5E7C-457D-9161-4C6C5C25C5F2}" name="Physical _x000a_Sciences" totalsRowFunction="sum" dataDxfId="710" totalsRowDxfId="709" dataCellStyle="Comma">
      <calculatedColumnFormula>SUMIFS(InputResearch[Physical Sci. Fed],InputResearch[Institution Name],ListUNIVM[[#This Row],[Institution Name]])+SUMIFS(InputResearch[Physical Sci. St. Approp.],InputResearch[Institution Name],ListUNIVM[[#This Row],[Institution Name]])+SUMIFS(InputResearch[Physical Sci. St. C&amp;G],InputResearch[Institution Name],ListUNIVM[[#This Row],[Institution Name]])+SUMIFS(InputResearch[Physical Sci. Inst Res],InputResearch[Institution Name],ListUNIVM[[#This Row],[Institution Name]])+SUMIFS(InputResearch[Physical Sci. PFP],InputResearch[Institution Name],ListUNIVM[[#This Row],[Institution Name]])+SUMIFS(InputResearch[Physical Sci. PNP],InputResearch[Institution Name],ListUNIVM[[#This Row],[Institution Name]])</calculatedColumnFormula>
    </tableColumn>
    <tableColumn id="11" xr3:uid="{C9CDE204-20AB-4F66-A0C5-FA621031601C}" name="Psychology" totalsRowFunction="sum" dataDxfId="708" totalsRowDxfId="707" dataCellStyle="Comma">
      <calculatedColumnFormula>SUMIFS(InputResearch[Psychology Fed],InputResearch[Institution Name],ListUNIVM[[#This Row],[Institution Name]])+SUMIFS(InputResearch[Psychology St. Approp.],InputResearch[Institution Name],ListUNIVM[[#This Row],[Institution Name]])+SUMIFS(InputResearch[Psychology St. C&amp;G],InputResearch[Institution Name],ListUNIVM[[#This Row],[Institution Name]])+SUMIFS(InputResearch[Psychology Inst Res],InputResearch[Institution Name],ListUNIVM[[#This Row],[Institution Name]])+SUMIFS(InputResearch[Psychology PFP],InputResearch[Institution Name],ListUNIVM[[#This Row],[Institution Name]])+SUMIFS(InputResearch[Psychology PNP],InputResearch[Institution Name],ListUNIVM[[#This Row],[Institution Name]])</calculatedColumnFormula>
    </tableColumn>
    <tableColumn id="12" xr3:uid="{B5131620-A388-47C2-97A4-FE1C66D28DC1}" name="Social _x000a_Sciences" totalsRowFunction="sum" dataDxfId="706" totalsRowDxfId="705" dataCellStyle="Comma">
      <calculatedColumnFormula>SUMIFS(InputResearch[Social Sci. Fed],InputResearch[Institution Name],ListUNIVM[[#This Row],[Institution Name]])+SUMIFS(InputResearch[Social Sci. St. Approp.],InputResearch[Institution Name],ListUNIVM[[#This Row],[Institution Name]])+SUMIFS(InputResearch[Social Sci. St. C&amp;G],InputResearch[Institution Name],ListUNIVM[[#This Row],[Institution Name]])+SUMIFS(InputResearch[Social Sci. Inst Res],InputResearch[Institution Name],ListUNIVM[[#This Row],[Institution Name]])+SUMIFS(InputResearch[Social Sci. PFP],InputResearch[Institution Name],ListUNIVM[[#This Row],[Institution Name]])+SUMIFS(InputResearch[Social Sci. PNP],InputResearch[Institution Name],ListUNIVM[[#This Row],[Institution Name]])</calculatedColumnFormula>
    </tableColumn>
    <tableColumn id="13" xr3:uid="{6DB30435-7405-4857-997B-248E4D96F967}" name="Other Sciences not _x000a_classified above" totalsRowFunction="sum" dataDxfId="704" totalsRowDxfId="703" dataCellStyle="Comma">
      <calculatedColumnFormula>SUMIFS(InputResearch[Other Sci. Fed],InputResearch[Institution Name],ListUNIVM[[#This Row],[Institution Name]])+SUMIFS(InputResearch[Other Sci. St. Approp.],InputResearch[Institution Name],ListUNIVM[[#This Row],[Institution Name]])+SUMIFS(InputResearch[Other Sci. St. C&amp;G],InputResearch[Institution Name],ListUNIVM[[#This Row],[Institution Name]])+SUMIFS(InputResearch[Other Sci. Inst Res],InputResearch[Institution Name],ListUNIVM[[#This Row],[Institution Name]])+SUMIFS(InputResearch[Other Sci. PFP],InputResearch[Institution Name],ListUNIVM[[#This Row],[Institution Name]])+SUMIFS(InputResearch[Other Sci. PNP],InputResearch[Institution Name],ListUNIVM[[#This Row],[Institution Name]])</calculatedColumnFormula>
    </tableColumn>
    <tableColumn id="14" xr3:uid="{AAC4AED8-137D-437B-AEFE-6A778EED5338}" name="Arts &amp; _x000a_Humanities" totalsRowFunction="sum" dataDxfId="702" totalsRowDxfId="701" dataCellStyle="Comma">
      <calculatedColumnFormula>SUMIFS(InputResearch[Arts &amp; Humanities Fed],InputResearch[Institution Name],ListUNIVM[[#This Row],[Institution Name]])+SUMIFS(InputResearch[Arts &amp; Humanities St. Approp.],InputResearch[Institution Name],ListUNIVM[[#This Row],[Institution Name]])+SUMIFS(InputResearch[Arts &amp; Humanities St. C&amp;G],InputResearch[Institution Name],ListUNIVM[[#This Row],[Institution Name]])+SUMIFS(InputResearch[Arts &amp; Humanities Inst Res],InputResearch[Institution Name],ListUNIVM[[#This Row],[Institution Name]])+SUMIFS(InputResearch[Arts &amp; Humanities PFP],InputResearch[Institution Name],ListUNIVM[[#This Row],[Institution Name]])+SUMIFS(InputResearch[Arts &amp; Humanities PNP],InputResearch[Institution Name],ListUNIVM[[#This Row],[Institution Name]])</calculatedColumnFormula>
    </tableColumn>
    <tableColumn id="15" xr3:uid="{F92B4838-9D0E-4483-A2A9-F31242831BED}" name="Business _x000a_Administration" totalsRowFunction="sum" dataDxfId="700" totalsRowDxfId="699" dataCellStyle="Comma">
      <calculatedColumnFormula>SUMIFS(InputResearch[Business Fed],InputResearch[Institution Name],ListUNIVM[[#This Row],[Institution Name]])+SUMIFS(InputResearch[Business St. Approp.],InputResearch[Institution Name],ListUNIVM[[#This Row],[Institution Name]])+SUMIFS(InputResearch[Business St. C&amp;G],InputResearch[Institution Name],ListUNIVM[[#This Row],[Institution Name]])+SUMIFS(InputResearch[Business Inst Res],InputResearch[Institution Name],ListUNIVM[[#This Row],[Institution Name]])+SUMIFS(InputResearch[Business PFP],InputResearch[Institution Name],ListUNIVM[[#This Row],[Institution Name]])+SUMIFS(InputResearch[Business PNP],InputResearch[Institution Name],ListUNIVM[[#This Row],[Institution Name]])</calculatedColumnFormula>
    </tableColumn>
    <tableColumn id="16" xr3:uid="{32EF5E46-16B1-459D-8168-0CCB301B81C9}" name="Education" totalsRowFunction="sum" dataDxfId="698" totalsRowDxfId="697" dataCellStyle="Comma">
      <calculatedColumnFormula>SUMIFS(InputResearch[Education Fed],InputResearch[Institution Name],ListUNIVM[[#This Row],[Institution Name]])+SUMIFS(InputResearch[Education St. Approp.],InputResearch[Institution Name],ListUNIVM[[#This Row],[Institution Name]])+SUMIFS(InputResearch[Education St. C&amp;G],InputResearch[Institution Name],ListUNIVM[[#This Row],[Institution Name]])+SUMIFS(InputResearch[Education Inst Res],InputResearch[Institution Name],ListUNIVM[[#This Row],[Institution Name]])+SUMIFS(InputResearch[Education PFP],InputResearch[Institution Name],ListUNIVM[[#This Row],[Institution Name]])+SUMIFS(InputResearch[Education PNP],InputResearch[Institution Name],ListUNIVM[[#This Row],[Institution Name]])</calculatedColumnFormula>
    </tableColumn>
    <tableColumn id="17" xr3:uid="{7D1BF8CD-6376-4C37-8222-03365D90F8D7}" name="Law" totalsRowFunction="sum" dataDxfId="696" totalsRowDxfId="695" dataCellStyle="Comma">
      <calculatedColumnFormula>SUMIFS(InputResearch[Law Fed],InputResearch[Institution Name],ListUNIVM[[#This Row],[Institution Name]])+SUMIFS(InputResearch[Law St. Approp.],InputResearch[Institution Name],ListUNIVM[[#This Row],[Institution Name]])+SUMIFS(InputResearch[Law St. C&amp;G],InputResearch[Institution Name],ListUNIVM[[#This Row],[Institution Name]])+SUMIFS(InputResearch[Law Inst Res],InputResearch[Institution Name],ListUNIVM[[#This Row],[Institution Name]])+SUMIFS(InputResearch[Law PFP],InputResearch[Institution Name],ListUNIVM[[#This Row],[Institution Name]])+SUMIFS(InputResearch[Law PNP],InputResearch[Institution Name],ListUNIVM[[#This Row],[Institution Name]])</calculatedColumnFormula>
    </tableColumn>
    <tableColumn id="18" xr3:uid="{9F34EF4C-55B3-440A-A5E3-E6A3F6ADCBAF}" name="Other Non-Science _x000a_Activities" totalsRowFunction="sum" dataDxfId="694" totalsRowDxfId="693" dataCellStyle="Comma">
      <calculatedColumnFormula>SUMIFS(InputResearch[Other Non-Sci. Fed],InputResearch[Institution Name],ListUNIVM[[#This Row],[Institution Name]])+SUMIFS(InputResearch[Other Non-Sci. St. Approp.],InputResearch[Institution Name],ListUNIVM[[#This Row],[Institution Name]])+SUMIFS(InputResearch[Other Non-Sci. St. C&amp;G],InputResearch[Institution Name],ListUNIVM[[#This Row],[Institution Name]])+SUMIFS(InputResearch[Other Non-Sci. Inst Res],InputResearch[Institution Name],ListUNIVM[[#This Row],[Institution Name]])+SUMIFS(InputResearch[Other Non-Sci. PFP],InputResearch[Institution Name],ListUNIVM[[#This Row],[Institution Name]])+SUMIFS(InputResearch[Other Non-Sci. PNP],InputResearch[Institution Name],ListUNIVM[[#This Row],[Institution Name]])</calculatedColumnFormula>
    </tableColumn>
  </tableColumns>
  <tableStyleInfo name="General"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D08B9F65-A2CC-48E1-A8CC-F521B2DC180B}" name="RestResearch" displayName="RestResearch" ref="A5:R42" totalsRowCount="1" headerRowDxfId="692" dataDxfId="691">
  <tableColumns count="18">
    <tableColumn id="1" xr3:uid="{902BB312-B5C8-4019-B004-9B8899FFA098}" name="Institution Name" dataDxfId="690" totalsRowDxfId="689"/>
    <tableColumn id="19" xr3:uid="{92BB1E26-F09A-4380-BD71-DDAE1430E263}" name="Sort" dataDxfId="688" totalsRowDxfId="687">
      <calculatedColumnFormula>VLOOKUP(RestResearch[[#This Row],[Institution Name]],InputResearch[],3,FALSE)</calculatedColumnFormula>
    </tableColumn>
    <tableColumn id="3" xr3:uid="{43916AEA-A369-476B-945C-D364C505E061}" name="FICE" dataDxfId="686" totalsRowDxfId="685"/>
    <tableColumn id="4" xr3:uid="{B6D37E2E-4B80-457E-B73C-ED542C19FD77}" name="Total R&amp;D as Reported _x000a_on SRECNP" totalsRowFunction="sum" dataDxfId="684" totalsRowDxfId="683">
      <calculatedColumnFormula>SUMIFS(InputResearch[SRECNP Res. Exp.],InputResearch[Institution Name],RestResearch[[#This Row],[Institution Name]])</calculatedColumnFormula>
    </tableColumn>
    <tableColumn id="5" xr3:uid="{B9409EB4-8193-4124-A0CA-223693170E40}" name="Research Expenditures _x000a_not from Restricted _x000a_Funds Groups" totalsRowFunction="sum" dataDxfId="682" totalsRowDxfId="681" dataCellStyle="Comma">
      <calculatedColumnFormula>SUMIFS(InputResearch[Res. Not From Rest. Res. Fnd Group],InputResearch[Institution Name],RestResearch[[#This Row],[Institution Name]])</calculatedColumnFormula>
    </tableColumn>
    <tableColumn id="6" xr3:uid="{74F11B5C-B9B0-48F5-BCD2-B1B41BDD2642}" name="Capital Outlay for _x000a_Restricted Funds _x000a_Programs Coded Research" totalsRowFunction="sum" dataDxfId="680" totalsRowDxfId="679" dataCellStyle="Comma">
      <calculatedColumnFormula>SUMIFS(InputResearch[Cap Outlay],InputResearch[Institution Name],RestResearch[[#This Row],[Institution Name]])</calculatedColumnFormula>
    </tableColumn>
    <tableColumn id="7" xr3:uid="{CA5C9AFF-1354-43FF-B412-32F662A1DB05}" name="Restricted Research _x000a_including Capital _x000a_Outlay from the AFR" totalsRowFunction="sum" dataDxfId="678" totalsRowDxfId="677" dataCellStyle="Comma">
      <calculatedColumnFormula>SUM(RestResearch[[#This Row],[Total R&amp;D as Reported 
on SRECNP]:[Capital Outlay for 
Restricted Funds 
Programs Coded Research]])</calculatedColumnFormula>
    </tableColumn>
    <tableColumn id="8" xr3:uid="{DC1A6AE9-61DD-49EB-B84F-A7B9B8169876}" name="Amounts Not Meeting _x000a_Restricted Research _x000a_Standards" totalsRowFunction="sum" dataDxfId="676" totalsRowDxfId="675" dataCellStyle="Comma">
      <calculatedColumnFormula>SUMIFS(InputResearch[Exp. Not SAM],InputResearch[Institution Name],RestResearch[[#This Row],[Institution Name]])</calculatedColumnFormula>
    </tableColumn>
    <tableColumn id="9" xr3:uid="{EC0188C5-F512-4BC1-B838-A1A4FDC22A72}" name="Expenditures from the _x000a_Norman Hackerman _x000a_Advanced Research Program" totalsRowFunction="sum" dataDxfId="674" totalsRowDxfId="673" dataCellStyle="Comma">
      <calculatedColumnFormula>SUMIFS(InputResearch[Hackerman],InputResearch[Institution Name],RestResearch[[#This Row],[Institution Name]])</calculatedColumnFormula>
    </tableColumn>
    <tableColumn id="10" xr3:uid="{D107A3B0-64E9-4B2A-9D77-28CFD28146C5}" name="Federal _x000a_Pass-Throughs" totalsRowFunction="sum" dataDxfId="672" totalsRowDxfId="671" dataCellStyle="Comma">
      <calculatedColumnFormula>SUMIFS(InputResearch[Federal PT],InputResearch[Institution Name],RestResearch[[#This Row],[Institution Name]])</calculatedColumnFormula>
    </tableColumn>
    <tableColumn id="11" xr3:uid="{94B5C2B1-4808-4173-89C3-61F69F9460BE}" name="State _x000a_Pass-Throughs" totalsRowFunction="sum" dataDxfId="670" totalsRowDxfId="669" dataCellStyle="Comma">
      <calculatedColumnFormula>SUMIFS(InputResearch[State PT],InputResearch[Institution Name],RestResearch[[#This Row],[Institution Name]])</calculatedColumnFormula>
    </tableColumn>
    <tableColumn id="12" xr3:uid="{B8B1C50E-B4E6-4F97-A529-93B2576D8F2B}" name="Explanation - Adj.1 _x000a_(e.g. - other added back amounts)" dataDxfId="668" totalsRowDxfId="667" dataCellStyle="Comma">
      <calculatedColumnFormula>IF(VLOOKUP(RestResearch[[#This Row],[Institution Name]],InputResearch[],217,FALSE)=0,"",VLOOKUP(RestResearch[[#This Row],[Institution Name]],InputResearch[],217,FALSE))</calculatedColumnFormula>
    </tableColumn>
    <tableColumn id="13" xr3:uid="{A7AFBE34-401A-401D-BD36-8D10D2AC6D74}" name="Amount - Adj.1 " totalsRowFunction="sum" dataDxfId="666" totalsRowDxfId="665" dataCellStyle="Comma">
      <calculatedColumnFormula>SUMIFS(InputResearch[Adj1],InputResearch[Institution Name],RestResearch[[#This Row],[Institution Name]])</calculatedColumnFormula>
    </tableColumn>
    <tableColumn id="14" xr3:uid="{92E3BDAA-627A-4765-BAC7-BF0438A1AA53}" name="Explanation - Adj.2 _x000a_(e.g. - internal audit adjustments)" dataDxfId="664" totalsRowDxfId="663" dataCellStyle="Comma">
      <calculatedColumnFormula>IF(VLOOKUP(RestResearch[[#This Row],[Institution Name]],InputResearch[],218,FALSE)=0,"",VLOOKUP(RestResearch[[#This Row],[Institution Name]],InputResearch[],218,FALSE))</calculatedColumnFormula>
    </tableColumn>
    <tableColumn id="15" xr3:uid="{CFD552B7-5B7D-4437-B25C-C7E133157281}" name="Amount - Adj.2" totalsRowFunction="sum" dataDxfId="662" totalsRowDxfId="661" dataCellStyle="Comma">
      <calculatedColumnFormula>SUMIFS(InputResearch[Adj2],InputResearch[Institution Name],RestResearch[[#This Row],[Institution Name]])</calculatedColumnFormula>
    </tableColumn>
    <tableColumn id="16" xr3:uid="{66487C1E-0F35-4657-9D67-A37418D38294}" name="Explanation - Adj.3 _x000a_(All other adjustments)" dataDxfId="660" totalsRowDxfId="659" dataCellStyle="Comma">
      <calculatedColumnFormula>IF(VLOOKUP(RestResearch[[#This Row],[Institution Name]],InputResearch[],219,FALSE)=0,"",VLOOKUP(RestResearch[[#This Row],[Institution Name]],InputResearch[],219,FALSE))</calculatedColumnFormula>
    </tableColumn>
    <tableColumn id="17" xr3:uid="{613B102C-5BAB-4147-BC98-A0427772F2AF}" name="Amount - Adj.3" totalsRowFunction="sum" dataDxfId="658" totalsRowDxfId="657" dataCellStyle="Comma">
      <calculatedColumnFormula>SUMIFS(InputResearch[Adj3],InputResearch[Institution Name],RestResearch[[#This Row],[Institution Name]])</calculatedColumnFormula>
    </tableColumn>
    <tableColumn id="18" xr3:uid="{F817F35F-73BA-4741-A45A-79DF70204613}" name="Total Restricted _x000a_Research Expenditures" totalsRowFunction="sum" dataDxfId="656" totalsRowDxfId="655" dataCellStyle="Comma">
      <calculatedColumnFormula>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calculatedColumnFormula>
    </tableColumn>
  </tableColumns>
  <tableStyleInfo name="General"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4FA1DADE-9E92-476C-833B-5B8CE55CDE39}" name="RestResearchTAMUSS" displayName="RestResearchTAMUSS" ref="A48:R60" totalsRowCount="1" headerRowDxfId="654" dataDxfId="652" headerRowBorderDxfId="653" tableBorderDxfId="651">
  <autoFilter ref="A48:R59" xr:uid="{4FA1DADE-9E92-476C-833B-5B8CE55CDE39}"/>
  <tableColumns count="18">
    <tableColumn id="1" xr3:uid="{21508B75-2AAE-45D7-97D0-478A9E3882D9}" name="Institution Name" dataDxfId="650" totalsRowDxfId="649"/>
    <tableColumn id="2" xr3:uid="{26B05D19-11BD-4BB5-AB5C-3CC0A014C32F}" name="Sort" dataDxfId="648" totalsRowDxfId="647"/>
    <tableColumn id="3" xr3:uid="{518F0ACA-FBAE-4F0C-B2F4-42D528C15884}" name="FICE" dataDxfId="646" totalsRowDxfId="645" dataCellStyle="FICE" totalsRowCellStyle="FICE"/>
    <tableColumn id="4" xr3:uid="{3159950B-32B1-4BF4-905F-93B5412B2ED7}" name="Total R&amp;D as Reported _x000a_on SRECNP" totalsRowFunction="sum" dataDxfId="644" totalsRowDxfId="643" dataCellStyle="Comma" totalsRowCellStyle="Comma">
      <calculatedColumnFormula>SUMIFS(InputResearch[SRECNP Res. Exp.],InputResearch[Institution Name],RestResearchTAMUSS[[#This Row],[Institution Name]])</calculatedColumnFormula>
    </tableColumn>
    <tableColumn id="5" xr3:uid="{AD199F47-6FEB-4EA1-8FA5-31CF7E6E9F78}" name="Research Expenditures _x000a_not from Restricted _x000a_Funds Groups" totalsRowFunction="sum" dataDxfId="642" totalsRowDxfId="641" dataCellStyle="Comma" totalsRowCellStyle="Comma">
      <calculatedColumnFormula>SUMIFS(InputResearch[Res. Not From Rest. Res. Fnd Group],InputResearch[Institution Name],RestResearchTAMUSS[[#This Row],[Institution Name]])</calculatedColumnFormula>
    </tableColumn>
    <tableColumn id="6" xr3:uid="{DC008991-9097-4106-A4EC-E0433A444816}" name="Capital Outlay for _x000a_Restricted Funds _x000a_Programs Coded Research" totalsRowFunction="sum" dataDxfId="640" totalsRowDxfId="639" dataCellStyle="Comma" totalsRowCellStyle="Comma">
      <calculatedColumnFormula>SUMIFS(InputResearch[Cap Outlay],InputResearch[Institution Name],RestResearchTAMUSS[[#This Row],[Institution Name]])</calculatedColumnFormula>
    </tableColumn>
    <tableColumn id="7" xr3:uid="{2D208005-DFEA-418C-B6C9-9881E4B1AFD6}" name="Restricted Research _x000a_including Capital _x000a_Outlay from the AFR" totalsRowFunction="sum" dataDxfId="638" totalsRowDxfId="637" dataCellStyle="Comma" totalsRowCellStyle="Comma">
      <calculatedColumnFormula>SUM(RestResearchTAMUSS[[#This Row],[Total R&amp;D as Reported 
on SRECNP]:[Capital Outlay for 
Restricted Funds 
Programs Coded Research]])</calculatedColumnFormula>
    </tableColumn>
    <tableColumn id="8" xr3:uid="{11214036-F01F-492E-9272-3076AAC3EE6E}" name="Amounts Not Meeting _x000a_Restricted Research _x000a_Standards" totalsRowFunction="sum" dataDxfId="636" totalsRowDxfId="635" dataCellStyle="Comma" totalsRowCellStyle="Comma">
      <calculatedColumnFormula>SUMIFS(InputResearch[Exp. Not SAM],InputResearch[Institution Name],RestResearchTAMUSS[[#This Row],[Institution Name]])</calculatedColumnFormula>
    </tableColumn>
    <tableColumn id="9" xr3:uid="{1367DD3E-4628-4AA6-A8DC-12C42CE02D40}" name="Expenditures from the _x000a_Norman Hackerman _x000a_Advanced Research Program" totalsRowFunction="sum" dataDxfId="634" totalsRowDxfId="633" dataCellStyle="Comma" totalsRowCellStyle="Comma">
      <calculatedColumnFormula>SUMIFS(InputResearch[Hackerman],InputResearch[Institution Name],RestResearchTAMUSS[[#This Row],[Institution Name]])</calculatedColumnFormula>
    </tableColumn>
    <tableColumn id="10" xr3:uid="{064EA114-8911-495D-B0BF-1DB8FB4CD44B}" name="Federal _x000a_Pass-Throughs" totalsRowFunction="sum" dataDxfId="632" totalsRowDxfId="631" dataCellStyle="Comma" totalsRowCellStyle="Comma">
      <calculatedColumnFormula>SUMIFS(InputResearch[Federal PT],InputResearch[Institution Name],RestResearchTAMUSS[[#This Row],[Institution Name]])</calculatedColumnFormula>
    </tableColumn>
    <tableColumn id="11" xr3:uid="{668F9758-5DE1-4D8F-9E88-6270E2D9954B}" name="State _x000a_Pass-Throughs" totalsRowFunction="sum" dataDxfId="630" totalsRowDxfId="629" dataCellStyle="Comma" totalsRowCellStyle="Comma">
      <calculatedColumnFormula>SUMIFS(InputResearch[State PT],InputResearch[Institution Name],RestResearchTAMUSS[[#This Row],[Institution Name]])</calculatedColumnFormula>
    </tableColumn>
    <tableColumn id="12" xr3:uid="{85E75864-EF9B-42A0-8065-C394C676762F}" name="Explanation - Adj.1 _x000a_(e.g. - other added back amounts)" dataDxfId="628" totalsRowDxfId="627" dataCellStyle="Comma" totalsRowCellStyle="Comma">
      <calculatedColumnFormula>IF(VLOOKUP(RestResearchTAMUSS[[#This Row],[Institution Name]],InputResearch[],217,FALSE)=0,"",VLOOKUP(RestResearchTAMUSS[[#This Row],[Institution Name]],InputResearch[],217,FALSE))</calculatedColumnFormula>
    </tableColumn>
    <tableColumn id="13" xr3:uid="{84052C1C-D4F7-4EA1-AEBF-BDA189BB28E9}" name="Amount - Adj.1 " totalsRowFunction="sum" dataDxfId="626" totalsRowDxfId="625" dataCellStyle="Comma" totalsRowCellStyle="Comma">
      <calculatedColumnFormula>SUMIFS(InputResearch[Adj1],InputResearch[Institution Name],RestResearchTAMUSS[[#This Row],[Institution Name]])</calculatedColumnFormula>
    </tableColumn>
    <tableColumn id="14" xr3:uid="{95BE6EF5-24B4-49D5-84E7-13037996C3C6}" name="Explanation - Adj.2 _x000a_(e.g. - internal audit adjustments)" dataDxfId="624" totalsRowDxfId="623" dataCellStyle="Comma" totalsRowCellStyle="Comma">
      <calculatedColumnFormula>IF(VLOOKUP(RestResearchTAMUSS[[#This Row],[Institution Name]],InputResearch[],218,FALSE)=0,"",VLOOKUP(RestResearchTAMUSS[[#This Row],[Institution Name]],InputResearch[],218,FALSE))</calculatedColumnFormula>
    </tableColumn>
    <tableColumn id="15" xr3:uid="{D4A90F84-1480-4EDB-B666-66DACFB7DE65}" name="Amount - Adj.2" totalsRowFunction="sum" dataDxfId="622" totalsRowDxfId="621" dataCellStyle="Comma" totalsRowCellStyle="Comma">
      <calculatedColumnFormula>SUMIFS(InputResearch[Adj2],InputResearch[Institution Name],RestResearchTAMUSS[[#This Row],[Institution Name]])</calculatedColumnFormula>
    </tableColumn>
    <tableColumn id="16" xr3:uid="{FF0FF6B4-4A44-4CD1-BEAA-9A1A0B85AF72}" name="Explanation - Adj.3 _x000a_(All other adjustments)" dataDxfId="620" totalsRowDxfId="619" dataCellStyle="Comma" totalsRowCellStyle="Comma">
      <calculatedColumnFormula>IF(VLOOKUP(RestResearchTAMUSS[[#This Row],[Institution Name]],InputResearch[],219,FALSE)=0,"",VLOOKUP(RestResearchTAMUSS[[#This Row],[Institution Name]],InputResearch[],219,FALSE))</calculatedColumnFormula>
    </tableColumn>
    <tableColumn id="17" xr3:uid="{15ED3630-C7CC-4E31-9D37-BBE192B12F8C}" name="Amount - Adj.3" totalsRowFunction="sum" dataDxfId="618" totalsRowDxfId="617" dataCellStyle="Comma" totalsRowCellStyle="Comma">
      <calculatedColumnFormula>SUMIFS(InputResearch[Adj3],InputResearch[Institution Name],RestResearchTAMUSS[[#This Row],[Institution Name]])</calculatedColumnFormula>
    </tableColumn>
    <tableColumn id="18" xr3:uid="{8C0EF344-089C-4FFF-A77E-3AA11F0D6530}" name="Total Restricted _x000a_Research Expenditures" totalsRowFunction="sum" dataDxfId="616" totalsRowDxfId="615" dataCellStyle="Comma" totalsRowCellStyle="Comma">
      <calculatedColumnFormula>SUM(RestResearchTAMUSS[[#This Row],[Total R&amp;D as Reported 
on SRECNP]],RestResearchTAMUSS[[#This Row],[Research Expenditures 
not from Restricted 
Funds Groups]],RestResearchTAMUSS[[#This Row],[Capital Outlay for 
Restricted Funds 
Programs Coded Research]],RestResearchTAMUSS[[#This Row],[Amounts Not Meeting 
Restricted Research 
Standards]],RestResearchTAMUSS[[#This Row],[Federal 
Pass-Throughs]],RestResearchTAMUSS[[#This Row],[State 
Pass-Throughs]],RestResearchTAMUSS[[#This Row],[Amount - Adj.1 ]],RestResearchTAMUSS[[#This Row],[Amount - Adj.2]],RestResearchTAMUSS[[#This Row],[Amount - Adj.3]])</calculatedColumnFormula>
    </tableColumn>
  </tableColumns>
  <tableStyleInfo name="General"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A22D5FB-171E-43B2-BD5E-2BD26CA77B37}" name="SpaceModelHRI" displayName="SpaceModelHRI" ref="A5:G20" totalsRowCount="1" headerRowDxfId="614" dataDxfId="613" totalsRowDxfId="612" headerRowCellStyle="Heading 3">
  <sortState xmlns:xlrd2="http://schemas.microsoft.com/office/spreadsheetml/2017/richdata2" ref="A6:G19">
    <sortCondition ref="B5:B19"/>
  </sortState>
  <tableColumns count="7">
    <tableColumn id="2" xr3:uid="{0F099828-F685-4686-885C-3CECD74B62D6}" name="Institution Name" dataDxfId="611" totalsRowDxfId="610"/>
    <tableColumn id="1" xr3:uid="{3CF271BB-212F-4A51-91C4-DBD64F35EE91}" name="Sort" dataDxfId="609" totalsRowDxfId="608">
      <calculatedColumnFormula>VLOOKUP(SpaceModelHRI[[#This Row],[Institution Name]],InputResearch[],3,FALSE)</calculatedColumnFormula>
    </tableColumn>
    <tableColumn id="7" xr3:uid="{673B838E-7A48-4BF7-B191-6F10392A5E63}" name="FICE" dataDxfId="607" totalsRowDxfId="606"/>
    <tableColumn id="3" xr3:uid="{3B164524-29BB-4009-AA13-6A685E9AF202}" name="501(c)(3)¹" totalsRowFunction="sum" dataDxfId="605" totalsRowDxfId="604" dataCellStyle="Comma">
      <calculatedColumnFormula>SUMIFS(InputResearch[R&amp;D Exp - Inst foundation/501(c)(3)],InputResearch[Institution Name],SpaceModelHRI[[#This Row],[Institution Name]])</calculatedColumnFormula>
    </tableColumn>
    <tableColumn id="4" xr3:uid="{E59D3D35-C882-4378-B9AA-4265DCE8C40F}" name="TEES _x000a_Pass-through¹" totalsRowFunction="sum" dataDxfId="603" totalsRowDxfId="602" dataCellStyle="Comma">
      <calculatedColumnFormula>SUMIFS(InputResearch[Pass-Thru from other Texas A&amp;M members],InputResearch[Institution Name],SpaceModelHRI[[#This Row],[Institution Name]])</calculatedColumnFormula>
    </tableColumn>
    <tableColumn id="5" xr3:uid="{F87615ED-55AB-4037-A180-06AA591B9775}" name="Research _x000a_Expenditures²" totalsRowFunction="sum" dataDxfId="601" totalsRowDxfId="600" dataCellStyle="Comma">
      <calculatedColumnFormula>SUMIF(InputResearch[Institution Name],SpaceModelHRI[[#This Row],[Institution Name]],InputResearch[Res. Exp.])</calculatedColumnFormula>
    </tableColumn>
    <tableColumn id="6" xr3:uid="{429CBAE1-90D0-4094-81D3-3FE5A1EA89B2}" name="Current E &amp; G _x000a_Expenditures²" totalsRowFunction="sum" dataDxfId="599" totalsRowDxfId="598" dataCellStyle="Comma">
      <calculatedColumnFormula>SUMIF(InputResearch[Institution Name],SpaceModelHRI[[#This Row],[Institution Name]],InputResearch[E&amp;G Exp.])</calculatedColumnFormula>
    </tableColumn>
  </tableColumns>
  <tableStyleInfo name="General"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0791BF5-79C1-40C2-A235-36A9CFE1E156}" name="SpaceModelTSTC" displayName="SpaceModelTSTC" ref="A27:G37" totalsRowCount="1" headerRowDxfId="597" dataDxfId="596" totalsRowDxfId="595">
  <tableColumns count="7">
    <tableColumn id="2" xr3:uid="{8E4BA965-22EF-49A3-8CBA-D9FCA93710A6}" name="Institution Name" dataDxfId="594" totalsRowDxfId="593"/>
    <tableColumn id="8" xr3:uid="{02C2AF3B-9816-4D4A-A6D1-7618F33FBEBE}" name="Sort" dataDxfId="592" totalsRowDxfId="591">
      <calculatedColumnFormula>VLOOKUP(SpaceModelTSTC[[#This Row],[Institution Name]],InputResearch[],3,FALSE)</calculatedColumnFormula>
    </tableColumn>
    <tableColumn id="7" xr3:uid="{91FCD68F-FDE3-47D4-9446-12A5E42C5A4B}" name="FICE" dataDxfId="590" totalsRowDxfId="589"/>
    <tableColumn id="3" xr3:uid="{84206E1D-ED69-404C-991B-F9F177B3A1D9}" name="501(c)(3)¹" totalsRowFunction="sum" dataDxfId="588" totalsRowDxfId="587">
      <calculatedColumnFormula>SUMIFS(InputResearch[R&amp;D Exp - Inst foundation/501(c)(3)],InputResearch[Institution Name],SpaceModelTSTC[[#This Row],[Institution Name]])</calculatedColumnFormula>
    </tableColumn>
    <tableColumn id="4" xr3:uid="{763356C4-A1FD-4E05-8500-4AE3E56C1E76}" name="TEES _x000a_Pass-through¹" totalsRowFunction="sum" dataDxfId="586" totalsRowDxfId="585">
      <calculatedColumnFormula>SUMIFS(InputResearch[Pass-Thru from other Texas A&amp;M members],InputResearch[Institution Name],SpaceModelTSTC[[#This Row],[Institution Name]])</calculatedColumnFormula>
    </tableColumn>
    <tableColumn id="5" xr3:uid="{95AC5F99-090D-448A-8542-48A179E5BF20}" name="Research _x000a_Expenditures²" totalsRowFunction="sum" dataDxfId="584" totalsRowDxfId="583">
      <calculatedColumnFormula>SUMIF(InputResearch[Institution Name],SpaceModelTSTC[[#This Row],[Institution Name]],InputResearch[Res. Exp.])</calculatedColumnFormula>
    </tableColumn>
    <tableColumn id="6" xr3:uid="{74273A7C-B030-48B9-AAF0-BB055960E2F6}" name="Current E &amp; G _x000a_Expenditures²" totalsRowFunction="sum" dataDxfId="582" totalsRowDxfId="581">
      <calculatedColumnFormula>SUMIF(InputResearch[Institution Name],SpaceModelTSTC[[#This Row],[Institution Name]],InputResearch[E&amp;G Exp.])</calculatedColumnFormula>
    </tableColumn>
  </tableColumns>
  <tableStyleInfo name="General"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208C18F-11F6-4FF0-9277-5EA2452D126F}" name="SpaceModelUNIV" displayName="SpaceModelUNIV" ref="A44:G81" totalsRowCount="1" headerRowDxfId="580" dataDxfId="579" totalsRowDxfId="578">
  <sortState xmlns:xlrd2="http://schemas.microsoft.com/office/spreadsheetml/2017/richdata2" ref="A45:G80">
    <sortCondition ref="B44:B80"/>
  </sortState>
  <tableColumns count="7">
    <tableColumn id="2" xr3:uid="{18784A99-A8CB-4590-8489-596342F80BAB}" name="Institution Name" dataDxfId="577" totalsRowDxfId="576"/>
    <tableColumn id="8" xr3:uid="{F1E16506-B518-4EC0-84A5-D4368CF3F298}" name="Sort" dataDxfId="575" totalsRowDxfId="574">
      <calculatedColumnFormula>VLOOKUP(SpaceModelUNIV[[#This Row],[Institution Name]],InputResearch[],3,FALSE)</calculatedColumnFormula>
    </tableColumn>
    <tableColumn id="7" xr3:uid="{E2AB349C-9962-4915-A8F8-3446054ECF4C}" name="FICE" dataDxfId="573" totalsRowDxfId="572"/>
    <tableColumn id="3" xr3:uid="{9C3D8F16-C832-4410-95B0-DDCA926C1C93}" name="501(c)(3)¹" totalsRowFunction="sum" dataDxfId="571" totalsRowDxfId="570">
      <calculatedColumnFormula>SUMIFS(InputResearch[R&amp;D Exp - Inst foundation/501(c)(3)],InputResearch[Institution Name],SpaceModelUNIV[[#This Row],[Institution Name]])</calculatedColumnFormula>
    </tableColumn>
    <tableColumn id="4" xr3:uid="{0B9A07E9-2B8B-4E10-B08A-80C23ADBC611}" name="TEES _x000a_Pass-through¹" totalsRowFunction="sum" dataDxfId="569" totalsRowDxfId="568">
      <calculatedColumnFormula>SUMIFS(InputResearch[Pass-Thru from other Texas A&amp;M members],InputResearch[Institution Name],SpaceModelUNIV[[#This Row],[Institution Name]])</calculatedColumnFormula>
    </tableColumn>
    <tableColumn id="5" xr3:uid="{C35BDC84-8F8E-4154-8041-4890431AE74B}" name="Research _x000a_Expenditures²" totalsRowFunction="sum" dataDxfId="567" totalsRowDxfId="566">
      <calculatedColumnFormula>SUMIF(InputResearch[Institution Name],SpaceModelUNIV[[#This Row],[Institution Name]],InputResearch[Res. Exp.])</calculatedColumnFormula>
    </tableColumn>
    <tableColumn id="6" xr3:uid="{1EC81746-B30C-41A5-90A2-855940832078}" name="Current E &amp; G _x000a_Expenditures²" totalsRowFunction="sum" dataDxfId="565" totalsRowDxfId="564">
      <calculatedColumnFormula>SUMIF(InputResearch[Institution Name],SpaceModelUNIV[[#This Row],[Institution Name]],InputResearch[E&amp;G Exp.])</calculatedColumnFormula>
    </tableColumn>
  </tableColumns>
  <tableStyleInfo name="General"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712FEA6A-25EF-4239-87DB-90CE5E234EEA}" name="SpaceModelTAMUSS" displayName="SpaceModelTAMUSS" ref="A88:G100" totalsRowCount="1" headerRowDxfId="563" dataDxfId="561" totalsRowDxfId="559" headerRowBorderDxfId="562" tableBorderDxfId="560" headerRowCellStyle="Heading 3">
  <autoFilter ref="A88:G99" xr:uid="{712FEA6A-25EF-4239-87DB-90CE5E234EEA}"/>
  <sortState xmlns:xlrd2="http://schemas.microsoft.com/office/spreadsheetml/2017/richdata2" ref="A89:G99">
    <sortCondition ref="B88:B99"/>
  </sortState>
  <tableColumns count="7">
    <tableColumn id="1" xr3:uid="{948A3A08-4989-472D-B324-B29C3774F84A}" name="Institution Name" dataDxfId="558" totalsRowDxfId="557"/>
    <tableColumn id="2" xr3:uid="{84CA54C8-C5ED-45B3-9893-45A214F297EC}" name="Sort" dataDxfId="556" totalsRowDxfId="555">
      <calculatedColumnFormula>VLOOKUP(SpaceModelTAMUSS[[#This Row],[Institution Name]],InputResearch[],3,FALSE)</calculatedColumnFormula>
    </tableColumn>
    <tableColumn id="3" xr3:uid="{11AAA9E3-E7B9-49AA-AC1C-5766A23719EF}" name="FICE" dataDxfId="554" totalsRowDxfId="553" dataCellStyle="FICE"/>
    <tableColumn id="4" xr3:uid="{8B5301AF-EB54-4395-B296-E0E54DA14EB9}" name="501(c)(3)¹" totalsRowFunction="sum" dataDxfId="552" totalsRowDxfId="551">
      <calculatedColumnFormula>SUMIFS(InputResearch[R&amp;D Exp - Inst foundation/501(c)(3)],InputResearch[Institution Name],SpaceModelTAMUSS[[#This Row],[Institution Name]])</calculatedColumnFormula>
    </tableColumn>
    <tableColumn id="5" xr3:uid="{29B870F7-A464-44E9-8A1A-633063647EFF}" name="TEES _x000a_Pass-through¹" totalsRowFunction="sum" dataDxfId="550" totalsRowDxfId="549">
      <calculatedColumnFormula>SUMIFS(InputResearch[Pass-Thru from other Texas A&amp;M members],InputResearch[Institution Name],SpaceModelTAMUSS[[#This Row],[Institution Name]])</calculatedColumnFormula>
    </tableColumn>
    <tableColumn id="6" xr3:uid="{02711875-B798-4A56-A8CD-8CD740380C89}" name="Research _x000a_Expenditures²" totalsRowFunction="sum" dataDxfId="548" totalsRowDxfId="547">
      <calculatedColumnFormula>SUMIF(InputResearch[Institution Name],SpaceModelTAMUSS[[#This Row],[Institution Name]],InputResearch[Res. Exp.])</calculatedColumnFormula>
    </tableColumn>
    <tableColumn id="7" xr3:uid="{2C69072B-D681-40CC-AEEE-9FFBB597C5EF}" name="Current E &amp; G _x000a_Expenditures²" totalsRowFunction="sum" dataDxfId="546" totalsRowDxfId="545">
      <calculatedColumnFormula>SUMIF(InputResearch[Institution Name],SpaceModelTAMUSS[[#This Row],[Institution Name]],InputResearch[E&amp;G Exp.])</calculatedColumnFormula>
    </tableColumn>
  </tableColumns>
  <tableStyleInfo name="General"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2E3B3F7-0BA9-4B93-9D24-F454B34E531A}" name="AccountabilityGAI" displayName="AccountabilityGAI" ref="A42:N79" totalsRowCount="1" headerRowDxfId="544" dataDxfId="543" totalsRowDxfId="542">
  <tableColumns count="14">
    <tableColumn id="1" xr3:uid="{7334DCE9-E49D-48A4-A1F1-C8F093FC18C7}" name="Institution Name" dataDxfId="541" totalsRowDxfId="540"/>
    <tableColumn id="2" xr3:uid="{A6B80437-F818-4208-8420-BE188E4CEAF2}" name="Sort" dataDxfId="539" totalsRowDxfId="538">
      <calculatedColumnFormula>VLOOKUP(AccountabilityGAI[[#This Row],[Institution Name]],InputResearch[],3,FALSE)</calculatedColumnFormula>
    </tableColumn>
    <tableColumn id="3" xr3:uid="{949150D3-4833-4D03-9877-3F5BA7FB5C6C}" name="FICE" dataDxfId="537" totalsRowDxfId="536"/>
    <tableColumn id="4" xr3:uid="{698D3B07-5CB8-4074-A993-70BFC4804C67}" name="Federal" totalsRowFunction="sum" dataDxfId="535" totalsRowDxfId="534">
      <calculatedColumnFormula>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calculatedColumnFormula>
    </tableColumn>
    <tableColumn id="5" xr3:uid="{54486A53-09B9-4940-ABB9-3024572D05BF}" name="State _x000a_Appropriation" dataDxfId="533" totalsRowDxfId="532">
      <calculatedColumnFormula>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calculatedColumnFormula>
    </tableColumn>
    <tableColumn id="6" xr3:uid="{20AB4321-A890-494C-BC8B-F12203450922}" name="State _x000a_Contracts/Grants" dataDxfId="531" totalsRowDxfId="530">
      <calculatedColumnFormula>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calculatedColumnFormula>
    </tableColumn>
    <tableColumn id="7" xr3:uid="{625454C6-F3E1-4F47-96F2-0CBA99AA544B}" name="State" totalsRowFunction="sum" dataDxfId="529" totalsRowDxfId="528">
      <calculatedColumnFormula>SUM(AccountabilityGAI[[#This Row],[State 
Appropriation]],AccountabilityGAI[[#This Row],[State 
Contracts/Grants]])</calculatedColumnFormula>
    </tableColumn>
    <tableColumn id="8" xr3:uid="{3DCE1362-BFEA-42F3-AA16-B99FBED3B5AE}" name="Institutional _x000a_Resources" totalsRowFunction="sum" dataDxfId="527" totalsRowDxfId="526">
      <calculatedColumnFormula>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calculatedColumnFormula>
    </tableColumn>
    <tableColumn id="9" xr3:uid="{D58FF07D-9B00-405F-AD9E-35FD7BB3B33B}" name="Private _x000a_For Profit" dataDxfId="525" totalsRowDxfId="524">
      <calculatedColumnFormula>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calculatedColumnFormula>
    </tableColumn>
    <tableColumn id="10" xr3:uid="{BDBE47F0-E85C-4FF6-9672-2668ABFEE29F}" name="Private _x000a_Nonprofit" dataDxfId="523" totalsRowDxfId="522">
      <calculatedColumnFormula>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calculatedColumnFormula>
    </tableColumn>
    <tableColumn id="11" xr3:uid="{6980E05F-7117-441A-8E7C-EB109C34DB8E}" name="Private" totalsRowFunction="sum" dataDxfId="521" totalsRowDxfId="520">
      <calculatedColumnFormula>SUM(AccountabilityGAI[[#This Row],[Private 
For Profit]],AccountabilityGAI[[#This Row],[Private 
Nonprofit]])</calculatedColumnFormula>
    </tableColumn>
    <tableColumn id="12" xr3:uid="{DADEEF79-1E53-4C7A-8815-D199E91CD60B}" name="Total Research _x000a_Expenditures" totalsRowFunction="sum" dataDxfId="519" totalsRowDxfId="518">
      <calculatedColumnFormula>SUM(AccountabilityGAI[[#This Row],[Federal]],AccountabilityGAI[[#This Row],[State]],AccountabilityGAI[[#This Row],[Institutional 
Resources]],AccountabilityGAI[[#This Row],[Private]])</calculatedColumnFormula>
    </tableColumn>
    <tableColumn id="14" xr3:uid="{49A062C3-4572-49AA-91EB-4E6568D1FF97}" name="Restricted _x000a_Research" totalsRowFunction="custom" dataDxfId="517" totalsRowDxfId="516">
      <totalsRowFormula>SUBTOTAL(109,AccountabilityGAI[Total Research 
Expenditures 
Per T/TT FTE¹])</totalsRowFormula>
    </tableColumn>
    <tableColumn id="16" xr3:uid="{6CCC82CA-5684-4769-ADEB-62C5B1166987}" name="Total Research _x000a_Expenditures _x000a_Per T/TT FTE¹" dataDxfId="515" totalsRowDxfId="514">
      <calculatedColumnFormula>IFERROR(ROUND(AccountabilityGAI[[#This Row],[Total Research 
Expenditures]]/VLOOKUP(AccountabilityGAI[[#This Row],[FICE]],FTSEUNIV[[FICE]:[T/TT Fall
Faculty FTE³]],9,FALSE),2),"N/A")</calculatedColumnFormula>
    </tableColumn>
  </tableColumns>
  <tableStyleInfo name="General"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2390787-5700-4C6B-AAF0-15AF28958C03}" name="SummaryTSTC" displayName="SummaryTSTC" ref="A26:L36" totalsRowCount="1" headerRowDxfId="1073" dataDxfId="1072" totalsRowDxfId="1071">
  <tableColumns count="12">
    <tableColumn id="1" xr3:uid="{BBCD36EB-4198-432A-84FC-8A31E50F008B}" name="Institution Name" dataDxfId="1070" totalsRowDxfId="1069"/>
    <tableColumn id="12" xr3:uid="{8AD4845B-D997-4FFD-9CAF-FC51633AE401}" name="Sort" dataDxfId="1068" totalsRowDxfId="1067">
      <calculatedColumnFormula>VLOOKUP(SummaryTSTC[[#This Row],[Institution Name]],InputResearch[],3,FALSE)</calculatedColumnFormula>
    </tableColumn>
    <tableColumn id="2" xr3:uid="{DC098496-84ED-4976-8F19-B0A6B5DA70A5}" name="FICE" dataDxfId="1066" totalsRowDxfId="1065" dataCellStyle="FICE"/>
    <tableColumn id="3" xr3:uid="{3F8A1E9E-69AE-476E-B81E-7083CBF209F0}" name="Research Exp. _x000a_Per SRECNA" totalsRowFunction="sum" dataDxfId="1064" totalsRowDxfId="1063" dataCellStyle="Comma">
      <calculatedColumnFormula>SUMIFS(InputResearch[SRECNP Res. Exp.],InputResearch[Institution Name],SummaryTSTC[[#This Row],[Institution Name]])</calculatedColumnFormula>
    </tableColumn>
    <tableColumn id="4" xr3:uid="{380AB84F-E858-40AE-90C0-B331C5C7051F}" name="R &amp; D Not Meeting _x000a_the Definition" totalsRowFunction="sum" dataDxfId="1062" totalsRowDxfId="1061" dataCellStyle="Comma">
      <calculatedColumnFormula>SUMIFS(InputResearch[R &amp; D Exp Not meeting narrow def],InputResearch[Institution Name],SummaryTSTC[[#This Row],[Institution Name]])</calculatedColumnFormula>
    </tableColumn>
    <tableColumn id="5" xr3:uid="{6CB677DF-68E1-45F3-97B3-87BA8438D96D}" name="Indirect Costs Associated w/ R &amp; D" totalsRowFunction="sum" dataDxfId="1060" totalsRowDxfId="1059" dataCellStyle="Comma">
      <calculatedColumnFormula>SUMIFS(InputResearch[IDC assoc w/Exp for R &amp; D],InputResearch[Institution Name],SummaryTSTC[[#This Row],[Institution Name]])</calculatedColumnFormula>
    </tableColumn>
    <tableColumn id="6" xr3:uid="{13FBC548-23B2-40A6-8C86-99B0663C8AB9}" name="Capital Outlay for Research" totalsRowFunction="sum" dataDxfId="1058" totalsRowDxfId="1057" dataCellStyle="Comma">
      <calculatedColumnFormula>SUMIFS(InputResearch[Capital Outlay (Res Equip)],InputResearch[Institution Name],SummaryTSTC[[#This Row],[Institution Name]])</calculatedColumnFormula>
    </tableColumn>
    <tableColumn id="7" xr3:uid="{B72167F4-2D70-4E27-A34F-D661F8DD395D}" name="R &amp; D for 501(c)(3) or Institution's Foundation" totalsRowFunction="sum" dataDxfId="1056" totalsRowDxfId="1055" dataCellStyle="Comma">
      <calculatedColumnFormula>SUMIFS(InputResearch[R&amp;D Exp - Inst foundation/501(c)(3)],InputResearch[Institution Name],SummaryTSTC[[#This Row],[Institution Name]])</calculatedColumnFormula>
    </tableColumn>
    <tableColumn id="8" xr3:uid="{54A7D343-0F6D-4C06-BEE3-EC8752827016}" name="Pass-Thru From _x000a_TX Eng. Exp. Station" totalsRowFunction="sum" dataDxfId="1054" totalsRowDxfId="1053" dataCellStyle="Comma">
      <calculatedColumnFormula>SUMIFS(InputResearch[Pass-Thru from other Texas A&amp;M members],InputResearch[Institution Name],SummaryTSTC[[#This Row],[Institution Name]])</calculatedColumnFormula>
    </tableColumn>
    <tableColumn id="9" xr3:uid="{4B65F408-D337-4927-BDE9-7B8DE666401B}" name="Total Research Expenditures" totalsRowFunction="sum" dataDxfId="1052" totalsRowDxfId="1051" dataCellStyle="Comma">
      <calculatedColumnFormula>SUMIFS(InputResearch[R &amp; D Expenses],InputResearch[Institution Name],SummaryTSTC[[#This Row],[Institution Name]])+SummaryTSTC[[#This Row],[Indirect Costs Associated w/ R &amp; D]]+SummaryTSTC[[#This Row],[Capital Outlay for Research]]+SummaryTSTC[[#This Row],[R &amp; D for 501(c)(3) or Institution''s Foundation]]+SummaryTSTC[[#This Row],[Pass-Thru From 
TX Eng. Exp. Station]]</calculatedColumnFormula>
    </tableColumn>
    <tableColumn id="10" xr3:uid="{D6DCB096-70CA-42DE-9E9A-29369A3A5DC3}" name="Pass-Thru as a Subrecipient" totalsRowFunction="sum" dataDxfId="1050" totalsRowDxfId="1049" dataCellStyle="Comma">
      <calculatedColumnFormula>SUMIFS(InputResearch[Total R &amp; D Exp as a Sub],InputResearch[Institution Name],SummaryTSTC[[#This Row],[Institution Name]])</calculatedColumnFormula>
    </tableColumn>
    <tableColumn id="11" xr3:uid="{7BA9BA45-DC12-4C1C-83EA-DC5432739FAF}" name="Pass-Thru to a Subrecipient" totalsRowFunction="sum" dataDxfId="1048" totalsRowDxfId="1047" dataCellStyle="Comma">
      <calculatedColumnFormula>SUMIFS(InputResearch[Total R &amp; D Exp to a Sub],InputResearch[Institution Name],SummaryTSTC[[#This Row],[Institution Name]])</calculatedColumnFormula>
    </tableColumn>
  </tableColumns>
  <tableStyleInfo name="General"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28CB85-AE7F-4ADE-9ED6-B9E04AF971F1}" name="AccountabilityTSTC" displayName="AccountabilityTSTC" ref="A26:L36" totalsRowCount="1" headerRowDxfId="513" dataDxfId="512" totalsRowDxfId="511">
  <tableColumns count="12">
    <tableColumn id="1" xr3:uid="{32D43D2D-8DC4-4CB2-8601-5EC877054F4F}" name="Institution Name" dataDxfId="510" totalsRowDxfId="509"/>
    <tableColumn id="2" xr3:uid="{14B96F11-2B62-4D9C-A4DA-96D2F73FE675}" name="Sort" dataDxfId="508" totalsRowDxfId="507">
      <calculatedColumnFormula>VLOOKUP(AccountabilityTSTC[[#This Row],[Institution Name]],InputResearch[],3,FALSE)</calculatedColumnFormula>
    </tableColumn>
    <tableColumn id="3" xr3:uid="{B736B2B7-49A0-43E9-9D12-E923DE17DCE5}" name="FICE" dataDxfId="506" totalsRowDxfId="505"/>
    <tableColumn id="4" xr3:uid="{2AFA7189-CE88-4B46-BFEF-9BFAC2CA8B17}" name="Federal" totalsRowFunction="sum" dataDxfId="504" totalsRowDxfId="503">
      <calculatedColumnFormula>SUMIF(InputResearch[Institution Name],AccountabilityTSTC[[#This Row],[Institution Name]],InputResearch[Agricultural Sci. Fed])
+SUMIF(InputResearch[Institution Name],AccountabilityTSTC[[#This Row],[Institution Name]],InputResearch[Biological &amp; Other Life Sci. Fed])
+SUMIF(InputResearch[Institution Name],AccountabilityTSTC[[#This Row],[Institution Name]],InputResearch[Comp. Sci. Fed])
+SUMIF(InputResearch[Institution Name],AccountabilityTSTC[[#This Row],[Institution Name]],InputResearch[Engineering Fed])
+SUMIF(InputResearch[Institution Name],AccountabilityTSTC[[#This Row],[Institution Name]],InputResearch[Env Sci. Fed])
+SUMIF(InputResearch[Institution Name],AccountabilityTSTC[[#This Row],[Institution Name]],InputResearch[Math Fed])
+SUMIF(InputResearch[Institution Name],AccountabilityTSTC[[#This Row],[Institution Name]],InputResearch[Medical Fed])
+SUMIF(InputResearch[Institution Name],AccountabilityTSTC[[#This Row],[Institution Name]],InputResearch[Physical Sci. Fed])
+SUMIF(InputResearch[Institution Name],AccountabilityTSTC[[#This Row],[Institution Name]],InputResearch[Psychology Fed])
+SUMIF(InputResearch[Institution Name],AccountabilityTSTC[[#This Row],[Institution Name]],InputResearch[Social Sci. Fed])
+SUMIF(InputResearch[Institution Name],AccountabilityTSTC[[#This Row],[Institution Name]],InputResearch[Other Sci. Fed])
+SUMIF(InputResearch[Institution Name],AccountabilityTSTC[[#This Row],[Institution Name]],InputResearch[Arts &amp; Humanities Fed])
+SUMIF(InputResearch[Institution Name],AccountabilityTSTC[[#This Row],[Institution Name]],InputResearch[Business Fed])
+SUMIF(InputResearch[Institution Name],AccountabilityTSTC[[#This Row],[Institution Name]],InputResearch[Education Fed])
+SUMIF(InputResearch[Institution Name],AccountabilityTSTC[[#This Row],[Institution Name]],InputResearch[Law Fed])
+SUMIF(InputResearch[Institution Name],AccountabilityTSTC[[#This Row],[Institution Name]],InputResearch[Other Non-Sci. Fed])</calculatedColumnFormula>
    </tableColumn>
    <tableColumn id="5" xr3:uid="{519D2505-954B-42F3-874A-5DE94AED6AD5}" name="State _x000a_Appropriation" totalsRowFunction="sum" dataDxfId="502" totalsRowDxfId="501">
      <calculatedColumnFormula>SUMIF(InputResearch[Institution Name],AccountabilityTSTC[[#This Row],[Institution Name]],InputResearch[Agricultural Sci. St. Approp.])
+SUMIF(InputResearch[Institution Name],AccountabilityTSTC[[#This Row],[Institution Name]],InputResearch[Biological &amp; Other Life Sci. St. Approp.])
+SUMIF(InputResearch[Institution Name],AccountabilityTSTC[[#This Row],[Institution Name]],InputResearch[Comp. Sci. St. Approp.])
+SUMIF(InputResearch[Institution Name],AccountabilityTSTC[[#This Row],[Institution Name]],InputResearch[Engineering St. Approp.])
+SUMIF(InputResearch[Institution Name],AccountabilityTSTC[[#This Row],[Institution Name]],InputResearch[Env Sci. St. Approp.])
+SUMIF(InputResearch[Institution Name],AccountabilityTSTC[[#This Row],[Institution Name]],InputResearch[Math St. Approp.])
+SUMIF(InputResearch[Institution Name],AccountabilityTSTC[[#This Row],[Institution Name]],InputResearch[Medical St. Approp.])
+SUMIF(InputResearch[Institution Name],AccountabilityTSTC[[#This Row],[Institution Name]],InputResearch[Physical Sci. St. Approp.])
+SUMIF(InputResearch[Institution Name],AccountabilityTSTC[[#This Row],[Institution Name]],InputResearch[Psychology St. Approp.])
+SUMIF(InputResearch[Institution Name],AccountabilityTSTC[[#This Row],[Institution Name]],InputResearch[Social Sci. St. Approp.])
+SUMIF(InputResearch[Institution Name],AccountabilityTSTC[[#This Row],[Institution Name]],InputResearch[Other Sci. St. Approp.])
+SUMIF(InputResearch[Institution Name],AccountabilityTSTC[[#This Row],[Institution Name]],InputResearch[Arts &amp; Humanities St. Approp.])
+SUMIF(InputResearch[Institution Name],AccountabilityTSTC[[#This Row],[Institution Name]],InputResearch[Business St. Approp.])
+SUMIF(InputResearch[Institution Name],AccountabilityTSTC[[#This Row],[Institution Name]],InputResearch[Education St. Approp.])
+SUMIF(InputResearch[Institution Name],AccountabilityTSTC[[#This Row],[Institution Name]],InputResearch[Law St. Approp.])
+SUMIF(InputResearch[Institution Name],AccountabilityTSTC[[#This Row],[Institution Name]],InputResearch[Other Non-Sci. St. Approp.])</calculatedColumnFormula>
    </tableColumn>
    <tableColumn id="6" xr3:uid="{19A179C8-9467-4285-91AF-0FF70829FE26}" name="State _x000a_Contracts/Grants" totalsRowFunction="sum" dataDxfId="500" totalsRowDxfId="499">
      <calculatedColumnFormula>SUMIF(InputResearch[Institution Name],AccountabilityTSTC[[#This Row],[Institution Name]],InputResearch[Agricultural Sci. St. C&amp;G])
+SUMIF(InputResearch[Institution Name],AccountabilityTSTC[[#This Row],[Institution Name]],InputResearch[Biological &amp; Other Life Sci. St. C&amp;G])
+SUMIF(InputResearch[Institution Name],AccountabilityTSTC[[#This Row],[Institution Name]],InputResearch[Comp. Sci. St. C&amp;G])
+SUMIF(InputResearch[Institution Name],AccountabilityTSTC[[#This Row],[Institution Name]],InputResearch[Engineering St. C&amp;G])
+SUMIF(InputResearch[Institution Name],AccountabilityTSTC[[#This Row],[Institution Name]],InputResearch[Env Sci. St. C&amp;G])
+SUMIF(InputResearch[Institution Name],AccountabilityTSTC[[#This Row],[Institution Name]],InputResearch[Math St. C&amp;G])
+SUMIF(InputResearch[Institution Name],AccountabilityTSTC[[#This Row],[Institution Name]],InputResearch[Medical St. C&amp;G])
+SUMIF(InputResearch[Institution Name],AccountabilityTSTC[[#This Row],[Institution Name]],InputResearch[Physical Sci. St. C&amp;G])
+SUMIF(InputResearch[Institution Name],AccountabilityTSTC[[#This Row],[Institution Name]],InputResearch[Psychology St. C&amp;G])
+SUMIF(InputResearch[Institution Name],AccountabilityTSTC[[#This Row],[Institution Name]],InputResearch[Social Sci. St. C&amp;G])
+SUMIF(InputResearch[Institution Name],AccountabilityTSTC[[#This Row],[Institution Name]],InputResearch[Other Sci. St. C&amp;G])
+SUMIF(InputResearch[Institution Name],AccountabilityTSTC[[#This Row],[Institution Name]],InputResearch[Arts &amp; Humanities St. C&amp;G])
+SUMIF(InputResearch[Institution Name],AccountabilityTSTC[[#This Row],[Institution Name]],InputResearch[Business St. C&amp;G])
+SUMIF(InputResearch[Institution Name],AccountabilityTSTC[[#This Row],[Institution Name]],InputResearch[Education St. C&amp;G])
+SUMIF(InputResearch[Institution Name],AccountabilityTSTC[[#This Row],[Institution Name]],InputResearch[Law St. C&amp;G])
+SUMIF(InputResearch[Institution Name],AccountabilityTSTC[[#This Row],[Institution Name]],InputResearch[Other Non-Sci. St. C&amp;G])</calculatedColumnFormula>
    </tableColumn>
    <tableColumn id="7" xr3:uid="{8E4D4B17-80EE-4B35-B7AB-3F1E7246EA6F}" name="State" totalsRowFunction="sum" dataDxfId="498" totalsRowDxfId="497">
      <calculatedColumnFormula>SUM(AccountabilityTSTC[[#This Row],[State 
Appropriation]],AccountabilityTSTC[[#This Row],[State 
Contracts/Grants]])</calculatedColumnFormula>
    </tableColumn>
    <tableColumn id="8" xr3:uid="{5977B260-E5D6-413B-BC3C-2A99FDA26BD3}" name="Institutional _x000a_Resources" totalsRowFunction="sum" dataDxfId="496" totalsRowDxfId="495">
      <calculatedColumnFormula>SUMIF(InputResearch[Institution Name],AccountabilityTSTC[[#This Row],[Institution Name]],InputResearch[Agricultural Sci. Inst Res])
+SUMIF(InputResearch[Institution Name],AccountabilityTSTC[[#This Row],[Institution Name]],InputResearch[Biological &amp; Other Life Sci. Inst Res])
+SUMIF(InputResearch[Institution Name],AccountabilityTSTC[[#This Row],[Institution Name]],InputResearch[Comp. Sci. Inst Res])
+SUMIF(InputResearch[Institution Name],AccountabilityTSTC[[#This Row],[Institution Name]],InputResearch[Engineering Inst Res])
+SUMIF(InputResearch[Institution Name],AccountabilityTSTC[[#This Row],[Institution Name]],InputResearch[Env Sci. Inst Res])
+SUMIF(InputResearch[Institution Name],AccountabilityTSTC[[#This Row],[Institution Name]],InputResearch[Math Inst Res])
+SUMIF(InputResearch[Institution Name],AccountabilityTSTC[[#This Row],[Institution Name]],InputResearch[Medical Inst Res])
+SUMIF(InputResearch[Institution Name],AccountabilityTSTC[[#This Row],[Institution Name]],InputResearch[Physical Sci. Inst Res])
+SUMIF(InputResearch[Institution Name],AccountabilityTSTC[[#This Row],[Institution Name]],InputResearch[Psychology Inst Res])
+SUMIF(InputResearch[Institution Name],AccountabilityTSTC[[#This Row],[Institution Name]],InputResearch[Social Sci. Inst Res])
+SUMIF(InputResearch[Institution Name],AccountabilityTSTC[[#This Row],[Institution Name]],InputResearch[Other Sci. Inst Res])
+SUMIF(InputResearch[Institution Name],AccountabilityTSTC[[#This Row],[Institution Name]],InputResearch[Arts &amp; Humanities Inst Res])
+SUMIF(InputResearch[Institution Name],AccountabilityTSTC[[#This Row],[Institution Name]],InputResearch[Business Inst Res])
+SUMIF(InputResearch[Institution Name],AccountabilityTSTC[[#This Row],[Institution Name]],InputResearch[Education Inst Res])
+SUMIF(InputResearch[Institution Name],AccountabilityTSTC[[#This Row],[Institution Name]],InputResearch[Law Inst Res])
+SUMIF(InputResearch[Institution Name],AccountabilityTSTC[[#This Row],[Institution Name]],InputResearch[Other Non-Sci. Inst Res])</calculatedColumnFormula>
    </tableColumn>
    <tableColumn id="9" xr3:uid="{9D6FC52C-DFC5-4DC3-A297-4F09F57B1E45}" name="Private _x000a_For Profit" totalsRowFunction="sum" dataDxfId="494" totalsRowDxfId="493">
      <calculatedColumnFormula>SUMIF(InputResearch[Institution Name],AccountabilityTSTC[[#This Row],[Institution Name]],InputResearch[Agricultural Sci. PFP])
+SUMIF(InputResearch[Institution Name],AccountabilityTSTC[[#This Row],[Institution Name]],InputResearch[Biological &amp; Other Life Sci. PFP])
+SUMIF(InputResearch[Institution Name],AccountabilityTSTC[[#This Row],[Institution Name]],InputResearch[Comp. Sci. PFP])
+SUMIF(InputResearch[Institution Name],AccountabilityTSTC[[#This Row],[Institution Name]],InputResearch[Engineering PFP])
+SUMIF(InputResearch[Institution Name],AccountabilityTSTC[[#This Row],[Institution Name]],InputResearch[Env Sci. PFP])
+SUMIF(InputResearch[Institution Name],AccountabilityTSTC[[#This Row],[Institution Name]],InputResearch[Math PFP])
+SUMIF(InputResearch[Institution Name],AccountabilityTSTC[[#This Row],[Institution Name]],InputResearch[Medical PFP])
+SUMIF(InputResearch[Institution Name],AccountabilityTSTC[[#This Row],[Institution Name]],InputResearch[Physical Sci. PFP])
+SUMIF(InputResearch[Institution Name],AccountabilityTSTC[[#This Row],[Institution Name]],InputResearch[Psychology PFP])
+SUMIF(InputResearch[Institution Name],AccountabilityTSTC[[#This Row],[Institution Name]],InputResearch[Social Sci. PFP])
+SUMIF(InputResearch[Institution Name],AccountabilityTSTC[[#This Row],[Institution Name]],InputResearch[Other Sci. PFP])
+SUMIF(InputResearch[Institution Name],AccountabilityTSTC[[#This Row],[Institution Name]],InputResearch[Arts &amp; Humanities PFP])
+SUMIF(InputResearch[Institution Name],AccountabilityTSTC[[#This Row],[Institution Name]],InputResearch[Business PFP])
+SUMIF(InputResearch[Institution Name],AccountabilityTSTC[[#This Row],[Institution Name]],InputResearch[Education PFP])
+SUMIF(InputResearch[Institution Name],AccountabilityTSTC[[#This Row],[Institution Name]],InputResearch[Law PFP])
+SUMIF(InputResearch[Institution Name],AccountabilityTSTC[[#This Row],[Institution Name]],InputResearch[Other Non-Sci. PFP])</calculatedColumnFormula>
    </tableColumn>
    <tableColumn id="10" xr3:uid="{EAF91BB0-7DC0-4A44-BCCE-782C74A695F5}" name="Private _x000a_Nonprofit" totalsRowFunction="sum" dataDxfId="492" totalsRowDxfId="491">
      <calculatedColumnFormula>SUMIF(InputResearch[Institution Name],AccountabilityTSTC[[#This Row],[Institution Name]],InputResearch[Agricultural Sci. PNP])
+SUMIF(InputResearch[Institution Name],AccountabilityTSTC[[#This Row],[Institution Name]],InputResearch[Biological &amp; Other Life Sci. PNP])
+SUMIF(InputResearch[Institution Name],AccountabilityTSTC[[#This Row],[Institution Name]],InputResearch[Comp. Sci. PNP])
+SUMIF(InputResearch[Institution Name],AccountabilityTSTC[[#This Row],[Institution Name]],InputResearch[Engineering PNP])
+SUMIF(InputResearch[Institution Name],AccountabilityTSTC[[#This Row],[Institution Name]],InputResearch[Env Sci. PNP])
+SUMIF(InputResearch[Institution Name],AccountabilityTSTC[[#This Row],[Institution Name]],InputResearch[Math PNP])
+SUMIF(InputResearch[Institution Name],AccountabilityTSTC[[#This Row],[Institution Name]],InputResearch[Medical PNP])
+SUMIF(InputResearch[Institution Name],AccountabilityTSTC[[#This Row],[Institution Name]],InputResearch[Physical Sci. PNP])
+SUMIF(InputResearch[Institution Name],AccountabilityTSTC[[#This Row],[Institution Name]],InputResearch[Psychology PNP])
+SUMIF(InputResearch[Institution Name],AccountabilityTSTC[[#This Row],[Institution Name]],InputResearch[Social Sci. PNP])
+SUMIF(InputResearch[Institution Name],AccountabilityTSTC[[#This Row],[Institution Name]],InputResearch[Other Sci. PNP])
+SUMIF(InputResearch[Institution Name],AccountabilityTSTC[[#This Row],[Institution Name]],InputResearch[Arts &amp; Humanities PNP])
+SUMIF(InputResearch[Institution Name],AccountabilityTSTC[[#This Row],[Institution Name]],InputResearch[Business PNP])
+SUMIF(InputResearch[Institution Name],AccountabilityTSTC[[#This Row],[Institution Name]],InputResearch[Education PNP])
+SUMIF(InputResearch[Institution Name],AccountabilityTSTC[[#This Row],[Institution Name]],InputResearch[Law PNP])
+SUMIF(InputResearch[Institution Name],AccountabilityTSTC[[#This Row],[Institution Name]],InputResearch[Other Non-Sci. PNP])</calculatedColumnFormula>
    </tableColumn>
    <tableColumn id="11" xr3:uid="{DC2342D6-CF21-4F95-B6E3-561DC337785F}" name="Private" totalsRowFunction="sum" dataDxfId="490" totalsRowDxfId="489">
      <calculatedColumnFormula>SUM(AccountabilityTSTC[[#This Row],[Private 
For Profit]],AccountabilityTSTC[[#This Row],[Private 
Nonprofit]])</calculatedColumnFormula>
    </tableColumn>
    <tableColumn id="12" xr3:uid="{90AB929E-534A-4A8F-A508-69FAC6A32EFB}" name="Total Research _x000a_Expenditures" totalsRowFunction="sum" dataDxfId="488" totalsRowDxfId="487">
      <calculatedColumnFormula>SUM(AccountabilityTSTC[[#This Row],[Federal]],AccountabilityTSTC[[#This Row],[State]],AccountabilityTSTC[[#This Row],[Institutional 
Resources]],AccountabilityTSTC[[#This Row],[Private]])</calculatedColumnFormula>
    </tableColumn>
  </tableColumns>
  <tableStyleInfo name="General"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E94DB11-E225-4E82-A831-29D1D2F4C3B7}" name="AccountabilityInd" displayName="AccountabilityInd" ref="A115:L133" totalsRowCount="1" headerRowDxfId="486" dataDxfId="485" totalsRowDxfId="484">
  <autoFilter ref="A115:L132" xr:uid="{6E94DB11-E225-4E82-A831-29D1D2F4C3B7}"/>
  <sortState xmlns:xlrd2="http://schemas.microsoft.com/office/spreadsheetml/2017/richdata2" ref="A116:L132">
    <sortCondition ref="A115:A132"/>
  </sortState>
  <tableColumns count="12">
    <tableColumn id="1" xr3:uid="{AB03826F-799F-4BB2-9239-9DB19B099816}" name="Institution Name" dataDxfId="483" totalsRowDxfId="482"/>
    <tableColumn id="2" xr3:uid="{C23551E1-C9F1-4CE3-8870-D644A923807C}" name="Sort" dataDxfId="481" totalsRowDxfId="480">
      <calculatedColumnFormula>VLOOKUP(AccountabilityInd[[#This Row],[Institution Name]],InputResearch[],3,FALSE)</calculatedColumnFormula>
    </tableColumn>
    <tableColumn id="3" xr3:uid="{E477F682-9CC9-4288-8EE2-511FAC554260}" name="FICE" dataDxfId="479" totalsRowDxfId="478"/>
    <tableColumn id="4" xr3:uid="{3B628E13-ADFE-4DC5-B0BF-7D354CA3F029}" name="Federal" totalsRowFunction="sum" dataDxfId="477" totalsRowDxfId="476">
      <calculatedColumnFormula>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calculatedColumnFormula>
    </tableColumn>
    <tableColumn id="5" xr3:uid="{50BC2622-E9BF-4488-B128-FE9212A048A9}" name="State _x000a_Appropriation" totalsRowFunction="sum" dataDxfId="475" totalsRowDxfId="474">
      <calculatedColumnFormula>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calculatedColumnFormula>
    </tableColumn>
    <tableColumn id="6" xr3:uid="{EDCCACA8-ADEA-4C54-A95B-48D4BD7681C7}" name="State _x000a_Contracts/Grants" totalsRowFunction="sum" dataDxfId="473" totalsRowDxfId="472">
      <calculatedColumnFormula>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calculatedColumnFormula>
    </tableColumn>
    <tableColumn id="7" xr3:uid="{63E3CE52-AB3E-4E88-BFB0-03767D22A2B5}" name="State" totalsRowFunction="sum" dataDxfId="471" totalsRowDxfId="470">
      <calculatedColumnFormula>SUM(AccountabilityInd[[#This Row],[State 
Appropriation]],AccountabilityInd[[#This Row],[State 
Contracts/Grants]])</calculatedColumnFormula>
    </tableColumn>
    <tableColumn id="8" xr3:uid="{6FE475F5-4042-4BD9-BBEC-C63032A33FC8}" name="Institutional _x000a_Resources" totalsRowFunction="sum" dataDxfId="469" totalsRowDxfId="468">
      <calculatedColumnFormula>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calculatedColumnFormula>
    </tableColumn>
    <tableColumn id="9" xr3:uid="{2359D035-530F-4F77-A59E-B0FBFD1AE99F}" name="Private _x000a_For Profit" totalsRowFunction="sum" dataDxfId="467" totalsRowDxfId="466">
      <calculatedColumnFormula>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calculatedColumnFormula>
    </tableColumn>
    <tableColumn id="10" xr3:uid="{1C736996-59A5-4721-88C6-91FA99B93CBD}" name="Private _x000a_Nonprofit" totalsRowFunction="sum" dataDxfId="465" totalsRowDxfId="464">
      <calculatedColumnFormula>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calculatedColumnFormula>
    </tableColumn>
    <tableColumn id="11" xr3:uid="{CF65DE41-58D4-4CB1-B5D6-CDD778BE5078}" name="Private" totalsRowFunction="sum" dataDxfId="463" totalsRowDxfId="462">
      <calculatedColumnFormula>SUM(AccountabilityInd[[#This Row],[Private 
For Profit]],AccountabilityInd[[#This Row],[Private 
Nonprofit]])</calculatedColumnFormula>
    </tableColumn>
    <tableColumn id="12" xr3:uid="{03F29B77-532A-474D-89B6-2B6D48886A03}" name="Total Research _x000a_Expenditures" totalsRowFunction="sum" dataDxfId="461" totalsRowDxfId="460">
      <calculatedColumnFormula>SUM(AccountabilityInd[[#This Row],[Federal]],AccountabilityInd[[#This Row],[State]],AccountabilityInd[[#This Row],[Institutional 
Resources]],AccountabilityInd[[#This Row],[Private]])</calculatedColumnFormula>
    </tableColumn>
  </tableColumns>
  <tableStyleInfo name="General"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3642106-2E17-4911-81B3-6B34538E600F}" name="AccountabilityHRI" displayName="AccountabilityHRI" ref="A5:M20" totalsRowCount="1" headerRowDxfId="459" dataDxfId="458" totalsRowDxfId="457">
  <tableColumns count="13">
    <tableColumn id="1" xr3:uid="{E9C74906-3E75-41EE-8974-1E2C5BF61692}" name="Institution Name" dataDxfId="456" totalsRowDxfId="455"/>
    <tableColumn id="2" xr3:uid="{F576300C-A46C-4F77-A2E3-1F5487E630CD}" name="Sort" dataDxfId="454" totalsRowDxfId="453">
      <calculatedColumnFormula>VLOOKUP(AccountabilityHRI[[#This Row],[Institution Name]],InputResearch[],3,FALSE)</calculatedColumnFormula>
    </tableColumn>
    <tableColumn id="3" xr3:uid="{60ED7FA7-0D81-4AF4-B488-F1B2F4599C97}" name="FICE" dataDxfId="452" totalsRowDxfId="451"/>
    <tableColumn id="4" xr3:uid="{4E378924-B21D-43D7-9F84-2CDA75AB71D0}" name="Federal" totalsRowFunction="sum" dataDxfId="450" totalsRowDxfId="449">
      <calculatedColumnFormula>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calculatedColumnFormula>
    </tableColumn>
    <tableColumn id="5" xr3:uid="{380084D5-8926-4B56-880B-54516E8323F6}" name="State _x000a_Appropriation" totalsRowFunction="sum" dataDxfId="448" totalsRowDxfId="447">
      <calculatedColumnFormula>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calculatedColumnFormula>
    </tableColumn>
    <tableColumn id="6" xr3:uid="{6F8693D3-8B75-43BC-BCDF-7B663DF655CF}" name="State _x000a_Contracts/Grants" totalsRowFunction="sum" dataDxfId="446" totalsRowDxfId="445">
      <calculatedColumnFormula>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calculatedColumnFormula>
    </tableColumn>
    <tableColumn id="7" xr3:uid="{D8CD2D98-F02F-4E8C-B79E-FC99DFB09105}" name="State" totalsRowFunction="sum" dataDxfId="444" totalsRowDxfId="443">
      <calculatedColumnFormula>SUM(AccountabilityHRI[[#This Row],[State 
Appropriation]],AccountabilityHRI[[#This Row],[State 
Contracts/Grants]])</calculatedColumnFormula>
    </tableColumn>
    <tableColumn id="8" xr3:uid="{636F8C65-4BC8-4163-9279-588C55FA9F12}" name="Institutional _x000a_Resources" totalsRowFunction="sum" dataDxfId="442" totalsRowDxfId="441">
      <calculatedColumnFormula>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calculatedColumnFormula>
    </tableColumn>
    <tableColumn id="9" xr3:uid="{EBD7D247-9723-4406-AC01-29982ED73565}" name="Private _x000a_For Profit" totalsRowFunction="sum" dataDxfId="440" totalsRowDxfId="439">
      <calculatedColumnFormula>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calculatedColumnFormula>
    </tableColumn>
    <tableColumn id="10" xr3:uid="{5E0E22DE-21D3-42B9-B26D-1A4C6342C944}" name="Private _x000a_Nonprofit" totalsRowFunction="sum" dataDxfId="438" totalsRowDxfId="437">
      <calculatedColumnFormula>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calculatedColumnFormula>
    </tableColumn>
    <tableColumn id="11" xr3:uid="{8ED9C7D6-95DB-43B4-9026-25C06CDACD12}" name="Private" totalsRowFunction="sum" dataDxfId="436" totalsRowDxfId="435">
      <calculatedColumnFormula>SUM(AccountabilityHRI[[#This Row],[Private 
For Profit]],AccountabilityHRI[[#This Row],[Private 
Nonprofit]])</calculatedColumnFormula>
    </tableColumn>
    <tableColumn id="12" xr3:uid="{5EA24D54-06F4-4DD2-BFD2-F4AC9D95619C}" name="Total Research _x000a_Expenditures" totalsRowFunction="sum" dataDxfId="434" totalsRowDxfId="433">
      <calculatedColumnFormula>SUM(AccountabilityHRI[[#This Row],[Federal]],AccountabilityHRI[[#This Row],[State]],AccountabilityHRI[[#This Row],[Institutional 
Resources]],AccountabilityHRI[[#This Row],[Private]])</calculatedColumnFormula>
    </tableColumn>
    <tableColumn id="16" xr3:uid="{BA175BB1-D04C-4555-9C32-905C404E9CB8}" name="Total Research _x000a_Expenditures _x000a_Per T/TT FTE¹" totalsRowFunction="sum" dataDxfId="432" totalsRowDxfId="431">
      <calculatedColumnFormula>IFERROR(ROUND(AccountabilityHRI[[#This Row],[Total Research 
Expenditures]]/VLOOKUP(AccountabilityHRI[[#This Row],[FICE]],FTSEHRI[[FICE]:[T/TT Fall
Faculty FTE⁴]],9,FALSE),2),"N/A")</calculatedColumnFormula>
    </tableColumn>
  </tableColumns>
  <tableStyleInfo name="General"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8ACEBD7C-375E-468A-B715-B301FE5E6DA4}" name="AccountabilityTAMUSS" displayName="AccountabilityTAMUSS" ref="A86:L98" totalsRowCount="1" headerRowDxfId="430" dataDxfId="429" totalsRowDxfId="428" dataCellStyle="Normal">
  <sortState xmlns:xlrd2="http://schemas.microsoft.com/office/spreadsheetml/2017/richdata2" ref="A87:L97">
    <sortCondition ref="A86:A97"/>
  </sortState>
  <tableColumns count="12">
    <tableColumn id="1" xr3:uid="{777A427E-40FF-4180-A28C-10A9A68FB9F7}" name="Institution Name" dataDxfId="427" totalsRowDxfId="426" dataCellStyle="Normal"/>
    <tableColumn id="3" xr3:uid="{16D8F25B-E985-40A4-8BF0-6E2F71B311F5}" name="Sort" dataDxfId="425" totalsRowDxfId="424">
      <calculatedColumnFormula>VLOOKUP(AccountabilityTAMUSS[[#This Row],[Institution Name]],InputResearch[],3,FALSE)</calculatedColumnFormula>
    </tableColumn>
    <tableColumn id="2" xr3:uid="{A6440976-6BC3-45BA-B18D-EA7FD79908DE}" name="FICE" dataDxfId="423" totalsRowDxfId="422" dataCellStyle="Normal"/>
    <tableColumn id="4" xr3:uid="{1A8005C0-1E3C-4FB4-9B8C-EF3E85A5D726}" name="Federal" totalsRowFunction="sum" dataDxfId="421" totalsRowDxfId="420" dataCellStyle="Normal">
      <calculatedColumnFormula>SUMIF(InputResearch[Institution Name],AccountabilityTAMUSS[[#This Row],[Institution Name]],InputResearch[Agricultural Sci. Fed])
+SUMIF(InputResearch[Institution Name],AccountabilityTAMUSS[[#This Row],[Institution Name]],InputResearch[Biological &amp; Other Life Sci. Fed])
+SUMIF(InputResearch[Institution Name],AccountabilityTAMUSS[[#This Row],[Institution Name]],InputResearch[Comp. Sci. Fed])
+SUMIF(InputResearch[Institution Name],AccountabilityTAMUSS[[#This Row],[Institution Name]],InputResearch[Engineering Fed])
+SUMIF(InputResearch[Institution Name],AccountabilityTAMUSS[[#This Row],[Institution Name]],InputResearch[Env Sci. Fed])
+SUMIF(InputResearch[Institution Name],AccountabilityTAMUSS[[#This Row],[Institution Name]],InputResearch[Math Fed])
+SUMIF(InputResearch[Institution Name],AccountabilityTAMUSS[[#This Row],[Institution Name]],InputResearch[Medical Fed])
+SUMIF(InputResearch[Institution Name],AccountabilityTAMUSS[[#This Row],[Institution Name]],InputResearch[Physical Sci. Fed])
+SUMIF(InputResearch[Institution Name],AccountabilityTAMUSS[[#This Row],[Institution Name]],InputResearch[Psychology Fed])
+SUMIF(InputResearch[Institution Name],AccountabilityTAMUSS[[#This Row],[Institution Name]],InputResearch[Social Sci. Fed])
+SUMIF(InputResearch[Institution Name],AccountabilityTAMUSS[[#This Row],[Institution Name]],InputResearch[Other Sci. Fed])
+SUMIF(InputResearch[Institution Name],AccountabilityTAMUSS[[#This Row],[Institution Name]],InputResearch[Arts &amp; Humanities Fed])
+SUMIF(InputResearch[Institution Name],AccountabilityTAMUSS[[#This Row],[Institution Name]],InputResearch[Business Fed])
+SUMIF(InputResearch[Institution Name],AccountabilityTAMUSS[[#This Row],[Institution Name]],InputResearch[Education Fed])
+SUMIF(InputResearch[Institution Name],AccountabilityTAMUSS[[#This Row],[Institution Name]],InputResearch[Law Fed])
+SUMIF(InputResearch[Institution Name],AccountabilityTAMUSS[[#This Row],[Institution Name]],InputResearch[Other Non-Sci. Fed])</calculatedColumnFormula>
    </tableColumn>
    <tableColumn id="5" xr3:uid="{B7121D5B-0005-40C2-BE76-D761BAF64C04}" name="State _x000a_Appropriation" totalsRowFunction="sum" dataDxfId="419" totalsRowDxfId="418" dataCellStyle="Normal">
      <calculatedColumnFormula>SUMIF(InputResearch[Institution Name],AccountabilityTAMUSS[[#This Row],[Institution Name]],InputResearch[Agricultural Sci. St. Approp.])
+SUMIF(InputResearch[Institution Name],AccountabilityTAMUSS[[#This Row],[Institution Name]],InputResearch[Biological &amp; Other Life Sci. St. Approp.])
+SUMIF(InputResearch[Institution Name],AccountabilityTAMUSS[[#This Row],[Institution Name]],InputResearch[Comp. Sci. St. Approp.])
+SUMIF(InputResearch[Institution Name],AccountabilityTAMUSS[[#This Row],[Institution Name]],InputResearch[Engineering St. Approp.])
+SUMIF(InputResearch[Institution Name],AccountabilityTAMUSS[[#This Row],[Institution Name]],InputResearch[Env Sci. St. Approp.])
+SUMIF(InputResearch[Institution Name],AccountabilityTAMUSS[[#This Row],[Institution Name]],InputResearch[Math St. Approp.])
+SUMIF(InputResearch[Institution Name],AccountabilityTAMUSS[[#This Row],[Institution Name]],InputResearch[Medical St. Approp.])
+SUMIF(InputResearch[Institution Name],AccountabilityTAMUSS[[#This Row],[Institution Name]],InputResearch[Physical Sci. St. Approp.])
+SUMIF(InputResearch[Institution Name],AccountabilityTAMUSS[[#This Row],[Institution Name]],InputResearch[Psychology St. Approp.])
+SUMIF(InputResearch[Institution Name],AccountabilityTAMUSS[[#This Row],[Institution Name]],InputResearch[Social Sci. St. Approp.])
+SUMIF(InputResearch[Institution Name],AccountabilityTAMUSS[[#This Row],[Institution Name]],InputResearch[Other Sci. St. Approp.])
+SUMIF(InputResearch[Institution Name],AccountabilityTAMUSS[[#This Row],[Institution Name]],InputResearch[Arts &amp; Humanities St. Approp.])
+SUMIF(InputResearch[Institution Name],AccountabilityTAMUSS[[#This Row],[Institution Name]],InputResearch[Business St. Approp.])
+SUMIF(InputResearch[Institution Name],AccountabilityTAMUSS[[#This Row],[Institution Name]],InputResearch[Education St. Approp.])
+SUMIF(InputResearch[Institution Name],AccountabilityTAMUSS[[#This Row],[Institution Name]],InputResearch[Law St. Approp.])
+SUMIF(InputResearch[Institution Name],AccountabilityTAMUSS[[#This Row],[Institution Name]],InputResearch[Other Non-Sci. St. Approp.])</calculatedColumnFormula>
    </tableColumn>
    <tableColumn id="6" xr3:uid="{2A814F50-DB6D-4891-BED8-E5D03295F832}" name="State _x000a_Contracts/Grants" totalsRowFunction="sum" dataDxfId="417" totalsRowDxfId="416" dataCellStyle="Normal">
      <calculatedColumnFormula>SUMIF(InputResearch[Institution Name],AccountabilityTAMUSS[[#This Row],[Institution Name]],InputResearch[Agricultural Sci. St. C&amp;G])
+SUMIF(InputResearch[Institution Name],AccountabilityTAMUSS[[#This Row],[Institution Name]],InputResearch[Biological &amp; Other Life Sci. St. C&amp;G])
+SUMIF(InputResearch[Institution Name],AccountabilityTAMUSS[[#This Row],[Institution Name]],InputResearch[Comp. Sci. St. C&amp;G])
+SUMIF(InputResearch[Institution Name],AccountabilityTAMUSS[[#This Row],[Institution Name]],InputResearch[Engineering St. C&amp;G])
+SUMIF(InputResearch[Institution Name],AccountabilityTAMUSS[[#This Row],[Institution Name]],InputResearch[Env Sci. St. C&amp;G])
+SUMIF(InputResearch[Institution Name],AccountabilityTAMUSS[[#This Row],[Institution Name]],InputResearch[Math St. C&amp;G])
+SUMIF(InputResearch[Institution Name],AccountabilityTAMUSS[[#This Row],[Institution Name]],InputResearch[Medical St. C&amp;G])
+SUMIF(InputResearch[Institution Name],AccountabilityTAMUSS[[#This Row],[Institution Name]],InputResearch[Physical Sci. St. C&amp;G])
+SUMIF(InputResearch[Institution Name],AccountabilityTAMUSS[[#This Row],[Institution Name]],InputResearch[Psychology St. C&amp;G])
+SUMIF(InputResearch[Institution Name],AccountabilityTAMUSS[[#This Row],[Institution Name]],InputResearch[Social Sci. St. C&amp;G])
+SUMIF(InputResearch[Institution Name],AccountabilityTAMUSS[[#This Row],[Institution Name]],InputResearch[Other Sci. St. C&amp;G])
+SUMIF(InputResearch[Institution Name],AccountabilityTAMUSS[[#This Row],[Institution Name]],InputResearch[Arts &amp; Humanities St. C&amp;G])
+SUMIF(InputResearch[Institution Name],AccountabilityTAMUSS[[#This Row],[Institution Name]],InputResearch[Business St. C&amp;G])
+SUMIF(InputResearch[Institution Name],AccountabilityTAMUSS[[#This Row],[Institution Name]],InputResearch[Education St. C&amp;G])
+SUMIF(InputResearch[Institution Name],AccountabilityTAMUSS[[#This Row],[Institution Name]],InputResearch[Law St. C&amp;G])
+SUMIF(InputResearch[Institution Name],AccountabilityTAMUSS[[#This Row],[Institution Name]],InputResearch[Other Non-Sci. St. C&amp;G])</calculatedColumnFormula>
    </tableColumn>
    <tableColumn id="7" xr3:uid="{27F111E1-3872-4CCF-B587-C754A340249C}" name="State" totalsRowFunction="sum" dataDxfId="415" totalsRowDxfId="414" dataCellStyle="Normal">
      <calculatedColumnFormula>SUM(AccountabilityTAMUSS[[#This Row],[State 
Appropriation]],AccountabilityTAMUSS[[#This Row],[State 
Contracts/Grants]])</calculatedColumnFormula>
    </tableColumn>
    <tableColumn id="8" xr3:uid="{C954EDED-CC90-4565-86CA-D8E7D2AE5F87}" name="Institutional _x000a_Resources" totalsRowFunction="sum" dataDxfId="413" totalsRowDxfId="412" dataCellStyle="Normal">
      <calculatedColumnFormula>SUMIF(InputResearch[Institution Name],AccountabilityTAMUSS[[#This Row],[Institution Name]],InputResearch[Agricultural Sci. Inst Res])
+SUMIF(InputResearch[Institution Name],AccountabilityTAMUSS[[#This Row],[Institution Name]],InputResearch[Biological &amp; Other Life Sci. Inst Res])
+SUMIF(InputResearch[Institution Name],AccountabilityTAMUSS[[#This Row],[Institution Name]],InputResearch[Comp. Sci. Inst Res])
+SUMIF(InputResearch[Institution Name],AccountabilityTAMUSS[[#This Row],[Institution Name]],InputResearch[Engineering Inst Res])
+SUMIF(InputResearch[Institution Name],AccountabilityTAMUSS[[#This Row],[Institution Name]],InputResearch[Env Sci. Inst Res])
+SUMIF(InputResearch[Institution Name],AccountabilityTAMUSS[[#This Row],[Institution Name]],InputResearch[Math Inst Res])
+SUMIF(InputResearch[Institution Name],AccountabilityTAMUSS[[#This Row],[Institution Name]],InputResearch[Medical Inst Res])
+SUMIF(InputResearch[Institution Name],AccountabilityTAMUSS[[#This Row],[Institution Name]],InputResearch[Physical Sci. Inst Res])
+SUMIF(InputResearch[Institution Name],AccountabilityTAMUSS[[#This Row],[Institution Name]],InputResearch[Psychology Inst Res])
+SUMIF(InputResearch[Institution Name],AccountabilityTAMUSS[[#This Row],[Institution Name]],InputResearch[Social Sci. Inst Res])
+SUMIF(InputResearch[Institution Name],AccountabilityTAMUSS[[#This Row],[Institution Name]],InputResearch[Other Sci. Inst Res])
+SUMIF(InputResearch[Institution Name],AccountabilityTAMUSS[[#This Row],[Institution Name]],InputResearch[Arts &amp; Humanities Inst Res])
+SUMIF(InputResearch[Institution Name],AccountabilityTAMUSS[[#This Row],[Institution Name]],InputResearch[Business Inst Res])
+SUMIF(InputResearch[Institution Name],AccountabilityTAMUSS[[#This Row],[Institution Name]],InputResearch[Education Inst Res])
+SUMIF(InputResearch[Institution Name],AccountabilityTAMUSS[[#This Row],[Institution Name]],InputResearch[Law Inst Res])
+SUMIF(InputResearch[Institution Name],AccountabilityTAMUSS[[#This Row],[Institution Name]],InputResearch[Other Non-Sci. Inst Res])</calculatedColumnFormula>
    </tableColumn>
    <tableColumn id="9" xr3:uid="{2AD0A489-CBB1-49D7-BFC3-DD4768D32BD3}" name="Private _x000a_For Profit" totalsRowFunction="sum" dataDxfId="411" totalsRowDxfId="410" dataCellStyle="Normal">
      <calculatedColumnFormula>SUMIF(InputResearch[Institution Name],AccountabilityTAMUSS[[#This Row],[Institution Name]],InputResearch[Agricultural Sci. PFP])
+SUMIF(InputResearch[Institution Name],AccountabilityTAMUSS[[#This Row],[Institution Name]],InputResearch[Biological &amp; Other Life Sci. PFP])
+SUMIF(InputResearch[Institution Name],AccountabilityTAMUSS[[#This Row],[Institution Name]],InputResearch[Comp. Sci. PFP])
+SUMIF(InputResearch[Institution Name],AccountabilityTAMUSS[[#This Row],[Institution Name]],InputResearch[Engineering PFP])
+SUMIF(InputResearch[Institution Name],AccountabilityTAMUSS[[#This Row],[Institution Name]],InputResearch[Env Sci. PFP])
+SUMIF(InputResearch[Institution Name],AccountabilityTAMUSS[[#This Row],[Institution Name]],InputResearch[Math PFP])
+SUMIF(InputResearch[Institution Name],AccountabilityTAMUSS[[#This Row],[Institution Name]],InputResearch[Medical PFP])
+SUMIF(InputResearch[Institution Name],AccountabilityTAMUSS[[#This Row],[Institution Name]],InputResearch[Physical Sci. PFP])
+SUMIF(InputResearch[Institution Name],AccountabilityTAMUSS[[#This Row],[Institution Name]],InputResearch[Psychology PFP])
+SUMIF(InputResearch[Institution Name],AccountabilityTAMUSS[[#This Row],[Institution Name]],InputResearch[Social Sci. PFP])
+SUMIF(InputResearch[Institution Name],AccountabilityTAMUSS[[#This Row],[Institution Name]],InputResearch[Other Sci. PFP])
+SUMIF(InputResearch[Institution Name],AccountabilityTAMUSS[[#This Row],[Institution Name]],InputResearch[Arts &amp; Humanities PFP])
+SUMIF(InputResearch[Institution Name],AccountabilityTAMUSS[[#This Row],[Institution Name]],InputResearch[Business PFP])
+SUMIF(InputResearch[Institution Name],AccountabilityTAMUSS[[#This Row],[Institution Name]],InputResearch[Education PFP])
+SUMIF(InputResearch[Institution Name],AccountabilityTAMUSS[[#This Row],[Institution Name]],InputResearch[Law PFP])
+SUMIF(InputResearch[Institution Name],AccountabilityTAMUSS[[#This Row],[Institution Name]],InputResearch[Other Non-Sci. PFP])</calculatedColumnFormula>
    </tableColumn>
    <tableColumn id="10" xr3:uid="{AE046CD3-D90F-48D4-B18E-BFB50461DCFE}" name="Private _x000a_Nonprofit" totalsRowFunction="sum" dataDxfId="409" totalsRowDxfId="408" dataCellStyle="Normal">
      <calculatedColumnFormula>SUMIF(InputResearch[Institution Name],AccountabilityTAMUSS[[#This Row],[Institution Name]],InputResearch[Agricultural Sci. PNP])
+SUMIF(InputResearch[Institution Name],AccountabilityTAMUSS[[#This Row],[Institution Name]],InputResearch[Biological &amp; Other Life Sci. PNP])
+SUMIF(InputResearch[Institution Name],AccountabilityTAMUSS[[#This Row],[Institution Name]],InputResearch[Comp. Sci. PNP])
+SUMIF(InputResearch[Institution Name],AccountabilityTAMUSS[[#This Row],[Institution Name]],InputResearch[Engineering PNP])
+SUMIF(InputResearch[Institution Name],AccountabilityTAMUSS[[#This Row],[Institution Name]],InputResearch[Env Sci. PNP])
+SUMIF(InputResearch[Institution Name],AccountabilityTAMUSS[[#This Row],[Institution Name]],InputResearch[Math PNP])
+SUMIF(InputResearch[Institution Name],AccountabilityTAMUSS[[#This Row],[Institution Name]],InputResearch[Medical PNP])
+SUMIF(InputResearch[Institution Name],AccountabilityTAMUSS[[#This Row],[Institution Name]],InputResearch[Physical Sci. PNP])
+SUMIF(InputResearch[Institution Name],AccountabilityTAMUSS[[#This Row],[Institution Name]],InputResearch[Psychology PNP])
+SUMIF(InputResearch[Institution Name],AccountabilityTAMUSS[[#This Row],[Institution Name]],InputResearch[Social Sci. PNP])
+SUMIF(InputResearch[Institution Name],AccountabilityTAMUSS[[#This Row],[Institution Name]],InputResearch[Other Sci. PNP])
+SUMIF(InputResearch[Institution Name],AccountabilityTAMUSS[[#This Row],[Institution Name]],InputResearch[Arts &amp; Humanities PNP])
+SUMIF(InputResearch[Institution Name],AccountabilityTAMUSS[[#This Row],[Institution Name]],InputResearch[Business PNP])
+SUMIF(InputResearch[Institution Name],AccountabilityTAMUSS[[#This Row],[Institution Name]],InputResearch[Education PNP])
+SUMIF(InputResearch[Institution Name],AccountabilityTAMUSS[[#This Row],[Institution Name]],InputResearch[Law PNP])
+SUMIF(InputResearch[Institution Name],AccountabilityTAMUSS[[#This Row],[Institution Name]],InputResearch[Other Non-Sci. PNP])</calculatedColumnFormula>
    </tableColumn>
    <tableColumn id="11" xr3:uid="{520A1FCE-B66E-42CB-9917-E5C1A810FE06}" name="Private" totalsRowFunction="sum" dataDxfId="407" totalsRowDxfId="406" dataCellStyle="Normal">
      <calculatedColumnFormula>SUM(AccountabilityTAMUSS[[#This Row],[Private 
For Profit]],AccountabilityTAMUSS[[#This Row],[Private 
Nonprofit]])</calculatedColumnFormula>
    </tableColumn>
    <tableColumn id="12" xr3:uid="{AD9CA0F9-E5A3-4E99-9F24-EC25958582FA}" name="Total Research _x000a_Expenditures" totalsRowFunction="sum" dataDxfId="405" totalsRowDxfId="404" dataCellStyle="Normal">
      <calculatedColumnFormula>SUM(AccountabilityTAMUSS[[#This Row],[Federal]],AccountabilityTAMUSS[[#This Row],[State]],AccountabilityTAMUSS[[#This Row],[Institutional 
Resources]],AccountabilityTAMUSS[[#This Row],[Private]])</calculatedColumnFormula>
    </tableColumn>
  </tableColumns>
  <tableStyleInfo name="General"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D7E3DE2-5ECB-4CE4-8557-9D0240F6C5C9}" name="AccountabilityAHM" displayName="AccountabilityAHM" ref="A104:L109" totalsRowCount="1" headerRowDxfId="403" dataDxfId="402" totalsRowDxfId="401">
  <tableColumns count="12">
    <tableColumn id="1" xr3:uid="{4BBDD556-7665-4034-9796-F455E93E3284}" name="Institution Name" dataDxfId="400" totalsRowDxfId="399"/>
    <tableColumn id="12" xr3:uid="{331BFE0B-F22C-44CA-9D60-3C1C50CBE5AD}" name="Sort" dataDxfId="398" totalsRowDxfId="397">
      <calculatedColumnFormula>VLOOKUP(AccountabilityAHM[[#This Row],[Institution Name]],InputResearch[],3,FALSE)</calculatedColumnFormula>
    </tableColumn>
    <tableColumn id="2" xr3:uid="{D72F508E-9F3A-44E3-9F3C-A307E616430C}" name="FICE" dataDxfId="396" totalsRowDxfId="395"/>
    <tableColumn id="3" xr3:uid="{B7BDBF69-634E-48DF-A410-5BEE11A9F5ED}" name="Federal" totalsRowFunction="sum" dataDxfId="394" totalsRowDxfId="393">
      <calculatedColumnFormula>SUMIF(InputResearch[Institution Name],AccountabilityAHM[[#This Row],[Institution Name]],InputResearch[Agricultural Sci. Fed])
+SUMIF(InputResearch[Institution Name],AccountabilityAHM[[#This Row],[Institution Name]],InputResearch[Biological &amp; Other Life Sci. Fed])
+SUMIF(InputResearch[Institution Name],AccountabilityAHM[[#This Row],[Institution Name]],InputResearch[Comp. Sci. Fed])
+SUMIF(InputResearch[Institution Name],AccountabilityAHM[[#This Row],[Institution Name]],InputResearch[Engineering Fed])
+SUMIF(InputResearch[Institution Name],AccountabilityAHM[[#This Row],[Institution Name]],InputResearch[Env Sci. Fed])
+SUMIF(InputResearch[Institution Name],AccountabilityAHM[[#This Row],[Institution Name]],InputResearch[Math Fed])
+SUMIF(InputResearch[Institution Name],AccountabilityAHM[[#This Row],[Institution Name]],InputResearch[Medical Fed])
+SUMIF(InputResearch[Institution Name],AccountabilityAHM[[#This Row],[Institution Name]],InputResearch[Physical Sci. Fed])
+SUMIF(InputResearch[Institution Name],AccountabilityAHM[[#This Row],[Institution Name]],InputResearch[Psychology Fed])
+SUMIF(InputResearch[Institution Name],AccountabilityAHM[[#This Row],[Institution Name]],InputResearch[Social Sci. Fed])
+SUMIF(InputResearch[Institution Name],AccountabilityAHM[[#This Row],[Institution Name]],InputResearch[Other Sci. Fed])
+SUMIF(InputResearch[Institution Name],AccountabilityAHM[[#This Row],[Institution Name]],InputResearch[Arts &amp; Humanities Fed])
+SUMIF(InputResearch[Institution Name],AccountabilityAHM[[#This Row],[Institution Name]],InputResearch[Business Fed])
+SUMIF(InputResearch[Institution Name],AccountabilityAHM[[#This Row],[Institution Name]],InputResearch[Education Fed])
+SUMIF(InputResearch[Institution Name],AccountabilityAHM[[#This Row],[Institution Name]],InputResearch[Law Fed])
+SUMIF(InputResearch[Institution Name],AccountabilityAHM[[#This Row],[Institution Name]],InputResearch[Other Non-Sci. Fed])</calculatedColumnFormula>
    </tableColumn>
    <tableColumn id="4" xr3:uid="{1F3D4333-094F-4FC5-B4F4-F796E528C230}" name="State _x000a_Appropriation" totalsRowFunction="sum" dataDxfId="392" totalsRowDxfId="391">
      <calculatedColumnFormula>SUMIF(InputResearch[Institution Name],AccountabilityAHM[[#This Row],[Institution Name]],InputResearch[Agricultural Sci. St. Approp.])
+SUMIF(InputResearch[Institution Name],AccountabilityAHM[[#This Row],[Institution Name]],InputResearch[Biological &amp; Other Life Sci. St. Approp.])
+SUMIF(InputResearch[Institution Name],AccountabilityAHM[[#This Row],[Institution Name]],InputResearch[Comp. Sci. St. Approp.])
+SUMIF(InputResearch[Institution Name],AccountabilityAHM[[#This Row],[Institution Name]],InputResearch[Engineering St. Approp.])
+SUMIF(InputResearch[Institution Name],AccountabilityAHM[[#This Row],[Institution Name]],InputResearch[Env Sci. St. Approp.])
+SUMIF(InputResearch[Institution Name],AccountabilityAHM[[#This Row],[Institution Name]],InputResearch[Math St. Approp.])
+SUMIF(InputResearch[Institution Name],AccountabilityAHM[[#This Row],[Institution Name]],InputResearch[Medical St. Approp.])
+SUMIF(InputResearch[Institution Name],AccountabilityAHM[[#This Row],[Institution Name]],InputResearch[Physical Sci. St. Approp.])
+SUMIF(InputResearch[Institution Name],AccountabilityAHM[[#This Row],[Institution Name]],InputResearch[Psychology St. Approp.])
+SUMIF(InputResearch[Institution Name],AccountabilityAHM[[#This Row],[Institution Name]],InputResearch[Social Sci. St. Approp.])
+SUMIF(InputResearch[Institution Name],AccountabilityAHM[[#This Row],[Institution Name]],InputResearch[Other Sci. St. Approp.])
+SUMIF(InputResearch[Institution Name],AccountabilityAHM[[#This Row],[Institution Name]],InputResearch[Arts &amp; Humanities St. Approp.])
+SUMIF(InputResearch[Institution Name],AccountabilityAHM[[#This Row],[Institution Name]],InputResearch[Business St. Approp.])
+SUMIF(InputResearch[Institution Name],AccountabilityAHM[[#This Row],[Institution Name]],InputResearch[Education St. Approp.])
+SUMIF(InputResearch[Institution Name],AccountabilityAHM[[#This Row],[Institution Name]],InputResearch[Law St. Approp.])
+SUMIF(InputResearch[Institution Name],AccountabilityAHM[[#This Row],[Institution Name]],InputResearch[Other Non-Sci. St. Approp.])</calculatedColumnFormula>
    </tableColumn>
    <tableColumn id="5" xr3:uid="{84F1B3FD-870E-40A7-A0ED-5F3DFCA21AC3}" name="State _x000a_Contracts/Grants" totalsRowFunction="sum" dataDxfId="390" totalsRowDxfId="389">
      <calculatedColumnFormula>SUMIF(InputResearch[Institution Name],AccountabilityAHM[[#This Row],[Institution Name]],InputResearch[Agricultural Sci. St. C&amp;G])
+SUMIF(InputResearch[Institution Name],AccountabilityAHM[[#This Row],[Institution Name]],InputResearch[Biological &amp; Other Life Sci. St. C&amp;G])
+SUMIF(InputResearch[Institution Name],AccountabilityAHM[[#This Row],[Institution Name]],InputResearch[Comp. Sci. St. C&amp;G])
+SUMIF(InputResearch[Institution Name],AccountabilityAHM[[#This Row],[Institution Name]],InputResearch[Engineering St. C&amp;G])
+SUMIF(InputResearch[Institution Name],AccountabilityAHM[[#This Row],[Institution Name]],InputResearch[Env Sci. St. C&amp;G])
+SUMIF(InputResearch[Institution Name],AccountabilityAHM[[#This Row],[Institution Name]],InputResearch[Math St. C&amp;G])
+SUMIF(InputResearch[Institution Name],AccountabilityAHM[[#This Row],[Institution Name]],InputResearch[Medical St. C&amp;G])
+SUMIF(InputResearch[Institution Name],AccountabilityAHM[[#This Row],[Institution Name]],InputResearch[Physical Sci. St. C&amp;G])
+SUMIF(InputResearch[Institution Name],AccountabilityAHM[[#This Row],[Institution Name]],InputResearch[Psychology St. C&amp;G])
+SUMIF(InputResearch[Institution Name],AccountabilityAHM[[#This Row],[Institution Name]],InputResearch[Social Sci. St. C&amp;G])
+SUMIF(InputResearch[Institution Name],AccountabilityAHM[[#This Row],[Institution Name]],InputResearch[Other Sci. St. C&amp;G])
+SUMIF(InputResearch[Institution Name],AccountabilityAHM[[#This Row],[Institution Name]],InputResearch[Arts &amp; Humanities St. C&amp;G])
+SUMIF(InputResearch[Institution Name],AccountabilityAHM[[#This Row],[Institution Name]],InputResearch[Business St. C&amp;G])
+SUMIF(InputResearch[Institution Name],AccountabilityAHM[[#This Row],[Institution Name]],InputResearch[Education St. C&amp;G])
+SUMIF(InputResearch[Institution Name],AccountabilityAHM[[#This Row],[Institution Name]],InputResearch[Law St. C&amp;G])
+SUMIF(InputResearch[Institution Name],AccountabilityAHM[[#This Row],[Institution Name]],InputResearch[Other Non-Sci. St. C&amp;G])</calculatedColumnFormula>
    </tableColumn>
    <tableColumn id="6" xr3:uid="{088EF64C-92D4-463E-B5A2-028BE8162C14}" name="State" totalsRowFunction="sum" dataDxfId="388" totalsRowDxfId="387">
      <calculatedColumnFormula>SUM(AccountabilityAHM[[#This Row],[State 
Appropriation]],AccountabilityAHM[[#This Row],[State 
Contracts/Grants]])</calculatedColumnFormula>
    </tableColumn>
    <tableColumn id="7" xr3:uid="{9492AFE3-E283-4715-946D-A80251778A29}" name="Institutional _x000a_Resources" totalsRowFunction="sum" dataDxfId="386" totalsRowDxfId="385">
      <calculatedColumnFormula>SUMIF(InputResearch[Institution Name],AccountabilityAHM[[#This Row],[Institution Name]],InputResearch[Agricultural Sci. Inst Res])
+SUMIF(InputResearch[Institution Name],AccountabilityAHM[[#This Row],[Institution Name]],InputResearch[Biological &amp; Other Life Sci. Inst Res])
+SUMIF(InputResearch[Institution Name],AccountabilityAHM[[#This Row],[Institution Name]],InputResearch[Comp. Sci. Inst Res])
+SUMIF(InputResearch[Institution Name],AccountabilityAHM[[#This Row],[Institution Name]],InputResearch[Engineering Inst Res])
+SUMIF(InputResearch[Institution Name],AccountabilityAHM[[#This Row],[Institution Name]],InputResearch[Env Sci. Inst Res])
+SUMIF(InputResearch[Institution Name],AccountabilityAHM[[#This Row],[Institution Name]],InputResearch[Math Inst Res])
+SUMIF(InputResearch[Institution Name],AccountabilityAHM[[#This Row],[Institution Name]],InputResearch[Medical Inst Res])
+SUMIF(InputResearch[Institution Name],AccountabilityAHM[[#This Row],[Institution Name]],InputResearch[Physical Sci. Inst Res])
+SUMIF(InputResearch[Institution Name],AccountabilityAHM[[#This Row],[Institution Name]],InputResearch[Psychology Inst Res])
+SUMIF(InputResearch[Institution Name],AccountabilityAHM[[#This Row],[Institution Name]],InputResearch[Social Sci. Inst Res])
+SUMIF(InputResearch[Institution Name],AccountabilityAHM[[#This Row],[Institution Name]],InputResearch[Other Sci. Inst Res])
+SUMIF(InputResearch[Institution Name],AccountabilityAHM[[#This Row],[Institution Name]],InputResearch[Arts &amp; Humanities Inst Res])
+SUMIF(InputResearch[Institution Name],AccountabilityAHM[[#This Row],[Institution Name]],InputResearch[Business Inst Res])
+SUMIF(InputResearch[Institution Name],AccountabilityAHM[[#This Row],[Institution Name]],InputResearch[Education Inst Res])
+SUMIF(InputResearch[Institution Name],AccountabilityAHM[[#This Row],[Institution Name]],InputResearch[Law Inst Res])
+SUMIF(InputResearch[Institution Name],AccountabilityAHM[[#This Row],[Institution Name]],InputResearch[Other Non-Sci. Inst Res])</calculatedColumnFormula>
    </tableColumn>
    <tableColumn id="8" xr3:uid="{CB7940A6-27D0-4D1E-880C-861BDA4D0D27}" name="Private _x000a_For Profit" totalsRowFunction="sum" dataDxfId="384" totalsRowDxfId="383">
      <calculatedColumnFormula>SUMIF(InputResearch[Institution Name],AccountabilityAHM[[#This Row],[Institution Name]],InputResearch[Agricultural Sci. PFP])
+SUMIF(InputResearch[Institution Name],AccountabilityAHM[[#This Row],[Institution Name]],InputResearch[Biological &amp; Other Life Sci. PFP])
+SUMIF(InputResearch[Institution Name],AccountabilityAHM[[#This Row],[Institution Name]],InputResearch[Comp. Sci. PFP])
+SUMIF(InputResearch[Institution Name],AccountabilityAHM[[#This Row],[Institution Name]],InputResearch[Engineering PFP])
+SUMIF(InputResearch[Institution Name],AccountabilityAHM[[#This Row],[Institution Name]],InputResearch[Env Sci. PFP])
+SUMIF(InputResearch[Institution Name],AccountabilityAHM[[#This Row],[Institution Name]],InputResearch[Math PFP])
+SUMIF(InputResearch[Institution Name],AccountabilityAHM[[#This Row],[Institution Name]],InputResearch[Medical PFP])
+SUMIF(InputResearch[Institution Name],AccountabilityAHM[[#This Row],[Institution Name]],InputResearch[Physical Sci. PFP])
+SUMIF(InputResearch[Institution Name],AccountabilityAHM[[#This Row],[Institution Name]],InputResearch[Psychology PFP])
+SUMIF(InputResearch[Institution Name],AccountabilityAHM[[#This Row],[Institution Name]],InputResearch[Social Sci. PFP])
+SUMIF(InputResearch[Institution Name],AccountabilityAHM[[#This Row],[Institution Name]],InputResearch[Other Sci. PFP])
+SUMIF(InputResearch[Institution Name],AccountabilityAHM[[#This Row],[Institution Name]],InputResearch[Arts &amp; Humanities PFP])
+SUMIF(InputResearch[Institution Name],AccountabilityAHM[[#This Row],[Institution Name]],InputResearch[Business PFP])
+SUMIF(InputResearch[Institution Name],AccountabilityAHM[[#This Row],[Institution Name]],InputResearch[Education PFP])
+SUMIF(InputResearch[Institution Name],AccountabilityAHM[[#This Row],[Institution Name]],InputResearch[Law PFP])
+SUMIF(InputResearch[Institution Name],AccountabilityAHM[[#This Row],[Institution Name]],InputResearch[Other Non-Sci. PFP])</calculatedColumnFormula>
    </tableColumn>
    <tableColumn id="9" xr3:uid="{C9DDC55B-DA27-4DF3-BBDB-3800D7BF9B13}" name="Private _x000a_Nonprofit" totalsRowFunction="sum" dataDxfId="382" totalsRowDxfId="381">
      <calculatedColumnFormula>SUMIF(InputResearch[Institution Name],AccountabilityAHM[[#This Row],[Institution Name]],InputResearch[Agricultural Sci. PNP])
+SUMIF(InputResearch[Institution Name],AccountabilityAHM[[#This Row],[Institution Name]],InputResearch[Biological &amp; Other Life Sci. PNP])
+SUMIF(InputResearch[Institution Name],AccountabilityAHM[[#This Row],[Institution Name]],InputResearch[Comp. Sci. PNP])
+SUMIF(InputResearch[Institution Name],AccountabilityAHM[[#This Row],[Institution Name]],InputResearch[Engineering PNP])
+SUMIF(InputResearch[Institution Name],AccountabilityAHM[[#This Row],[Institution Name]],InputResearch[Env Sci. PNP])
+SUMIF(InputResearch[Institution Name],AccountabilityAHM[[#This Row],[Institution Name]],InputResearch[Math PNP])
+SUMIF(InputResearch[Institution Name],AccountabilityAHM[[#This Row],[Institution Name]],InputResearch[Medical PNP])
+SUMIF(InputResearch[Institution Name],AccountabilityAHM[[#This Row],[Institution Name]],InputResearch[Physical Sci. PNP])
+SUMIF(InputResearch[Institution Name],AccountabilityAHM[[#This Row],[Institution Name]],InputResearch[Psychology PNP])
+SUMIF(InputResearch[Institution Name],AccountabilityAHM[[#This Row],[Institution Name]],InputResearch[Social Sci. PNP])
+SUMIF(InputResearch[Institution Name],AccountabilityAHM[[#This Row],[Institution Name]],InputResearch[Other Sci. PNP])
+SUMIF(InputResearch[Institution Name],AccountabilityAHM[[#This Row],[Institution Name]],InputResearch[Arts &amp; Humanities PNP])
+SUMIF(InputResearch[Institution Name],AccountabilityAHM[[#This Row],[Institution Name]],InputResearch[Business PNP])
+SUMIF(InputResearch[Institution Name],AccountabilityAHM[[#This Row],[Institution Name]],InputResearch[Education PNP])
+SUMIF(InputResearch[Institution Name],AccountabilityAHM[[#This Row],[Institution Name]],InputResearch[Law PNP])
+SUMIF(InputResearch[Institution Name],AccountabilityAHM[[#This Row],[Institution Name]],InputResearch[Other Non-Sci. PNP])</calculatedColumnFormula>
    </tableColumn>
    <tableColumn id="10" xr3:uid="{E5054B58-F365-4DCA-8CC1-BD7F79B86A42}" name="Private" totalsRowFunction="sum" dataDxfId="380" totalsRowDxfId="379">
      <calculatedColumnFormula>SUM(AccountabilityAHM[[#This Row],[Private 
For Profit]],AccountabilityAHM[[#This Row],[Private 
Nonprofit]])</calculatedColumnFormula>
    </tableColumn>
    <tableColumn id="11" xr3:uid="{2B14BDF0-55D8-4258-948C-E2201688F059}" name="Total Research _x000a_Expenditures" totalsRowFunction="sum" dataDxfId="378" totalsRowDxfId="377">
      <calculatedColumnFormula>SUM(AccountabilityAHM[[#This Row],[Federal]],AccountabilityAHM[[#This Row],[State]],AccountabilityAHM[[#This Row],[Institutional 
Resources]],AccountabilityAHM[[#This Row],[Private]])</calculatedColumnFormula>
    </tableColumn>
  </tableColumns>
  <tableStyleInfo name="General"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CD97B35-0779-4D18-BF84-CC31ED49BF04}" name="AlmanacHRI" displayName="AlmanacHRI" ref="A5:E20" totalsRowCount="1" dataDxfId="376" totalsRowDxfId="375">
  <tableColumns count="5">
    <tableColumn id="1" xr3:uid="{05DA44C7-0365-4926-9365-4CAC64C18F14}" name="Institution Name" dataDxfId="374" totalsRowDxfId="373"/>
    <tableColumn id="3" xr3:uid="{7ED0A95F-3A7D-4BA8-8FD2-1F52965AA015}" name="Sort" dataDxfId="372" totalsRowDxfId="371">
      <calculatedColumnFormula>VLOOKUP(AlmanacHRI[[#This Row],[Institution Name]],InputResearch[],3,FALSE)</calculatedColumnFormula>
    </tableColumn>
    <tableColumn id="2" xr3:uid="{FF675B2A-03EF-4620-B1C9-B4DFB8A05DCF}" name="FICE" dataDxfId="370" totalsRowDxfId="369"/>
    <tableColumn id="4" xr3:uid="{2D631E47-8AA9-45E7-A0D2-9671FF6C83A9}" name="Research _x000a_Expenditures¹" totalsRowFunction="sum" dataDxfId="368" totalsRowDxfId="367">
      <calculatedColumnFormula>SUMIFS(InputResearch[R &amp; D Expenses],InputResearch[Institution Name],AlmanacHRI[[#This Row],[Institution Name]])+SUMIFS(InputResearch[R &amp; D Exp Not meeting narrow def],InputResearch[Institution Name],AlmanacHRI[[#This Row],[Institution Name]])</calculatedColumnFormula>
    </tableColumn>
    <tableColumn id="5" xr3:uid="{93E22444-972B-4CBB-BD5D-D6D9D0DB311E}" name="Research _x000a_Expenditures _x000a_Per FTE Faculty²" totalsRowFunction="sum" dataDxfId="366" totalsRowDxfId="365">
      <calculatedColumnFormula>IFERROR(ROUND(AlmanacHRI[[#This Row],[Research 
Expenditures¹]]/VLOOKUP(AlmanacHRI[[#This Row],[FICE]],FTSEHRI[[FICE]:[T/TT Fall
Faculty FTE⁴]],9,FALSE),2),"N/A")</calculatedColumnFormula>
    </tableColumn>
  </tableColumns>
  <tableStyleInfo name="General"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068A586-48A2-4B02-90D9-02304A96BD1E}" name="AlmanacTSTC" displayName="AlmanacTSTC" ref="A28:E38" totalsRowCount="1" dataDxfId="364" totalsRowDxfId="363">
  <sortState xmlns:xlrd2="http://schemas.microsoft.com/office/spreadsheetml/2017/richdata2" ref="A29:E37">
    <sortCondition ref="B28:B37"/>
  </sortState>
  <tableColumns count="5">
    <tableColumn id="1" xr3:uid="{A0FFF5A7-FDEF-43AF-BB3E-438AE8031858}" name="Institution Name" dataDxfId="362" totalsRowDxfId="361"/>
    <tableColumn id="3" xr3:uid="{C044D701-FD04-4060-8752-220540438FE0}" name="Sort" dataDxfId="360" totalsRowDxfId="359">
      <calculatedColumnFormula>VLOOKUP(AlmanacTSTC[[#This Row],[Institution Name]],InputResearch[],3,FALSE)</calculatedColumnFormula>
    </tableColumn>
    <tableColumn id="2" xr3:uid="{577F5AE0-8FE2-4B08-84ED-1880ABD2FB53}" name="FICE" dataDxfId="358" totalsRowDxfId="357"/>
    <tableColumn id="4" xr3:uid="{02F36710-0E21-4DA6-B1B9-3CD5F33B427A}" name="Research _x000a_Expenditures¹" totalsRowFunction="sum" dataDxfId="356" totalsRowDxfId="355">
      <calculatedColumnFormula>SUMIFS(InputResearch[R &amp; D Expenses],InputResearch[Institution Name],AlmanacTSTC[[#This Row],[Institution Name]])+SUMIFS(InputResearch[R &amp; D Exp Not meeting narrow def],InputResearch[Institution Name],AlmanacTSTC[[#This Row],[Institution Name]])</calculatedColumnFormula>
    </tableColumn>
    <tableColumn id="5" xr3:uid="{234F608B-7C79-4995-8706-E9D45305940D}" name="Research _x000a_Expenditures _x000a_Per FTE Faculty²" totalsRowFunction="sum" dataDxfId="354" totalsRowDxfId="353">
      <calculatedColumnFormula>IFERROR(ROUND(AlmanacTSTC[[#This Row],[Research 
Expenditures¹]]/VLOOKUP(AlmanacTSTC[[#This Row],[FICE]],FTSETSTC[[FICE]:[Fall 
Faculty FTE]],8,FALSE),2),"N/A")</calculatedColumnFormula>
    </tableColumn>
  </tableColumns>
  <tableStyleInfo name="General"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A3D73B1-F890-4962-A6D2-885336E75A50}" name="AlmanacUNIV" displayName="AlmanacUNIV" ref="A46:E83" totalsRowCount="1" dataDxfId="352" totalsRowDxfId="351">
  <sortState xmlns:xlrd2="http://schemas.microsoft.com/office/spreadsheetml/2017/richdata2" ref="A47:E82">
    <sortCondition ref="B46:B82"/>
  </sortState>
  <tableColumns count="5">
    <tableColumn id="1" xr3:uid="{B868F961-6AB0-46F9-955B-66CAA4800C67}" name="Institution Name" dataDxfId="350" totalsRowDxfId="349"/>
    <tableColumn id="3" xr3:uid="{65A6AB5E-3D67-4E5D-AF5E-EBD4785E384B}" name="Sort" dataDxfId="348" totalsRowDxfId="347">
      <calculatedColumnFormula>VLOOKUP(AlmanacUNIV[[#This Row],[Institution Name]],InputResearch[],3,FALSE)</calculatedColumnFormula>
    </tableColumn>
    <tableColumn id="2" xr3:uid="{04956170-FD47-4700-A54C-27503E833099}" name="FICE" dataDxfId="346" totalsRowDxfId="345"/>
    <tableColumn id="4" xr3:uid="{49A43ECF-69DC-48DE-BF5D-8635F95D7843}" name="Research _x000a_Expenditures¹" totalsRowFunction="sum" dataDxfId="344" totalsRowDxfId="343">
      <calculatedColumnFormula>SUMIFS(InputResearch[R &amp; D Expenses],InputResearch[Institution Name],AlmanacUNIV[[#This Row],[Institution Name]])+SUMIFS(InputResearch[R &amp; D Exp Not meeting narrow def],InputResearch[Institution Name],AlmanacUNIV[[#This Row],[Institution Name]])</calculatedColumnFormula>
    </tableColumn>
    <tableColumn id="5" xr3:uid="{B9E82CA7-1B09-45E3-872F-75F93695CEAB}" name="Research _x000a_Expenditures _x000a_Per FTE Faculty²" totalsRowFunction="sum" dataDxfId="342" totalsRowDxfId="341">
      <calculatedColumnFormula>IFERROR(ROUND(AlmanacUNIV[[#This Row],[Research 
Expenditures¹]]/VLOOKUP(AlmanacUNIV[[#This Row],[FICE]],FTSEUNIV[[FICE]:[T/TT Fall
Faculty FTE³]],9,FALSE),2),"N/A")</calculatedColumnFormula>
    </tableColumn>
  </tableColumns>
  <tableStyleInfo name="General"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A83D7EA1-6463-46E4-8E00-739F0237EB3A}" name="AlmanacPVT" displayName="AlmanacPVT" ref="A111:E129" totalsRowCount="1" dataDxfId="340" totalsRowDxfId="339">
  <sortState xmlns:xlrd2="http://schemas.microsoft.com/office/spreadsheetml/2017/richdata2" ref="A112:E128">
    <sortCondition ref="A111:A128"/>
  </sortState>
  <tableColumns count="5">
    <tableColumn id="1" xr3:uid="{69FE80F0-A838-4314-8225-3EE14FBF03B9}" name="Institution Name" dataDxfId="338" totalsRowDxfId="337"/>
    <tableColumn id="3" xr3:uid="{BA1DE4D4-0959-4AA0-8137-C0892E545308}" name="Sort" dataDxfId="336" totalsRowDxfId="335"/>
    <tableColumn id="2" xr3:uid="{0AD3C673-4A5C-407E-BB6D-8719EBB5DD4C}" name="FICE" dataDxfId="334" totalsRowDxfId="333"/>
    <tableColumn id="4" xr3:uid="{788BAC52-744C-4768-818B-541C90CEF4A7}" name="Research _x000a_Expenditures¹" totalsRowFunction="sum" dataDxfId="332" totalsRowDxfId="331">
      <calculatedColumnFormula>SUMIFS(InputResearch[R &amp; D Expenses],InputResearch[Institution Name],AlmanacPVT[[#This Row],[Institution Name]])+SUMIFS(InputResearch[R &amp; D Exp Not meeting narrow def],InputResearch[Institution Name],AlmanacPVT[[#This Row],[Institution Name]])</calculatedColumnFormula>
    </tableColumn>
    <tableColumn id="5" xr3:uid="{FD733807-611C-48BF-BF19-BE3C109C4B37}" name="Research _x000a_Expenditures _x000a_Per FTE Faculty²" dataDxfId="330" totalsRowDxfId="329"/>
  </tableColumns>
  <tableStyleInfo name="General"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35AF822-4FCE-4295-B317-51BE0ACABD97}" name="AlmanacTAMUS" displayName="AlmanacTAMUS" ref="A91:E103" totalsRowCount="1" dataDxfId="328" totalsRowDxfId="327">
  <sortState xmlns:xlrd2="http://schemas.microsoft.com/office/spreadsheetml/2017/richdata2" ref="A92:E102">
    <sortCondition ref="B91:B102"/>
  </sortState>
  <tableColumns count="5">
    <tableColumn id="1" xr3:uid="{DB46217E-D9A3-47DC-A902-EEC8073F3642}" name="Institution Name" dataDxfId="326" totalsRowDxfId="325"/>
    <tableColumn id="3" xr3:uid="{E56BE3A1-EE0C-4502-9AF2-B900BC2402E0}" name="Sort" dataDxfId="324" totalsRowDxfId="323">
      <calculatedColumnFormula>VLOOKUP(AlmanacTAMUS[[#This Row],[Institution Name]],InputResearch[],3,FALSE)</calculatedColumnFormula>
    </tableColumn>
    <tableColumn id="2" xr3:uid="{4F8C1145-FC71-4607-9C35-ED5164DB37C9}" name="FICE" dataDxfId="322" totalsRowDxfId="321"/>
    <tableColumn id="4" xr3:uid="{71EA5C35-D1B7-4887-B41E-355255C95255}" name="Research _x000a_Expenditures¹" totalsRowFunction="sum" dataDxfId="320" totalsRowDxfId="319">
      <calculatedColumnFormula>SUMIFS(InputResearch[R &amp; D Expenses],InputResearch[Institution Name],AlmanacTAMUS[[#This Row],[Institution Name]])+SUMIFS(InputResearch[R &amp; D Exp Not meeting narrow def],InputResearch[Institution Name],AlmanacTAMUS[[#This Row],[Institution Name]])</calculatedColumnFormula>
    </tableColumn>
    <tableColumn id="5" xr3:uid="{C490F68B-5C78-4D1E-9959-3014A7993443}" name="Research _x000a_Expenditures _x000a_Per FTE Faculty²" dataDxfId="318" totalsRowDxfId="317"/>
  </tableColumns>
  <tableStyleInfo name="General"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71B64B5-CCBA-44B0-83F2-0FA010D91AAD}" name="SummaryUNIV" displayName="SummaryUNIV" ref="A41:L78" totalsRowCount="1" headerRowDxfId="1046" dataDxfId="1045" totalsRowDxfId="1044">
  <tableColumns count="12">
    <tableColumn id="1" xr3:uid="{5D27EF34-AB48-49B6-B770-29F517CC9713}" name="Institution Name" dataDxfId="1043" totalsRowDxfId="1042"/>
    <tableColumn id="12" xr3:uid="{3291A5E8-574A-4502-884B-5D45F54BCF6F}" name="Sort" dataDxfId="1041" totalsRowDxfId="1040">
      <calculatedColumnFormula>VLOOKUP(SummaryUNIV[[#This Row],[Institution Name]],InputResearch[],3,FALSE)</calculatedColumnFormula>
    </tableColumn>
    <tableColumn id="2" xr3:uid="{B5D5F741-A276-4625-9549-78FA13516A6E}" name="FICE" dataDxfId="1039" totalsRowDxfId="1038" dataCellStyle="FICE"/>
    <tableColumn id="3" xr3:uid="{DB1088BB-8A6A-46EA-ACE6-0AD8EACDA128}" name="Research Exp. _x000a_Per SRECNA" totalsRowFunction="sum" dataDxfId="1037" totalsRowDxfId="1036" dataCellStyle="Comma">
      <calculatedColumnFormula>SUMIFS(InputResearch[SRECNP Res. Exp.],InputResearch[Institution Name],SummaryUNIV[[#This Row],[Institution Name]])</calculatedColumnFormula>
    </tableColumn>
    <tableColumn id="4" xr3:uid="{B9E43FEC-7A17-4117-B8D8-1C5DC3748752}" name="R &amp; D Not Meeting _x000a_the Definition" totalsRowFunction="sum" dataDxfId="1035" totalsRowDxfId="1034" dataCellStyle="Comma">
      <calculatedColumnFormula>SUMIFS(InputResearch[R &amp; D Exp Not meeting narrow def],InputResearch[Institution Name],SummaryUNIV[[#This Row],[Institution Name]])</calculatedColumnFormula>
    </tableColumn>
    <tableColumn id="5" xr3:uid="{F4030CBB-F065-4CC6-8A8A-4B3D992DEB3A}" name="Indirect Costs Associated w/ R &amp; D" totalsRowFunction="sum" dataDxfId="1033" totalsRowDxfId="1032" dataCellStyle="Comma">
      <calculatedColumnFormula>SUMIFS(InputResearch[IDC assoc w/Exp for R &amp; D],InputResearch[Institution Name],SummaryUNIV[[#This Row],[Institution Name]])</calculatedColumnFormula>
    </tableColumn>
    <tableColumn id="6" xr3:uid="{C030B9E9-9858-4D38-9B12-2294FD6EE2EF}" name="Capital Outlay for Research" totalsRowFunction="sum" dataDxfId="1031" totalsRowDxfId="1030" dataCellStyle="Comma">
      <calculatedColumnFormula>SUMIFS(InputResearch[Capital Outlay (Res Equip)],InputResearch[Institution Name],SummaryUNIV[[#This Row],[Institution Name]])</calculatedColumnFormula>
    </tableColumn>
    <tableColumn id="7" xr3:uid="{9C50E2B2-DBC6-4930-A71D-C139434247D4}" name="R &amp; D for 501(c)(3) or Institution's Foundation" totalsRowFunction="sum" dataDxfId="1029" totalsRowDxfId="1028" dataCellStyle="Comma">
      <calculatedColumnFormula>SUMIFS(InputResearch[R&amp;D Exp - Inst foundation/501(c)(3)],InputResearch[Institution Name],SummaryUNIV[[#This Row],[Institution Name]])</calculatedColumnFormula>
    </tableColumn>
    <tableColumn id="8" xr3:uid="{32EC18F2-F5A3-4159-8C32-C4C8E406A3CE}" name="Pass-Thru From _x000a_TX Eng. Exp. Station" totalsRowFunction="sum" dataDxfId="1027" totalsRowDxfId="1026" dataCellStyle="Comma">
      <calculatedColumnFormula>SUMIFS(InputResearch[Pass-Thru from other Texas A&amp;M members],InputResearch[Institution Name],SummaryUNIV[[#This Row],[Institution Name]])</calculatedColumnFormula>
    </tableColumn>
    <tableColumn id="9" xr3:uid="{5C818B32-DF78-41B4-8C95-230CE2CFA044}" name="Total Research Expenditures" totalsRowFunction="sum" dataDxfId="1025" totalsRowDxfId="1024" dataCellStyle="Comma">
      <calculatedColumnFormula>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calculatedColumnFormula>
    </tableColumn>
    <tableColumn id="10" xr3:uid="{2E085EC3-6C29-4140-ACE0-711372F641C5}" name="Pass-Thru as a Subrecipient" totalsRowFunction="sum" dataDxfId="1023" totalsRowDxfId="1022" dataCellStyle="Comma">
      <calculatedColumnFormula>SUMIFS(InputResearch[Total R &amp; D Exp as a Sub],InputResearch[Institution Name],SummaryUNIV[[#This Row],[Institution Name]])</calculatedColumnFormula>
    </tableColumn>
    <tableColumn id="11" xr3:uid="{879D0070-BCFE-4CC7-B11A-45FD930252AB}" name="Pass-Thru to a Subrecipient" totalsRowFunction="sum" dataDxfId="1021" totalsRowDxfId="1020" dataCellStyle="Comma">
      <calculatedColumnFormula>SUMIFS(InputResearch[Total R &amp; D Exp to a Sub],InputResearch[Institution Name],SummaryUNIV[[#This Row],[Institution Name]])</calculatedColumnFormula>
    </tableColumn>
  </tableColumns>
  <tableStyleInfo name="General"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D96A3CF-7E65-4F7A-8037-61D46ADB4F4C}" name="InputResearch" displayName="InputResearch" ref="A1:HR98" totalsRowShown="0" headerRowDxfId="316" dataDxfId="315" headerRowCellStyle="Normal">
  <autoFilter ref="A1:HR98" xr:uid="{7D96A3CF-7E65-4F7A-8037-61D46ADB4F4C}"/>
  <tableColumns count="226">
    <tableColumn id="3" xr3:uid="{BEE1D6AA-486E-49E5-8D37-D91765D6FDB6}" name="Institution Name" dataDxfId="314"/>
    <tableColumn id="2" xr3:uid="{F5A7D0A2-B272-4057-8EA2-17EBEC336B29}" name="Type" dataDxfId="313"/>
    <tableColumn id="220" xr3:uid="{79DC0737-CF4D-4548-8479-89AD2FBEEF7F}" name="Funding" dataDxfId="312"/>
    <tableColumn id="4" xr3:uid="{854AF704-8009-4C9C-8195-8AA4A583C0A1}" name="Status" dataDxfId="311"/>
    <tableColumn id="5" xr3:uid="{13677BCF-E8F6-451F-9E4C-40B5FF872764}" name="FICE" dataDxfId="310"/>
    <tableColumn id="6" xr3:uid="{F756A553-03F0-49CE-A93B-CDF51DE3D0CB}" name="R &amp; D Exp Not meeting narrow def" dataDxfId="309" dataCellStyle="Comma"/>
    <tableColumn id="7" xr3:uid="{E3D51AB5-2D5A-4D0A-B200-1ED168A2311E}" name="Other Res-related Eq Exp" dataDxfId="308" dataCellStyle="Comma"/>
    <tableColumn id="8" xr3:uid="{C86D7A4B-9260-46C8-B9BA-7ADD80848377}" name="R &amp; D Expenses" dataDxfId="307" dataCellStyle="Comma"/>
    <tableColumn id="9" xr3:uid="{773770BC-F3C4-4932-B4E0-6B23C802FCA5}" name="IDC assoc w/Exp for R &amp; D" dataDxfId="306" dataCellStyle="Comma"/>
    <tableColumn id="10" xr3:uid="{9C69898C-27F4-42CA-AA8B-3C3EAA225C06}" name="Capital Outlay (Res Equip)" dataDxfId="305" dataCellStyle="Comma"/>
    <tableColumn id="11" xr3:uid="{26ACF85C-2EAD-4BD9-91B9-264D7A520617}" name="R&amp;D Exp - Inst foundation/501(c)(3)" dataDxfId="304" dataCellStyle="Comma"/>
    <tableColumn id="12" xr3:uid="{41D39D36-E58D-41BC-B62F-48576CA0FF8F}" name="Pass-Thru from other Texas A&amp;M members" dataDxfId="303" dataCellStyle="Comma"/>
    <tableColumn id="13" xr3:uid="{A82089F1-5723-4063-A14D-0948E9475136}" name="Total R &amp; D Exp as a Sub" dataDxfId="302" dataCellStyle="Comma"/>
    <tableColumn id="14" xr3:uid="{E5D80379-C3DE-43C0-80FC-EA700FA0043E}" name="Total R &amp; D Exp to a Sub" dataDxfId="301" dataCellStyle="Comma"/>
    <tableColumn id="15" xr3:uid="{C0C25EA8-B78F-4CDE-8E61-DC26870340A3}" name="Agricultural Sci. Fed" dataDxfId="300" dataCellStyle="Comma"/>
    <tableColumn id="16" xr3:uid="{FEFDAA3E-2E41-4366-AD24-9C8CD0AFB576}" name="Agricultural Sci. St. Approp." dataDxfId="299" dataCellStyle="Comma"/>
    <tableColumn id="17" xr3:uid="{2A6BE157-9B1B-4739-9ED1-3712D8025AFD}" name="Agricultural Sci. St. C&amp;G" dataDxfId="298" dataCellStyle="Comma"/>
    <tableColumn id="18" xr3:uid="{77FEC2A6-375A-43D0-AFE6-7E3E8A56C059}" name="Agricultural Sci. Inst Res" dataDxfId="297" dataCellStyle="Comma"/>
    <tableColumn id="19" xr3:uid="{934ECBBC-F2B0-486B-AD2C-320E2D4584C7}" name="Agricultural Sci. PFP" dataDxfId="296" dataCellStyle="Comma"/>
    <tableColumn id="20" xr3:uid="{F1BC2487-0559-4672-ABA5-BE9F7579BA16}" name="Agricultural Sci. PNP" dataDxfId="295" dataCellStyle="Comma"/>
    <tableColumn id="21" xr3:uid="{1598AD49-E284-4BA7-97F3-F3283E86E3CA}" name="Biological &amp; Other Life Sci. Fed" dataDxfId="294" dataCellStyle="Comma"/>
    <tableColumn id="22" xr3:uid="{C1278882-4485-4967-B7E4-D855622F560C}" name="Biological &amp; Other Life Sci. St. Approp." dataDxfId="293" dataCellStyle="Comma"/>
    <tableColumn id="23" xr3:uid="{51EC8B5C-B172-4FC8-AF4A-9A37B3768BDA}" name="Biological &amp; Other Life Sci. St. C&amp;G" dataDxfId="292" dataCellStyle="Comma"/>
    <tableColumn id="24" xr3:uid="{70EE91A9-E920-4AAF-9076-DE102795B5FF}" name="Biological &amp; Other Life Sci. Inst Res" dataDxfId="291" dataCellStyle="Comma"/>
    <tableColumn id="25" xr3:uid="{4CFB96BF-FDFC-441B-B79F-536E57F3A6D3}" name="Biological &amp; Other Life Sci. PFP" dataDxfId="290" dataCellStyle="Comma"/>
    <tableColumn id="26" xr3:uid="{278494B9-1B66-4A29-B314-72CE5F7D5C6E}" name="Biological &amp; Other Life Sci. PNP" dataDxfId="289" dataCellStyle="Comma"/>
    <tableColumn id="27" xr3:uid="{DB9FC87B-85F6-4164-A704-CED1AB4FA83A}" name="Comp. Sci. Fed" dataDxfId="288" dataCellStyle="Comma"/>
    <tableColumn id="28" xr3:uid="{F9A0FEDE-8E1A-43D7-9CA0-542EEF4AA4CF}" name="Comp. Sci. St. Approp." dataDxfId="287" dataCellStyle="Comma"/>
    <tableColumn id="29" xr3:uid="{44741FED-8DD6-4EDA-880E-30F410483106}" name="Comp. Sci. St. C&amp;G" dataDxfId="286" dataCellStyle="Comma"/>
    <tableColumn id="30" xr3:uid="{FF740CC1-209D-4569-9861-6F9CD94EC363}" name="Comp. Sci. Inst Res" dataDxfId="285" dataCellStyle="Comma"/>
    <tableColumn id="31" xr3:uid="{23B38187-6C71-4A7C-95F0-C4FB5ED91469}" name="Comp. Sci. PFP" dataDxfId="284" dataCellStyle="Comma"/>
    <tableColumn id="32" xr3:uid="{A706156D-4A34-4A69-99C7-E790B8B32B1D}" name="Comp. Sci. PNP" dataDxfId="283" dataCellStyle="Comma"/>
    <tableColumn id="33" xr3:uid="{CB1228B4-5993-4017-B5A3-395189459A1F}" name="Engineering Fed" dataDxfId="282" dataCellStyle="Comma"/>
    <tableColumn id="34" xr3:uid="{47C32B50-D1DD-4DE0-8722-9B5272BA8781}" name="Engineering St. Approp." dataDxfId="281" dataCellStyle="Comma"/>
    <tableColumn id="35" xr3:uid="{D4992A73-C399-40BA-9524-FF5611D7E838}" name="Engineering St. C&amp;G" dataDxfId="280" dataCellStyle="Comma"/>
    <tableColumn id="36" xr3:uid="{707DF004-D4D1-4EDD-BBBB-061ECF1C3D17}" name="Engineering Inst Res" dataDxfId="279" dataCellStyle="Comma"/>
    <tableColumn id="37" xr3:uid="{1C69F4F4-3163-458C-B1C6-F1555DEAC733}" name="Engineering PFP" dataDxfId="278" dataCellStyle="Comma"/>
    <tableColumn id="38" xr3:uid="{D8D26AEA-E35E-4A18-B7DC-9DA716CDDAAA}" name="Engineering PNP" dataDxfId="277" dataCellStyle="Comma"/>
    <tableColumn id="39" xr3:uid="{4F3F6051-7D18-4850-A37B-B41B6FE929D2}" name="Env Sci. Fed" dataDxfId="276" dataCellStyle="Comma"/>
    <tableColumn id="40" xr3:uid="{40674F34-F286-4F66-84F1-F2AAE0B4501A}" name="Env Sci. St. Approp." dataDxfId="275" dataCellStyle="Comma"/>
    <tableColumn id="41" xr3:uid="{0FE3154B-6E46-4915-9460-459F0762ABE1}" name="Env Sci. St. C&amp;G" dataDxfId="274" dataCellStyle="Comma"/>
    <tableColumn id="42" xr3:uid="{AA6F1CA1-C7DE-4F16-AB2E-BE077A47BF2D}" name="Env Sci. Inst Res" dataDxfId="273" dataCellStyle="Comma"/>
    <tableColumn id="43" xr3:uid="{326B2A30-9DF8-462C-B4D0-B577B15ECB47}" name="Env Sci. PFP" dataDxfId="272" dataCellStyle="Comma"/>
    <tableColumn id="44" xr3:uid="{B33BF031-F97C-449D-9965-B2ACEE3A0C8B}" name="Env Sci. PNP" dataDxfId="271" dataCellStyle="Comma"/>
    <tableColumn id="45" xr3:uid="{7A03315F-9C44-47E3-81C6-DE9BAEFED483}" name="Math Fed" dataDxfId="270" dataCellStyle="Comma"/>
    <tableColumn id="46" xr3:uid="{D1EC5469-61DC-40FA-9B44-2913B9B1AD5C}" name="Math St. Approp." dataDxfId="269" dataCellStyle="Comma"/>
    <tableColumn id="47" xr3:uid="{86FFC750-BF4E-4B01-A628-3FE0378B616F}" name="Math St. C&amp;G" dataDxfId="268" dataCellStyle="Comma"/>
    <tableColumn id="48" xr3:uid="{6B19EE33-EC96-4919-ACE1-F8ABE480D082}" name="Math Inst Res" dataDxfId="267" dataCellStyle="Comma"/>
    <tableColumn id="49" xr3:uid="{030FAE72-89BA-4D53-9767-C57E3A9106A2}" name="Math PFP" dataDxfId="266" dataCellStyle="Comma"/>
    <tableColumn id="50" xr3:uid="{C5608CE1-128F-4F98-91C9-F49284D7ECDC}" name="Math PNP" dataDxfId="265" dataCellStyle="Comma"/>
    <tableColumn id="51" xr3:uid="{135E9EEC-2EC9-4CB5-A848-A507F16F7D6D}" name="Medical Fed" dataDxfId="264" dataCellStyle="Comma"/>
    <tableColumn id="52" xr3:uid="{F1B67968-A6F7-4588-B3F9-5A2160810B85}" name="Medical St. Approp." dataDxfId="263" dataCellStyle="Comma"/>
    <tableColumn id="53" xr3:uid="{AED558C5-0DA2-4A60-AF9F-C6097EAFCCE6}" name="Medical St. C&amp;G" dataDxfId="262" dataCellStyle="Comma"/>
    <tableColumn id="54" xr3:uid="{E20BD1A2-8B36-4ED7-A7AF-0A52888D9D1B}" name="Medical Inst Res" dataDxfId="261" dataCellStyle="Comma"/>
    <tableColumn id="55" xr3:uid="{207CAC00-7940-4987-9DFC-DF715117B234}" name="Medical PFP" dataDxfId="260" dataCellStyle="Comma"/>
    <tableColumn id="56" xr3:uid="{ECC63C8D-B32C-4189-9249-2F8B7778908C}" name="Medical PNP" dataDxfId="259" dataCellStyle="Comma"/>
    <tableColumn id="57" xr3:uid="{3E61EEF8-656C-4B37-8A09-58EC0F484F44}" name="Physical Sci. Fed" dataDxfId="258" dataCellStyle="Comma"/>
    <tableColumn id="58" xr3:uid="{92C1B1BB-C911-4AFB-A827-1F692DE84429}" name="Physical Sci. St. Approp." dataDxfId="257" dataCellStyle="Comma"/>
    <tableColumn id="59" xr3:uid="{9CFB813D-10D3-4AA4-9B9C-D8BFC181EAC4}" name="Physical Sci. St. C&amp;G" dataDxfId="256" dataCellStyle="Comma"/>
    <tableColumn id="60" xr3:uid="{485C9CA9-1B96-4EBC-B272-F437A697AD21}" name="Physical Sci. Inst Res" dataDxfId="255" dataCellStyle="Comma"/>
    <tableColumn id="61" xr3:uid="{6287EB1C-B32F-47C7-BCE7-47087DD90EBB}" name="Physical Sci. PFP" dataDxfId="254" dataCellStyle="Comma"/>
    <tableColumn id="62" xr3:uid="{25C98785-E235-43B2-92B2-9E2EF4DAAB39}" name="Physical Sci. PNP" dataDxfId="253" dataCellStyle="Comma"/>
    <tableColumn id="63" xr3:uid="{08D18AE2-72F3-466F-BD4A-39A5388B84D5}" name="Psychology Fed" dataDxfId="252" dataCellStyle="Comma"/>
    <tableColumn id="64" xr3:uid="{ECC7724F-B2C8-4777-9910-8AC30869D5BD}" name="Psychology St. Approp." dataDxfId="251" dataCellStyle="Comma"/>
    <tableColumn id="65" xr3:uid="{06761744-EAC4-4113-B2BA-659BE37CCCA1}" name="Psychology St. C&amp;G" dataDxfId="250" dataCellStyle="Comma"/>
    <tableColumn id="66" xr3:uid="{F594CD6C-371F-411D-8E8E-46F8C613E79A}" name="Psychology Inst Res" dataDxfId="249" dataCellStyle="Comma"/>
    <tableColumn id="67" xr3:uid="{1A452723-C2B6-40C5-BEBA-275754ED7003}" name="Psychology PFP" dataDxfId="248" dataCellStyle="Comma"/>
    <tableColumn id="68" xr3:uid="{1558006E-95FE-40A2-8E41-D47878BAD516}" name="Psychology PNP" dataDxfId="247" dataCellStyle="Comma"/>
    <tableColumn id="69" xr3:uid="{BE8B5B98-F0B5-4C78-9DE1-907C1D021056}" name="Social Sci. Fed" dataDxfId="246" dataCellStyle="Comma"/>
    <tableColumn id="70" xr3:uid="{03F2100F-3DC8-42A8-A97B-D9AFC2B41CCF}" name="Social Sci. St. Approp." dataDxfId="245" dataCellStyle="Comma"/>
    <tableColumn id="71" xr3:uid="{CB5E0BC6-B572-4D50-B084-2A8A64816E34}" name="Social Sci. St. C&amp;G" dataDxfId="244" dataCellStyle="Comma"/>
    <tableColumn id="72" xr3:uid="{D9BD3C44-5F83-4D44-9C16-CF82EEC2D73E}" name="Social Sci. Inst Res" dataDxfId="243" dataCellStyle="Comma"/>
    <tableColumn id="73" xr3:uid="{562B0D51-A578-4F79-A452-D85F15BE4B4B}" name="Social Sci. PFP" dataDxfId="242" dataCellStyle="Comma"/>
    <tableColumn id="74" xr3:uid="{777D163C-E36C-47CE-9DC4-E6A9607E7915}" name="Social Sci. PNP" dataDxfId="241" dataCellStyle="Comma"/>
    <tableColumn id="75" xr3:uid="{BEE899FE-B000-416C-8F86-116291A16A40}" name="Other Sci. Fed" dataDxfId="240" dataCellStyle="Comma"/>
    <tableColumn id="76" xr3:uid="{C5B0ABD1-B968-402C-A392-BF4A8D4F2A00}" name="Other Sci. St. Approp." dataDxfId="239" dataCellStyle="Comma"/>
    <tableColumn id="77" xr3:uid="{91DBA03B-6125-4A45-BCB9-472A8CF62BBB}" name="Other Sci. St. C&amp;G" dataDxfId="238" dataCellStyle="Comma"/>
    <tableColumn id="78" xr3:uid="{2B2EA102-01EC-4EF3-8D16-0BDFC5661E15}" name="Other Sci. Inst Res" dataDxfId="237" dataCellStyle="Comma"/>
    <tableColumn id="79" xr3:uid="{40F68F61-8B5F-4D91-853D-3B38F9D8DAA8}" name="Other Sci. PFP" dataDxfId="236" dataCellStyle="Comma"/>
    <tableColumn id="80" xr3:uid="{DA476A30-0E1A-4490-A5FF-1E16A4E107A2}" name="Other Sci. PNP" dataDxfId="235" dataCellStyle="Comma"/>
    <tableColumn id="81" xr3:uid="{FDDE9455-60D3-45CB-BD12-B5087AD7716D}" name="Arts &amp; Humanities Fed" dataDxfId="234" dataCellStyle="Comma"/>
    <tableColumn id="82" xr3:uid="{66096F62-9DAA-478C-A5BD-0651187A00E2}" name="Arts &amp; Humanities St. Approp." dataDxfId="233" dataCellStyle="Comma"/>
    <tableColumn id="83" xr3:uid="{4DB3B661-21A4-4873-92D3-78860FAF5E0A}" name="Arts &amp; Humanities St. C&amp;G" dataDxfId="232" dataCellStyle="Comma"/>
    <tableColumn id="84" xr3:uid="{5F05E89C-1364-4228-BC1D-13A39004B5B0}" name="Arts &amp; Humanities Inst Res" dataDxfId="231" dataCellStyle="Comma"/>
    <tableColumn id="85" xr3:uid="{DE674982-F758-4229-A45C-7E3EBE5A6A35}" name="Arts &amp; Humanities PFP" dataDxfId="230" dataCellStyle="Comma"/>
    <tableColumn id="86" xr3:uid="{37A33173-AE2D-45B2-8F0D-40EA3E03A43F}" name="Arts &amp; Humanities PNP" dataDxfId="229" dataCellStyle="Comma"/>
    <tableColumn id="87" xr3:uid="{1F0C98A8-B14F-48EE-93D9-10C429E7CAAC}" name="Business Fed" dataDxfId="228" dataCellStyle="Comma"/>
    <tableColumn id="88" xr3:uid="{8C5006EB-C528-4AF9-B95A-4C2080FD3D80}" name="Business St. Approp." dataDxfId="227" dataCellStyle="Comma"/>
    <tableColumn id="89" xr3:uid="{C80CE237-4108-4863-A62B-37D6B5C60ECD}" name="Business St. C&amp;G" dataDxfId="226" dataCellStyle="Comma"/>
    <tableColumn id="90" xr3:uid="{B028A0D5-C672-46B5-B9F8-6C0B62AFEF93}" name="Business Inst Res" dataDxfId="225" dataCellStyle="Comma"/>
    <tableColumn id="91" xr3:uid="{DF04327B-2C7F-4BB9-AEE8-E84B2401F3CD}" name="Business PFP" dataDxfId="224" dataCellStyle="Comma"/>
    <tableColumn id="92" xr3:uid="{E900C6A7-4E71-4BDA-8FD7-240C274133E5}" name="Business PNP" dataDxfId="223" dataCellStyle="Comma"/>
    <tableColumn id="93" xr3:uid="{5303EF2F-A366-4DC4-86EE-A70265716059}" name="Education Fed" dataDxfId="222" dataCellStyle="Comma"/>
    <tableColumn id="94" xr3:uid="{DF2DD607-2562-47BE-8B2C-6908639E8C7F}" name="Education St. Approp." dataDxfId="221" dataCellStyle="Comma"/>
    <tableColumn id="95" xr3:uid="{06543BC0-C542-41B1-BFBC-CA0CF2F2E367}" name="Education St. C&amp;G" dataDxfId="220" dataCellStyle="Comma"/>
    <tableColumn id="96" xr3:uid="{0346AD68-E712-498F-967F-47795E2D0BDB}" name="Education Inst Res" dataDxfId="219" dataCellStyle="Comma"/>
    <tableColumn id="97" xr3:uid="{91F18714-F7F1-4D35-9780-37521F012CDC}" name="Education PFP" dataDxfId="218" dataCellStyle="Comma"/>
    <tableColumn id="98" xr3:uid="{9317B5F6-A53D-4051-8A9B-070BC469767D}" name="Education PNP" dataDxfId="217" dataCellStyle="Comma"/>
    <tableColumn id="99" xr3:uid="{BB546494-CD6B-4A3B-A6CE-F6A77E808BB5}" name="Law Fed" dataDxfId="216" dataCellStyle="Comma"/>
    <tableColumn id="100" xr3:uid="{D6D5B2B7-3657-463E-959C-19C91B6D2DFD}" name="Law St. Approp." dataDxfId="215" dataCellStyle="Comma"/>
    <tableColumn id="101" xr3:uid="{E9AC6D82-45F8-47CB-BAE3-E414C7996743}" name="Law St. C&amp;G" dataDxfId="214" dataCellStyle="Comma"/>
    <tableColumn id="102" xr3:uid="{92E844C2-767A-4C8B-9910-7AF66E9BE726}" name="Law Inst Res" dataDxfId="213" dataCellStyle="Comma"/>
    <tableColumn id="103" xr3:uid="{A4ACB485-513D-4F85-8AFD-90006CE9CB2F}" name="Law PFP" dataDxfId="212" dataCellStyle="Comma"/>
    <tableColumn id="104" xr3:uid="{CA3342C3-7C09-45E2-B253-621B475A0E0C}" name="Law PNP" dataDxfId="211" dataCellStyle="Comma"/>
    <tableColumn id="105" xr3:uid="{F5136290-F8AE-4295-AAAA-F01A2EDD0188}" name="Federal" dataDxfId="210" dataCellStyle="Comma"/>
    <tableColumn id="106" xr3:uid="{0ABD32AE-ED8F-4129-8502-0C8332B72073}" name="State Appropriations" dataDxfId="209" dataCellStyle="Comma"/>
    <tableColumn id="107" xr3:uid="{8EE76B21-1C83-4B50-9A20-350CE2E500D7}" name="State Contracts/Grants" dataDxfId="208" dataCellStyle="Comma"/>
    <tableColumn id="108" xr3:uid="{7599538E-4205-425E-B745-FEA74244D06D}" name="Institution Resources" dataDxfId="207" dataCellStyle="Comma"/>
    <tableColumn id="109" xr3:uid="{00FD503E-AF11-4CA2-B4B8-79645FA22E26}" name="Private For-Profit" dataDxfId="206" dataCellStyle="Comma"/>
    <tableColumn id="110" xr3:uid="{6695DEE3-D421-4CEA-A431-4B68BE1AACA9}" name="Private Non-Profit" dataDxfId="205" dataCellStyle="Comma"/>
    <tableColumn id="111" xr3:uid="{EB89DED7-5C58-48BD-BF24-CE6A564B62C9}" name="Other Non-Sci. Fed" dataDxfId="204" dataCellStyle="Comma"/>
    <tableColumn id="112" xr3:uid="{753770D6-2FA9-4C42-98E6-945FB9BB11B3}" name="Other Non-Sci. St. Approp." dataDxfId="203" dataCellStyle="Comma"/>
    <tableColumn id="113" xr3:uid="{43A5C128-12D2-42E3-A502-D6AF57B8B349}" name="Other Non-Sci. St. C&amp;G" dataDxfId="202" dataCellStyle="Comma"/>
    <tableColumn id="114" xr3:uid="{BA76FDA9-50C7-4B28-AED6-1DDC200B9E2C}" name="Other Non-Sci. Inst Res" dataDxfId="201" dataCellStyle="Comma"/>
    <tableColumn id="115" xr3:uid="{84C78FA0-6D13-49FA-B173-F2B2291E5650}" name="Other Non-Sci. PFP" dataDxfId="200" dataCellStyle="Comma"/>
    <tableColumn id="116" xr3:uid="{47DCEAC1-0B27-4455-BE32-37B1BAF6C215}" name="Other Non-Sci. PNP" dataDxfId="199" dataCellStyle="Comma"/>
    <tableColumn id="117" xr3:uid="{1FDA2231-91C1-4DC3-918A-973F910B12D7}" name="Aerospace Fed" dataDxfId="198" dataCellStyle="Comma"/>
    <tableColumn id="118" xr3:uid="{BBEC8515-52BC-4868-90DD-C2DCE69610A3}" name="Aerospace St. Approp." dataDxfId="197" dataCellStyle="Comma"/>
    <tableColumn id="119" xr3:uid="{A285D8ED-64F1-4B50-BB40-211DBC4A5532}" name="Aerospace St. C&amp;G" dataDxfId="196" dataCellStyle="Comma"/>
    <tableColumn id="120" xr3:uid="{53F80361-4BF1-41F5-8652-093E74627E49}" name="Aerospace Inst Res" dataDxfId="195" dataCellStyle="Comma"/>
    <tableColumn id="121" xr3:uid="{D6BF09DF-9058-47C4-BCD5-677193358443}" name="Aerospace PFP" dataDxfId="194" dataCellStyle="Comma"/>
    <tableColumn id="122" xr3:uid="{55F50E6F-6E39-4DAA-8996-F9CF570B266F}" name="Aerospace PNP" dataDxfId="193" dataCellStyle="Comma"/>
    <tableColumn id="123" xr3:uid="{2409A780-AC6B-43F7-83FA-FD9E4FB547BC}" name="Aging Fed" dataDxfId="192" dataCellStyle="Comma"/>
    <tableColumn id="124" xr3:uid="{01634A64-DEC1-4D29-A9C5-8B7546511F90}" name="Aging St. Approp." dataDxfId="191" dataCellStyle="Comma"/>
    <tableColumn id="125" xr3:uid="{D10ACA76-171B-47C4-8DF4-3F058A125B4B}" name="Aging St. C&amp;G" dataDxfId="190" dataCellStyle="Comma"/>
    <tableColumn id="126" xr3:uid="{8E0F8E21-4FB7-434B-9961-DD2908591955}" name="Aging Inst Res" dataDxfId="189" dataCellStyle="Comma"/>
    <tableColumn id="127" xr3:uid="{E34E0ADD-C1BE-4B33-A12E-2CAE3C34B815}" name="Aging PFP" dataDxfId="188" dataCellStyle="Comma"/>
    <tableColumn id="128" xr3:uid="{C1EBEA43-ACCF-4713-B44A-783B78B88B4D}" name="Aging PNP" dataDxfId="187" dataCellStyle="Comma"/>
    <tableColumn id="129" xr3:uid="{05C3E5A7-B38C-4E8D-B935-CB73A19300AC}" name="BioTech Fed" dataDxfId="186" dataCellStyle="Comma"/>
    <tableColumn id="130" xr3:uid="{AAE71C92-ADA1-45B6-B616-0627E304FA02}" name="BioTech St. Approp." dataDxfId="185" dataCellStyle="Comma"/>
    <tableColumn id="131" xr3:uid="{E25297AA-1440-45AF-A7C5-D488B95120D8}" name="BioTech St. C&amp;G" dataDxfId="184" dataCellStyle="Comma"/>
    <tableColumn id="132" xr3:uid="{617C8EE5-23C2-4BA7-AE95-02B1CE09E451}" name="BioTech Inst Res" dataDxfId="183" dataCellStyle="Comma"/>
    <tableColumn id="133" xr3:uid="{F04FE799-E2E1-4E5D-BE12-0F8AD30E4921}" name="BioTech PFP" dataDxfId="182" dataCellStyle="Comma"/>
    <tableColumn id="134" xr3:uid="{0DC28E9D-FE7E-4AAB-B372-1911A1D9B15A}" name="BioTech PNP" dataDxfId="181" dataCellStyle="Comma"/>
    <tableColumn id="135" xr3:uid="{87119447-15D7-4443-9D28-E59D1DE51950}" name="Cancer Fed" dataDxfId="180" dataCellStyle="Comma"/>
    <tableColumn id="136" xr3:uid="{E412B3FB-D359-4C97-8557-CAF6EADEE80E}" name="Cancer St. Approp." dataDxfId="179" dataCellStyle="Comma"/>
    <tableColumn id="137" xr3:uid="{ADEB8B81-DA1A-4051-B841-4FFEDD5FEFC3}" name="Cancer St. C&amp;G" dataDxfId="178" dataCellStyle="Comma"/>
    <tableColumn id="138" xr3:uid="{29048622-1A89-4131-818C-D8DB04EE3E2D}" name="Cancer Inst Res" dataDxfId="177" dataCellStyle="Comma"/>
    <tableColumn id="139" xr3:uid="{CA030FDF-F5F4-4F52-AFEF-9BE1B3FFCB7F}" name="Cancer PFP" dataDxfId="176" dataCellStyle="Comma"/>
    <tableColumn id="140" xr3:uid="{723FAB18-E50D-47CC-8C46-255352E81830}" name="Cancer PNP" dataDxfId="175" dataCellStyle="Comma"/>
    <tableColumn id="141" xr3:uid="{B2706830-9012-41E3-BC13-A496A16B8019}" name="Cardiovascular Fed" dataDxfId="174" dataCellStyle="Comma"/>
    <tableColumn id="142" xr3:uid="{8B467D5E-3807-41A5-AE52-957391804DFB}" name="Cardiovascular St. Approp." dataDxfId="173" dataCellStyle="Comma"/>
    <tableColumn id="143" xr3:uid="{C7398E96-80E3-48F9-B2FD-C7CD831689E2}" name="Cardiovascular St. C&amp;G" dataDxfId="172" dataCellStyle="Comma"/>
    <tableColumn id="144" xr3:uid="{BE28ED6B-23EC-4D8B-B991-11CA151EC824}" name="Cardiovascular Inst Res" dataDxfId="171" dataCellStyle="Comma"/>
    <tableColumn id="145" xr3:uid="{40651C8C-DA1D-47DE-B189-428CC022568C}" name="Cardiovascular PFP" dataDxfId="170" dataCellStyle="Comma"/>
    <tableColumn id="146" xr3:uid="{287D56A0-3914-4CBB-A82D-A80F7C472EEB}" name="Cardiovascular PNP" dataDxfId="169" dataCellStyle="Comma"/>
    <tableColumn id="147" xr3:uid="{14C3B045-6109-44C0-A557-CEB6725DB960}" name="Energy Fed" dataDxfId="168" dataCellStyle="Comma"/>
    <tableColumn id="148" xr3:uid="{BC6B2A71-0EFB-4532-A8CE-520AC837436B}" name="Energy St. Approp." dataDxfId="167" dataCellStyle="Comma"/>
    <tableColumn id="149" xr3:uid="{2113517B-E789-4461-AE52-7E0F6489826B}" name="Energy St. C&amp;G" dataDxfId="166" dataCellStyle="Comma"/>
    <tableColumn id="150" xr3:uid="{98150FCB-1AE6-4215-AF62-449718A9E9EF}" name="Energy Inst Res" dataDxfId="165" dataCellStyle="Comma"/>
    <tableColumn id="151" xr3:uid="{619639F0-032D-4C4A-87C1-160CB9F131E7}" name="Energy PFP" dataDxfId="164" dataCellStyle="Comma"/>
    <tableColumn id="152" xr3:uid="{A363506F-F3C8-4358-AFFA-BBB96F3114AD}" name="Energy PNP" dataDxfId="163" dataCellStyle="Comma"/>
    <tableColumn id="153" xr3:uid="{021ABCDA-692C-4346-AF6E-A5F0BFBCB590}" name="CHHD Fed" dataDxfId="162" dataCellStyle="Comma"/>
    <tableColumn id="154" xr3:uid="{91C16B5A-8081-49E4-82C8-7455DB891627}" name="CHHD St. Approp." dataDxfId="161" dataCellStyle="Comma"/>
    <tableColumn id="155" xr3:uid="{842FAB31-167F-401B-9AAC-E36042F20EDD}" name="CHHD St. C&amp;G" dataDxfId="160" dataCellStyle="Comma"/>
    <tableColumn id="156" xr3:uid="{F3F91385-857B-4AAD-8BAD-6C20EDD5BA08}" name="CHHD Inst Res" dataDxfId="159" dataCellStyle="Comma"/>
    <tableColumn id="157" xr3:uid="{2A5449BF-BB95-4D19-A867-732B0E01A1F5}" name="CHHD PFP" dataDxfId="158" dataCellStyle="Comma"/>
    <tableColumn id="158" xr3:uid="{6E41896C-BE73-4420-8695-067D8DE0C300}" name="CHHD PNP" dataDxfId="157" dataCellStyle="Comma"/>
    <tableColumn id="159" xr3:uid="{95840DFF-957B-4976-95C8-D371CB0AFD0E}" name="Manufacturing Tech Fed" dataDxfId="156" dataCellStyle="Comma"/>
    <tableColumn id="160" xr3:uid="{2AF88A39-7A8B-4616-950C-90BC185F9ACC}" name="Manufacturing Tech St. Approp." dataDxfId="155" dataCellStyle="Comma"/>
    <tableColumn id="161" xr3:uid="{A3538C08-DFF2-44D3-8F2F-F2ED7B975EB5}" name="Manufacturing Tech St. C&amp;G" dataDxfId="154" dataCellStyle="Comma"/>
    <tableColumn id="162" xr3:uid="{A99E816B-9D03-4C23-8A1D-C04693A754E5}" name="Manufacturing Tech Inst Res" dataDxfId="153" dataCellStyle="Comma"/>
    <tableColumn id="163" xr3:uid="{5F8BC08B-B5EF-47F3-B9D0-9DB9C2680482}" name="Manufacturing Tech PFP" dataDxfId="152" dataCellStyle="Comma"/>
    <tableColumn id="164" xr3:uid="{F54573FD-A101-48A9-842D-8D0BED1AC2AE}" name="Manufacturing Tech PNP" dataDxfId="151" dataCellStyle="Comma"/>
    <tableColumn id="165" xr3:uid="{BF9AEE0F-1306-4940-B11D-2BEC3A20EC19}" name="Mental Hlth Fed" dataDxfId="150" dataCellStyle="Comma"/>
    <tableColumn id="166" xr3:uid="{75665802-A1C0-401D-A869-F7BE29C40A13}" name="Mental Hlth St. Approp." dataDxfId="149" dataCellStyle="Comma"/>
    <tableColumn id="167" xr3:uid="{C5D2F3E0-0D82-48D9-8E49-9AF2A1125F04}" name="Mental Hlth St. C&amp;G" dataDxfId="148" dataCellStyle="Comma"/>
    <tableColumn id="168" xr3:uid="{24909E49-DBA9-43D2-A320-4AD10C5C5D0D}" name="Mental Hlth Inst Res" dataDxfId="147" dataCellStyle="Comma"/>
    <tableColumn id="169" xr3:uid="{AD4B6418-F05D-49A0-AC9C-495D3DB8F038}" name="Mental Hlth PFP" dataDxfId="146" dataCellStyle="Comma"/>
    <tableColumn id="170" xr3:uid="{4434DE07-BBD5-40CA-8FC7-267F4EF3E3BA}" name="Mental Hlth PNP" dataDxfId="145" dataCellStyle="Comma"/>
    <tableColumn id="171" xr3:uid="{91C4BD76-D7C0-4F25-8046-D0B1C7067CF0}" name="Materials Sci. Fed" dataDxfId="144" dataCellStyle="Comma"/>
    <tableColumn id="172" xr3:uid="{A3D1CF6C-8A42-411D-9DCA-EB8DC30A0DAB}" name="Materials Sci. St. Approp." dataDxfId="143" dataCellStyle="Comma"/>
    <tableColumn id="173" xr3:uid="{3F4A147C-564D-4D42-99C8-B20CBC282DF8}" name="Materials Sci. St. C&amp;G" dataDxfId="142" dataCellStyle="Comma"/>
    <tableColumn id="174" xr3:uid="{04478AB0-D67D-4F62-B895-0652452D8E2A}" name="Materials Sci. Inst Res" dataDxfId="141" dataCellStyle="Comma"/>
    <tableColumn id="175" xr3:uid="{A37D9998-10D5-439A-9C35-7A3E3F627EA6}" name="Materials Sci. PFP" dataDxfId="140" dataCellStyle="Comma"/>
    <tableColumn id="176" xr3:uid="{5FADECED-933C-424C-9CA8-AA1EE53257FC}" name="Materials Sci. PNP" dataDxfId="139" dataCellStyle="Comma"/>
    <tableColumn id="177" xr3:uid="{C987A4CD-B7D1-44CB-B9F3-59DBDA17148C}" name="Micro &amp; Comp. Tech Fed" dataDxfId="138" dataCellStyle="Comma"/>
    <tableColumn id="178" xr3:uid="{55E1913D-5EE7-4BE7-A40B-AFA944E341C7}" name="Micro &amp; Comp. Tech St. Approp." dataDxfId="137" dataCellStyle="Comma"/>
    <tableColumn id="179" xr3:uid="{F0DA99D7-5185-46CD-917C-6E0DD9B6BC55}" name="Micro &amp; Comp. Tech St. C&amp;G" dataDxfId="136" dataCellStyle="Comma"/>
    <tableColumn id="180" xr3:uid="{1015CEF9-1F25-4640-B17A-12421A1DC474}" name="Micro &amp; Comp. Tech Inst Res" dataDxfId="135" dataCellStyle="Comma"/>
    <tableColumn id="181" xr3:uid="{1EFD4ABB-18B8-4447-8641-721ADFE01BE2}" name="Micro &amp; Comp. Tech PFP" dataDxfId="134" dataCellStyle="Comma"/>
    <tableColumn id="182" xr3:uid="{2968A381-66BD-497C-9AC3-46D5ADCB817F}" name="Micro &amp; Comp. Tech PNP" dataDxfId="133" dataCellStyle="Comma"/>
    <tableColumn id="183" xr3:uid="{87817013-0A09-4A53-A732-3F03B1C40D7E}" name="Water Resources Fed" dataDxfId="132" dataCellStyle="Comma"/>
    <tableColumn id="184" xr3:uid="{68FB0A66-ACFA-40BD-B51D-2090587F9059}" name="Water Resources St. Approp." dataDxfId="131" dataCellStyle="Comma"/>
    <tableColumn id="185" xr3:uid="{4BC65A8D-91FD-47C9-9684-7372CF045EC6}" name="Water Resources St. C&amp;G" dataDxfId="130" dataCellStyle="Comma"/>
    <tableColumn id="186" xr3:uid="{626428A6-A85D-43CC-9B26-31C7ACCD3FE1}" name="Water Resources Inst Res" dataDxfId="129" dataCellStyle="Comma"/>
    <tableColumn id="187" xr3:uid="{8580F63C-CE0B-4D69-8A9E-624676E6D1BF}" name="Water Resources PFP" dataDxfId="128" dataCellStyle="Comma"/>
    <tableColumn id="188" xr3:uid="{867AFAC0-C25A-4CF9-A056-BF077193E5FB}" name="Water Resources PNP" dataDxfId="127" dataCellStyle="Comma"/>
    <tableColumn id="189" xr3:uid="{74DEC904-6455-41B7-8D45-E0604DFE8CF1}" name="Stem Cell - Adult Fed" dataDxfId="126" dataCellStyle="Comma"/>
    <tableColumn id="190" xr3:uid="{EBA713AC-BFD6-4E79-9B7B-62BCAF66D803}" name="Stem Cell - Adult St. Approp." dataDxfId="125" dataCellStyle="Comma"/>
    <tableColumn id="191" xr3:uid="{C753A7C8-1A6D-4367-9A60-AD03D0E43381}" name="Stem Cell - Adult St. C&amp;G" dataDxfId="124" dataCellStyle="Comma"/>
    <tableColumn id="192" xr3:uid="{4D345747-06B8-4C35-88EF-0D3632D8C7BE}" name="Stem Cell - Adult Inst Res" dataDxfId="123" dataCellStyle="Comma"/>
    <tableColumn id="193" xr3:uid="{87FA0743-E1B2-418E-89FC-0A365A71A586}" name="Stem Cell - Adult PFP" dataDxfId="122" dataCellStyle="Comma"/>
    <tableColumn id="194" xr3:uid="{61D6B652-0413-42D0-94B4-2DFE1ECD5834}" name="Stem Cell - Adult PNP" dataDxfId="121" dataCellStyle="Comma"/>
    <tableColumn id="195" xr3:uid="{465054ED-6A7A-427B-BEE0-7D56DB42BAD1}" name="Stem Cell - Embryonic Fed" dataDxfId="120" dataCellStyle="Comma"/>
    <tableColumn id="196" xr3:uid="{0CF4EBD4-0C09-4A11-992E-3997AEC6805E}" name="Stem Cell - Embryonic St. Approp." dataDxfId="119" dataCellStyle="Comma"/>
    <tableColumn id="197" xr3:uid="{B06B258F-3130-4437-B784-245146A90FEA}" name="Stem Cell - Embryonic St. C&amp;G" dataDxfId="118" dataCellStyle="Comma"/>
    <tableColumn id="198" xr3:uid="{BA0563A5-962C-48BE-9295-BD1FA8AD931A}" name="Stem Cell - Embryonic Inst Res" dataDxfId="117" dataCellStyle="Comma"/>
    <tableColumn id="199" xr3:uid="{D31C4D48-E053-4D24-8DD6-32BC70C82BD9}" name="Stem Cell - Embryonic PFP" dataDxfId="116" dataCellStyle="Comma"/>
    <tableColumn id="200" xr3:uid="{ADD9D80A-5162-4166-8C5A-8A9D212088B7}" name="Stem Cell - Embryonic PNP" dataDxfId="115" dataCellStyle="Comma"/>
    <tableColumn id="201" xr3:uid="{423210CB-D8BE-41C8-979A-A57ADA7C78FA}" name="State Approp." dataDxfId="114" dataCellStyle="Comma"/>
    <tableColumn id="202" xr3:uid="{867EA6AE-699C-4ABC-8C0B-4B44667D15D3}" name="Res. Exp." dataDxfId="113" dataCellStyle="Comma"/>
    <tableColumn id="203" xr3:uid="{79483CB6-87B1-4BCB-8568-EB322DD5EA7E}" name="E&amp;G Exp." dataDxfId="112" dataCellStyle="Comma"/>
    <tableColumn id="204" xr3:uid="{2B78A21A-4622-45A4-8243-DF25E2CC8B56}" name="Name" dataDxfId="111" dataCellStyle="Comma"/>
    <tableColumn id="205" xr3:uid="{450441CE-2C9E-4714-A644-354BF18BC0DA}" name="Phone No." dataDxfId="110" dataCellStyle="Comma"/>
    <tableColumn id="206" xr3:uid="{7607BCEB-F90D-4823-8C10-6D4D402EADF1}" name="Email" dataDxfId="109" dataCellStyle="Comma"/>
    <tableColumn id="207" xr3:uid="{16BCD845-9321-4A80-AF5D-A5E590B480DF}" name="SRECNP Res. Exp." dataDxfId="108"/>
    <tableColumn id="208" xr3:uid="{915B9350-5E72-469D-9E16-3ADCD82E6A32}" name="Res. Not From Rest. Res. Fnd Group" dataDxfId="107"/>
    <tableColumn id="209" xr3:uid="{EE0BBC21-1343-4776-9140-26309F6F999D}" name="Cap Outlay" dataDxfId="106"/>
    <tableColumn id="210" xr3:uid="{576750E7-3590-4FB8-A93A-08CEFDAA7F01}" name="Exp. Not SAM" dataDxfId="105"/>
    <tableColumn id="211" xr3:uid="{F70B926D-0A56-47A9-81E5-A71E0ABDED5F}" name="Hackerman" dataDxfId="104"/>
    <tableColumn id="212" xr3:uid="{049DEAC1-9F58-4BB3-986D-8D4A95B89BE4}" name="Federal PT" dataDxfId="103"/>
    <tableColumn id="213" xr3:uid="{B7CA10DB-DD41-4443-AABB-595A74098084}" name="State PT" dataDxfId="102"/>
    <tableColumn id="214" xr3:uid="{4C4FBE5A-EE75-4B6E-B006-641AA724C34D}" name="Adj1" dataDxfId="101"/>
    <tableColumn id="215" xr3:uid="{652914EC-F961-41A1-9A6A-064B57703FDF}" name="Adj2" dataDxfId="100"/>
    <tableColumn id="216" xr3:uid="{37B4A705-2616-4298-8323-02CF87D1A1F7}" name="Adj3" dataDxfId="99"/>
    <tableColumn id="217" xr3:uid="{8534FC45-C83D-4491-85D8-2F8DB9862578}" name="Explain1" dataDxfId="98"/>
    <tableColumn id="218" xr3:uid="{A969DD88-6B95-4D96-8542-91CE07234036}" name="Explain2" dataDxfId="97"/>
    <tableColumn id="219" xr3:uid="{17403C75-8F5A-422F-AB7A-3DFEB17A522F}" name="Explain3" dataDxfId="96"/>
    <tableColumn id="1" xr3:uid="{8D0402ED-324D-49F8-9131-4558EC254E45}" name="Total Fed" dataDxfId="95">
      <calculatedColumnFormula>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calculatedColumnFormula>
    </tableColumn>
    <tableColumn id="221" xr3:uid="{E9E57588-19D8-416A-A0B0-C12C99C8C09C}" name="Total St. Approp." dataDxfId="94">
      <calculatedColumnFormula>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calculatedColumnFormula>
    </tableColumn>
    <tableColumn id="222" xr3:uid="{6A289E04-C22A-4B67-BA67-AD459C3B73A8}" name="Total St. C&amp;G" dataDxfId="93">
      <calculatedColumnFormula>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calculatedColumnFormula>
    </tableColumn>
    <tableColumn id="223" xr3:uid="{BC515A46-7585-462E-8CD0-D3BEBF5464DD}" name="Total Inst Res" dataDxfId="92">
      <calculatedColumnFormula>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calculatedColumnFormula>
    </tableColumn>
    <tableColumn id="224" xr3:uid="{85C1BD20-3B5C-429F-BCEF-D8D0EB5B2AA7}" name="Total PFP" dataDxfId="91">
      <calculatedColumnFormula>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calculatedColumnFormula>
    </tableColumn>
    <tableColumn id="225" xr3:uid="{8546C7BD-7C75-4226-A5C0-866A36616538}" name="Total PNP" dataDxfId="90">
      <calculatedColumnFormula>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calculatedColumnFormula>
    </tableColumn>
    <tableColumn id="226" xr3:uid="{3309ABD9-9650-4BF1-B03D-F311510F1D94}" name="RR" dataDxfId="89"/>
  </tableColumns>
  <tableStyleInfo name="TableStyleLight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2D29598D-CBEB-45A7-8669-E8B82C72DCC2}" name="FTSEUNIV" displayName="FTSEUNIV" ref="A101:K138" totalsRowCount="1" headerRowDxfId="88" dataDxfId="87" totalsRowDxfId="86" totalsRowCellStyle="Total">
  <sortState xmlns:xlrd2="http://schemas.microsoft.com/office/spreadsheetml/2017/richdata2" ref="A102:I137">
    <sortCondition ref="C101:C137"/>
  </sortState>
  <tableColumns count="11">
    <tableColumn id="1" xr3:uid="{CC75EB4B-E371-489B-8532-3F8BD66B19F9}" name="Academic Institutions" dataDxfId="85" totalsRowDxfId="84"/>
    <tableColumn id="4" xr3:uid="{50311917-92B9-4C75-B60D-3E3B167F5764}" name="Order" dataDxfId="83" totalsRowDxfId="82"/>
    <tableColumn id="2" xr3:uid="{3B73323E-B360-48FA-B9C7-D562BC64331A}" name="FICE" dataDxfId="81" totalsRowDxfId="80" dataCellStyle="FICE"/>
    <tableColumn id="7" xr3:uid="{03675413-85CD-4F2A-81A3-312F57E267A2}" name="Undergraduate" totalsRowFunction="sum" dataDxfId="79" totalsRowDxfId="78"/>
    <tableColumn id="8" xr3:uid="{28EA16F3-4367-426E-A66A-67952863B0EF}" name="Master's" totalsRowFunction="sum" dataDxfId="77" totalsRowDxfId="76"/>
    <tableColumn id="9" xr3:uid="{4FF3000B-63F4-4439-8F75-ACB5415E87E3}" name="Doctoral" totalsRowFunction="sum" dataDxfId="75" totalsRowDxfId="74"/>
    <tableColumn id="10" xr3:uid="{0BBF7977-54D3-4CCC-B902-6291B41DFADC}" name="Professional &amp; Special-Prof" totalsRowFunction="sum" dataDxfId="73" totalsRowDxfId="72"/>
    <tableColumn id="11" xr3:uid="{0E1FF611-F217-4589-8AEE-2AB0BE540179}" name="Optometry" totalsRowFunction="sum" dataDxfId="71" totalsRowDxfId="70"/>
    <tableColumn id="13" xr3:uid="{C5D86D20-1A09-4F73-A04F-433323D7A2A3}" name="Full-Time Student_x000a_Equivalents¹" totalsRowFunction="sum" dataDxfId="69" totalsRowDxfId="68">
      <calculatedColumnFormula>ROUND(SUM(FTSEUNIV[[#This Row],[Undergraduate]]/30,FTSEUNIV[[#This Row],[Master''s]]/24,FTSEUNIV[[#This Row],[Doctoral]]/18,FTSEUNIV[[#This Row],[Professional &amp; Special-Prof]]/24,FTSEUNIV[[#This Row],[Optometry]]/34),2)</calculatedColumnFormula>
    </tableColumn>
    <tableColumn id="3" xr3:uid="{2686F117-D10E-4F70-98BC-A0A3076BD706}" name="State Funded _x000a_FTSE²" totalsRowFunction="sum" dataDxfId="67" totalsRowDxfId="66"/>
    <tableColumn id="5" xr3:uid="{AEA29EF8-AF45-4BBF-AB34-50DF3F041A3B}" name="T/TT Fall_x000a_Faculty FTE³" totalsRowFunction="sum" dataDxfId="65" totalsRowDxfId="64"/>
  </tableColumns>
  <tableStyleInfo name="General"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2053D74-FF87-427E-AEAC-B593C1C37666}" name="FTSEHRI" displayName="FTSEHRI" ref="A5:K74" totalsRowCount="1" headerRowDxfId="63" dataDxfId="62" totalsRowDxfId="61" totalsRowCellStyle="Total">
  <tableColumns count="11">
    <tableColumn id="1" xr3:uid="{E99CD6EF-A153-47A2-9D30-13600807F863}" name="Academic Institutions" dataDxfId="60" totalsRowDxfId="59"/>
    <tableColumn id="2" xr3:uid="{ABB11CC7-0A94-44C8-ADEB-AF0F3E6EADE4}" name="Order" dataDxfId="58" totalsRowDxfId="57" dataCellStyle="Accent1"/>
    <tableColumn id="13" xr3:uid="{4BEEC28A-2242-4091-9BBA-68326D151DA8}" name="FICE" dataDxfId="56" totalsRowDxfId="55" dataCellStyle="FICE"/>
    <tableColumn id="5" xr3:uid="{DBF6DC10-21B2-482F-A1A9-23A805AA1942}" name="Undergraduate" totalsRowFunction="sum" dataDxfId="54" totalsRowDxfId="53"/>
    <tableColumn id="6" xr3:uid="{779604EF-AEAF-4A13-B1FE-D009C1B3F99F}" name="Master's¹" totalsRowFunction="sum" dataDxfId="52" totalsRowDxfId="51"/>
    <tableColumn id="7" xr3:uid="{EC12C209-D010-4137-9DAB-47EDB45C7A19}" name="Doctoral" totalsRowFunction="sum" dataDxfId="50" totalsRowDxfId="49"/>
    <tableColumn id="8" xr3:uid="{DB07C850-0D52-404A-988B-C8B269F2125B}" name="Total" totalsRowFunction="sum" dataDxfId="48" totalsRowDxfId="47"/>
    <tableColumn id="9" xr3:uid="{FDA95FB2-5CA9-4C64-AE4E-79D62A8DDB6E}" name="Prof &amp; Special-Prof Headcount" totalsRowFunction="sum" dataDxfId="46" totalsRowDxfId="45"/>
    <tableColumn id="11" xr3:uid="{F5F0287E-B0EF-4E35-B361-B94BCC4BCB5A}" name="Full-Time Student_x000a_Equivalents²" totalsRowFunction="sum" dataDxfId="44" totalsRowDxfId="43">
      <calculatedColumnFormula>ROUND(SUM(FTSEHRI[[#This Row],[Prof &amp; Special-Prof Headcount]],FTSEHRI[[#This Row],[Undergraduate]]/30,FTSEHRI[[#This Row],[Master''s¹]]/24,FTSEHRI[[#This Row],[Doctoral]]/18,),2)</calculatedColumnFormula>
    </tableColumn>
    <tableColumn id="3" xr3:uid="{10DC2433-F85B-4EFF-BBB4-CA3D4256DCF7}" name="State Funded _x000a_FTSE³" totalsRowFunction="sum" dataDxfId="42" totalsRowDxfId="41"/>
    <tableColumn id="4" xr3:uid="{1E2668C8-B0AA-4F30-AB80-546A52FA2E37}" name="T/TT Fall_x000a_Faculty FTE⁴" dataDxfId="40" totalsRowDxfId="39"/>
  </tableColumns>
  <tableStyleInfo name="General"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1FC97EB2-FCCD-4985-906F-5070AFD4658E}" name="FTSETSTC" displayName="FTSETSTC" ref="A83:J93" totalsRowCount="1" headerRowDxfId="38" dataDxfId="37" totalsRowDxfId="36" totalsRowCellStyle="Total">
  <tableColumns count="10">
    <tableColumn id="1" xr3:uid="{EEE940FA-D5DD-471E-B3C0-FAF1BBAE302E}" name="Academic Institutions" dataDxfId="35" totalsRowDxfId="34"/>
    <tableColumn id="2" xr3:uid="{9C4C0C94-7394-4AF5-86D9-83340A4D45A9}" name="Order" dataDxfId="33" totalsRowDxfId="32"/>
    <tableColumn id="13" xr3:uid="{F1B7A6F8-150D-422A-8FF9-62FC5FD0B8F8}" name="FICE" dataDxfId="31" totalsRowDxfId="30" dataCellStyle="FICE"/>
    <tableColumn id="3" xr3:uid="{6649CEB0-9B31-4F08-97CA-8B77D4208846}" name="Academic_x000a_ SCH" totalsRowFunction="sum" dataDxfId="29" totalsRowDxfId="28"/>
    <tableColumn id="4" xr3:uid="{7A032281-BAAE-4FC6-99DC-171DA8C3F86C}" name="Technical_x000a_ SCH" totalsRowFunction="sum" dataDxfId="27" totalsRowDxfId="26"/>
    <tableColumn id="5" xr3:uid="{A85DBC98-2B18-494F-97CC-CC03E1D452B6}" name="BAT SCH" totalsRowFunction="sum" dataDxfId="25" totalsRowDxfId="24"/>
    <tableColumn id="6" xr3:uid="{374D84C4-8123-49F0-BC81-F5C054C5F2D1}" name="Continuing Ed. SCH" totalsRowFunction="sum" dataDxfId="23" totalsRowDxfId="22"/>
    <tableColumn id="11" xr3:uid="{84BA0628-C189-47A9-A26B-C8EB0F97E75A}" name="Full-Time Student_x000a_Equivalents1" totalsRowFunction="sum" dataDxfId="21" totalsRowDxfId="20">
      <calculatedColumnFormula>ROUND(SUM(FTSETSTC[[#This Row],[Academic
 SCH]],FTSETSTC[[#This Row],[Technical
 SCH]],FTSETSTC[[#This Row],[BAT SCH]])/30,2)+ROUND(FTSETSTC[[#This Row],[Continuing Ed. SCH]]/900,2)</calculatedColumnFormula>
    </tableColumn>
    <tableColumn id="7" xr3:uid="{D29EA282-127E-4475-8B3F-195FCA254543}" name="State Funded _x000a_FTSE²" totalsRowFunction="sum" dataDxfId="19" totalsRowDxfId="18"/>
    <tableColumn id="8" xr3:uid="{4697239F-CF07-4F69-9759-21086425F303}" name="Fall _x000a_Faculty FTE" totalsRowFunction="sum" dataDxfId="17" totalsRowDxfId="16"/>
  </tableColumns>
  <tableStyleInfo name="General"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C1E01C0A-53B4-4692-9F5F-02F8A66F9A98}" name="ContactInfo" displayName="ContactInfo" ref="A1:D77" totalsRowShown="0" headerRowDxfId="15" dataDxfId="14">
  <autoFilter ref="A1:D77" xr:uid="{641AFAAE-797F-498C-8E94-44A1B9C1FD60}">
    <filterColumn colId="0" hiddenButton="1"/>
    <filterColumn colId="1" hiddenButton="1"/>
    <filterColumn colId="2" hiddenButton="1"/>
    <filterColumn colId="3" hiddenButton="1"/>
  </autoFilter>
  <sortState xmlns:xlrd2="http://schemas.microsoft.com/office/spreadsheetml/2017/richdata2" ref="A2:D77">
    <sortCondition ref="A1:A77"/>
  </sortState>
  <tableColumns count="4">
    <tableColumn id="1" xr3:uid="{9D41A775-E23E-4D48-9AF4-E140E01839A2}" name="Institution Name" dataDxfId="13"/>
    <tableColumn id="2" xr3:uid="{ECA0E7E8-76B7-47AE-82B3-342A821EB3F4}" name="Name" dataDxfId="12"/>
    <tableColumn id="3" xr3:uid="{47A3B8E8-0ACC-4E90-AB24-7C6DF5CFAC8D}" name="Phone Number" dataDxfId="11"/>
    <tableColumn id="4" xr3:uid="{C43C4F7A-0653-4070-8A39-351CFFD55C5B}" name="Email Address" dataDxfId="1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B049C72-F243-46DF-88B0-D4D99B94BB0A}" name="SummaryPVT" displayName="SummaryPVT" ref="A110:L128" totalsRowCount="1" headerRowDxfId="1019" dataDxfId="1018" totalsRowDxfId="1017">
  <autoFilter ref="A110:L127" xr:uid="{DB049C72-F243-46DF-88B0-D4D99B94BB0A}"/>
  <tableColumns count="12">
    <tableColumn id="1" xr3:uid="{37010CAE-16CC-4413-AE07-154E14BED12D}" name="Institution Name" dataDxfId="1016" totalsRowDxfId="1015"/>
    <tableColumn id="12" xr3:uid="{A9A3F8B0-59A0-4E08-92DF-CFB56E6C97FC}" name="Sort" dataDxfId="1014" totalsRowDxfId="1013"/>
    <tableColumn id="2" xr3:uid="{15283CE3-17CD-46A7-9553-3575628A1D72}" name="FICE" dataDxfId="1012" totalsRowDxfId="1011" dataCellStyle="FICE"/>
    <tableColumn id="3" xr3:uid="{8CDFEB05-4FDB-427C-8B1D-A273F07A33C2}" name="Research Exp. _x000a_Per SRECNA" totalsRowFunction="sum" dataDxfId="1010" totalsRowDxfId="1009" dataCellStyle="Comma">
      <calculatedColumnFormula>SUMIFS(InputResearch[SRECNP Res. Exp.],InputResearch[Institution Name],SummaryPVT[[#This Row],[Institution Name]])</calculatedColumnFormula>
    </tableColumn>
    <tableColumn id="4" xr3:uid="{8FEBAF8B-E331-4414-8D17-F5B132E570FE}" name="R &amp; D Not Meeting _x000a_the Definition" totalsRowFunction="sum" dataDxfId="1008" totalsRowDxfId="1007" dataCellStyle="Comma">
      <calculatedColumnFormula>SUMIFS(InputResearch[R &amp; D Exp Not meeting narrow def],InputResearch[Institution Name],SummaryPVT[[#This Row],[Institution Name]])</calculatedColumnFormula>
    </tableColumn>
    <tableColumn id="5" xr3:uid="{9264A00C-03AE-4D68-8E24-E0A074427633}" name="Indirect Costs Associated w/ R &amp; D" totalsRowFunction="sum" dataDxfId="1006" totalsRowDxfId="1005" dataCellStyle="Comma">
      <calculatedColumnFormula>SUMIFS(InputResearch[IDC assoc w/Exp for R &amp; D],InputResearch[Institution Name],SummaryPVT[[#This Row],[Institution Name]])</calculatedColumnFormula>
    </tableColumn>
    <tableColumn id="6" xr3:uid="{1ED1BE4D-F2AC-47DA-9F7A-6C7CA238D763}" name="Capital Outlay for Research" totalsRowFunction="sum" dataDxfId="1004" totalsRowDxfId="1003" dataCellStyle="Comma">
      <calculatedColumnFormula>SUMIFS(InputResearch[Capital Outlay (Res Equip)],InputResearch[Institution Name],SummaryPVT[[#This Row],[Institution Name]])</calculatedColumnFormula>
    </tableColumn>
    <tableColumn id="7" xr3:uid="{33C2A3AB-D234-4DC0-AA4E-FDCAC5CCFFFE}" name="R &amp; D for 501(c)(3) or Institution's Foundation" totalsRowFunction="sum" dataDxfId="1002" totalsRowDxfId="1001" dataCellStyle="Comma">
      <calculatedColumnFormula>SUMIFS(InputResearch[R&amp;D Exp - Inst foundation/501(c)(3)],InputResearch[Institution Name],SummaryPVT[[#This Row],[Institution Name]])</calculatedColumnFormula>
    </tableColumn>
    <tableColumn id="8" xr3:uid="{40D22F97-02E1-4A10-A1A4-13C80620E9E0}" name="Pass-Thru From _x000a_TX Eng. Exp. Station" totalsRowFunction="sum" dataDxfId="1000" totalsRowDxfId="999" dataCellStyle="Comma">
      <calculatedColumnFormula>SUMIFS(InputResearch[Pass-Thru from other Texas A&amp;M members],InputResearch[Institution Name],SummaryPVT[[#This Row],[Institution Name]])</calculatedColumnFormula>
    </tableColumn>
    <tableColumn id="9" xr3:uid="{F10F2857-6687-42DD-A2EF-ECD94607721E}" name="Total Research Expenditures" totalsRowFunction="sum" dataDxfId="998" totalsRowDxfId="997" dataCellStyle="Comma">
      <calculatedColumnFormula>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calculatedColumnFormula>
    </tableColumn>
    <tableColumn id="10" xr3:uid="{1AA8103C-5FA9-4EA1-B59E-486EACDDF03F}" name="Pass-Thru as a Subrecipient" totalsRowFunction="sum" dataDxfId="996" totalsRowDxfId="995" dataCellStyle="Comma">
      <calculatedColumnFormula>SUMIFS(InputResearch[Total R &amp; D Exp as a Sub],InputResearch[Institution Name],SummaryPVT[[#This Row],[Institution Name]])</calculatedColumnFormula>
    </tableColumn>
    <tableColumn id="11" xr3:uid="{BCCB27C4-9573-4E58-8E0E-FAA79A2164FA}" name="Pass-Thru to a Subrecipient" totalsRowFunction="sum" dataDxfId="994" totalsRowDxfId="993" dataCellStyle="Comma">
      <calculatedColumnFormula>SUMIFS(InputResearch[Total R &amp; D Exp to a Sub],InputResearch[Institution Name],SummaryPVT[[#This Row],[Institution Name]])</calculatedColumnFormula>
    </tableColumn>
  </tableColumns>
  <tableStyleInfo name="General"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0966346-9AE7-4CA2-892B-EAC7E82C5AB7}" name="SummaryUNIVM" displayName="SummaryUNIVM" ref="A100:L105" totalsRowCount="1" headerRowDxfId="992" dataDxfId="991" totalsRowDxfId="990">
  <tableColumns count="12">
    <tableColumn id="1" xr3:uid="{7B7579A4-CE14-4886-8CCF-71AB646A6FA8}" name="Institution Name" dataDxfId="989" totalsRowDxfId="988"/>
    <tableColumn id="12" xr3:uid="{4C5D2B97-D354-4458-AB96-ED43E8522E03}" name="Sort" dataDxfId="987" totalsRowDxfId="986">
      <calculatedColumnFormula>VLOOKUP(SummaryUNIVM[[#This Row],[Institution Name]],InputResearch[],3,FALSE)</calculatedColumnFormula>
    </tableColumn>
    <tableColumn id="2" xr3:uid="{1533BFDA-0D3B-44DD-A2AA-EE30576F7808}" name="FICE" dataDxfId="985" totalsRowDxfId="984"/>
    <tableColumn id="3" xr3:uid="{9ABF984D-DD25-4E80-9281-B2C701BB2AA5}" name="Research Exp. _x000a_Per SRECNA" totalsRowFunction="sum" dataDxfId="983" totalsRowDxfId="982">
      <calculatedColumnFormula>SUMIFS(InputResearch[SRECNP Res. Exp.],InputResearch[Institution Name],SummaryUNIVM[[#This Row],[Institution Name]])</calculatedColumnFormula>
    </tableColumn>
    <tableColumn id="4" xr3:uid="{6DF9E34E-BCAD-4F05-AE17-D55AA3023C54}" name="R &amp; D Not Meeting _x000a_the Definition" totalsRowFunction="sum" dataDxfId="981" totalsRowDxfId="980">
      <calculatedColumnFormula>SUMIFS(InputResearch[R &amp; D Exp Not meeting narrow def],InputResearch[Institution Name],SummaryUNIVM[[#This Row],[Institution Name]])</calculatedColumnFormula>
    </tableColumn>
    <tableColumn id="5" xr3:uid="{008B63A2-03AB-4C2A-B13C-2532FB0C4D6C}" name="Indirect Costs Associated w/ R &amp; D" totalsRowFunction="sum" dataDxfId="979" totalsRowDxfId="978">
      <calculatedColumnFormula>SUMIFS(InputResearch[IDC assoc w/Exp for R &amp; D],InputResearch[Institution Name],SummaryUNIVM[[#This Row],[Institution Name]])</calculatedColumnFormula>
    </tableColumn>
    <tableColumn id="6" xr3:uid="{F054ACF9-8605-45F5-A762-19B16C891702}" name="Capital Outlay for Research" totalsRowFunction="sum" dataDxfId="977" totalsRowDxfId="976">
      <calculatedColumnFormula>SUMIFS(InputResearch[Capital Outlay (Res Equip)],InputResearch[Institution Name],SummaryUNIVM[[#This Row],[Institution Name]])</calculatedColumnFormula>
    </tableColumn>
    <tableColumn id="7" xr3:uid="{0567247A-052B-4155-8FA6-D852C3BA018B}" name="R &amp; D for 501(c)(3) or Institution's Foundation" totalsRowFunction="sum" dataDxfId="975" totalsRowDxfId="974">
      <calculatedColumnFormula>SUMIFS(InputResearch[R&amp;D Exp - Inst foundation/501(c)(3)],InputResearch[Institution Name],SummaryUNIVM[[#This Row],[Institution Name]])</calculatedColumnFormula>
    </tableColumn>
    <tableColumn id="8" xr3:uid="{BFEEEC12-2C4B-44F3-978F-2BF5CEE3DD45}" name="Pass-Thru From _x000a_TX Eng. Exp. Station" totalsRowFunction="sum" dataDxfId="973" totalsRowDxfId="972">
      <calculatedColumnFormula>SUMIFS(InputResearch[Pass-Thru from other Texas A&amp;M members],InputResearch[Institution Name],SummaryUNIVM[[#This Row],[Institution Name]])</calculatedColumnFormula>
    </tableColumn>
    <tableColumn id="9" xr3:uid="{49E747D5-0D88-4C06-A4D8-448D466B1ADC}" name="Total Research Expenditures" totalsRowFunction="sum" dataDxfId="971" totalsRowDxfId="970">
      <calculatedColumnFormula>SUMIFS(InputResearch[R &amp; D Expenses],InputResearch[Institution Name],SummaryUNIVM[[#This Row],[Institution Name]])+SummaryUNIVM[[#This Row],[Indirect Costs Associated w/ R &amp; D]]+SummaryUNIVM[[#This Row],[Capital Outlay for Research]]+SummaryUNIVM[[#This Row],[R &amp; D for 501(c)(3) or Institution''s Foundation]]+SummaryUNIVM[[#This Row],[Pass-Thru From 
TX Eng. Exp. Station]]</calculatedColumnFormula>
    </tableColumn>
    <tableColumn id="10" xr3:uid="{A10BD9FA-DDCA-414A-BD09-24FC45705CDE}" name="Pass-Thru as a Subrecipient" totalsRowFunction="sum" dataDxfId="969" totalsRowDxfId="968">
      <calculatedColumnFormula>SUMIFS(InputResearch[Total R &amp; D Exp as a Sub],InputResearch[Institution Name],SummaryUNIVM[[#This Row],[Institution Name]])</calculatedColumnFormula>
    </tableColumn>
    <tableColumn id="11" xr3:uid="{CC4EBA58-E229-495A-9B46-24F559CB242C}" name="Pass-Thru to a Subrecipient" totalsRowFunction="sum" dataDxfId="967" totalsRowDxfId="966">
      <calculatedColumnFormula>SUMIFS(InputResearch[Total R &amp; D Exp to a Sub],InputResearch[Institution Name],SummaryUNIVM[[#This Row],[Institution Name]])</calculatedColumnFormula>
    </tableColumn>
  </tableColumns>
  <tableStyleInfo name="General"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9EC63FE0-24BA-43B1-8536-14953EFA7861}" name="SummaryTAMUS" displayName="SummaryTAMUS" ref="A83:L95" totalsRowCount="1" headerRowDxfId="965" dataDxfId="964" totalsRowDxfId="963">
  <tableColumns count="12">
    <tableColumn id="1" xr3:uid="{C8D8F8A0-62DB-4BEE-B09D-3E5665009FD7}" name="Institution Name" dataDxfId="962" totalsRowDxfId="961"/>
    <tableColumn id="12" xr3:uid="{93067F79-F0C3-4DE0-BE96-1772FF84D40D}" name="Sort" dataDxfId="960" totalsRowDxfId="959">
      <calculatedColumnFormula>VLOOKUP(SummaryTAMUS[[#This Row],[Institution Name]],InputResearch[],3,FALSE)</calculatedColumnFormula>
    </tableColumn>
    <tableColumn id="2" xr3:uid="{DE068859-4B6F-45B7-AFB0-6EB8588AD1DF}" name="FICE" dataDxfId="958" totalsRowDxfId="957" dataCellStyle="FICE"/>
    <tableColumn id="3" xr3:uid="{178EEB1B-AECC-4F4E-9ECE-4758B973FF61}" name="Research Exp. _x000a_Per SRECNA" totalsRowFunction="sum" dataDxfId="956" totalsRowDxfId="955">
      <calculatedColumnFormula>SUMIFS(InputResearch[SRECNP Res. Exp.],InputResearch[Institution Name],SummaryTAMUS[[#This Row],[Institution Name]])</calculatedColumnFormula>
    </tableColumn>
    <tableColumn id="4" xr3:uid="{FC8FDCBF-E6F8-4045-9850-A827C082C27B}" name="R &amp; D Not Meeting _x000a_the Definition" totalsRowFunction="sum" dataDxfId="954" totalsRowDxfId="953">
      <calculatedColumnFormula>SUMIFS(InputResearch[R &amp; D Exp Not meeting narrow def],InputResearch[Institution Name],SummaryTAMUS[[#This Row],[Institution Name]])</calculatedColumnFormula>
    </tableColumn>
    <tableColumn id="5" xr3:uid="{1541363F-2E96-49C5-9F99-1B0BFE3D4EFA}" name="Indirect Costs Associated w/ R &amp; D" totalsRowFunction="sum" dataDxfId="952" totalsRowDxfId="951">
      <calculatedColumnFormula>SUMIFS(InputResearch[IDC assoc w/Exp for R &amp; D],InputResearch[Institution Name],SummaryTAMUS[[#This Row],[Institution Name]])</calculatedColumnFormula>
    </tableColumn>
    <tableColumn id="6" xr3:uid="{7D2B22DB-BB6A-4B03-9CBD-3B9B7D913070}" name="Capital Outlay for Research" totalsRowFunction="sum" dataDxfId="950" totalsRowDxfId="949">
      <calculatedColumnFormula>SUMIFS(InputResearch[Capital Outlay (Res Equip)],InputResearch[Institution Name],SummaryTAMUS[[#This Row],[Institution Name]])</calculatedColumnFormula>
    </tableColumn>
    <tableColumn id="7" xr3:uid="{5C37071D-DC66-4433-AA4A-459196CE4ABD}" name="R &amp; D for 501(c)(3) or Institution's Foundation" totalsRowFunction="sum" dataDxfId="948" totalsRowDxfId="947">
      <calculatedColumnFormula>SUMIFS(InputResearch[R&amp;D Exp - Inst foundation/501(c)(3)],InputResearch[Institution Name],SummaryTAMUS[[#This Row],[Institution Name]])</calculatedColumnFormula>
    </tableColumn>
    <tableColumn id="8" xr3:uid="{FD203337-E9A6-4A5F-96A0-93C715089E74}" name="Pass-Thru From _x000a_TX Eng. Exp. Station" totalsRowFunction="sum" dataDxfId="946" totalsRowDxfId="945">
      <calculatedColumnFormula>SUMIFS(InputResearch[Pass-Thru from other Texas A&amp;M members],InputResearch[Institution Name],SummaryTAMUS[[#This Row],[Institution Name]])</calculatedColumnFormula>
    </tableColumn>
    <tableColumn id="9" xr3:uid="{DE6734D3-29DD-402E-8A65-7C922EE0C762}" name="Total Research Expenditures" totalsRowFunction="sum" dataDxfId="944" totalsRowDxfId="943">
      <calculatedColumnFormula>SUMIFS(InputResearch[R &amp; D Expenses],InputResearch[Institution Name],SummaryTAMUS[[#This Row],[Institution Name]])+SummaryTAMUS[[#This Row],[Indirect Costs Associated w/ R &amp; D]]+SummaryTAMUS[[#This Row],[Capital Outlay for Research]]+SummaryTAMUS[[#This Row],[R &amp; D for 501(c)(3) or Institution''s Foundation]]+SummaryTAMUS[[#This Row],[Pass-Thru From 
TX Eng. Exp. Station]]</calculatedColumnFormula>
    </tableColumn>
    <tableColumn id="10" xr3:uid="{3B40F96A-54E3-4A72-9E44-5C277D8325A5}" name="Pass-Thru as a Subrecipient" totalsRowFunction="sum" dataDxfId="942" totalsRowDxfId="941">
      <calculatedColumnFormula>SUMIFS(InputResearch[Total R &amp; D Exp as a Sub],InputResearch[Institution Name],SummaryTAMUS[[#This Row],[Institution Name]])</calculatedColumnFormula>
    </tableColumn>
    <tableColumn id="11" xr3:uid="{A3A6281B-E71C-4769-9967-233D766E250B}" name="Pass-Thru to a Subrecipient" totalsRowFunction="sum" dataDxfId="940" totalsRowDxfId="939">
      <calculatedColumnFormula>SUMIFS(InputResearch[Total R &amp; D Exp to a Sub],InputResearch[Institution Name],SummaryTAMUS[[#This Row],[Institution Name]])</calculatedColumnFormula>
    </tableColumn>
  </tableColumns>
  <tableStyleInfo name="General"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E8EAC10-F6B8-4899-B207-2B57E28CE756}" name="ListHRI" displayName="ListHRI" ref="A5:S20" totalsRowCount="1" headerRowDxfId="938" dataDxfId="937" totalsRowDxfId="936" headerRowCellStyle="Normal">
  <tableColumns count="19">
    <tableColumn id="1" xr3:uid="{F01711F7-30BA-45F3-A332-CB15D10D5C1F}" name="Institution Name" dataDxfId="935" totalsRowDxfId="934"/>
    <tableColumn id="19" xr3:uid="{E8976354-EBB0-424C-939C-1292A10F4BDE}" name="Sort" dataDxfId="933" totalsRowDxfId="932">
      <calculatedColumnFormula>VLOOKUP(ListHRI[[#This Row],[Institution Name]],InputResearch[],3,FALSE)</calculatedColumnFormula>
    </tableColumn>
    <tableColumn id="2" xr3:uid="{8AA7A61D-EBD5-4600-8866-72F86DC46244}" name="FICE" dataDxfId="931" totalsRowDxfId="930"/>
    <tableColumn id="3" xr3:uid="{3A8610AC-BAAD-42F8-944F-E5C75BB49BEB}" name="Agricultural _x000a_Sciences" totalsRowFunction="sum" dataDxfId="929" totalsRowDxfId="928" dataCellStyle="Comma">
      <calculatedColumnFormula>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calculatedColumnFormula>
    </tableColumn>
    <tableColumn id="4" xr3:uid="{240187D8-23FA-430F-B7A1-C82604FDAD22}" name="Biological &amp; Other _x000a_Life Sciences" totalsRowFunction="sum" dataDxfId="927" totalsRowDxfId="926" dataCellStyle="Comma">
      <calculatedColumnFormula>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calculatedColumnFormula>
    </tableColumn>
    <tableColumn id="7" xr3:uid="{9168F8C8-3A00-46DA-9D22-0293EADE8181}" name="Computer _x000a_Science" totalsRowFunction="sum" dataDxfId="925" totalsRowDxfId="924" dataCellStyle="Comma">
      <calculatedColumnFormula>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calculatedColumnFormula>
    </tableColumn>
    <tableColumn id="8" xr3:uid="{76573F5A-65F5-4FEA-9663-0A8114DADADF}" name="Engineering" totalsRowFunction="sum" dataDxfId="923" totalsRowDxfId="922" dataCellStyle="Comma">
      <calculatedColumnFormula>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calculatedColumnFormula>
    </tableColumn>
    <tableColumn id="9" xr3:uid="{E5AB5D28-34E6-4D41-9222-5855F0607439}" name="Environmental _x000a_Sciences" totalsRowFunction="sum" dataDxfId="921" totalsRowDxfId="920" dataCellStyle="Comma">
      <calculatedColumnFormula>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calculatedColumnFormula>
    </tableColumn>
    <tableColumn id="10" xr3:uid="{99C7FAEF-C8EE-457D-8000-08816010C730}" name="Mathematical _x000a_Sciences" totalsRowFunction="sum" dataDxfId="919" totalsRowDxfId="918" dataCellStyle="Comma">
      <calculatedColumnFormula>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calculatedColumnFormula>
    </tableColumn>
    <tableColumn id="11" xr3:uid="{FFB6D1E7-60B9-461A-AB34-494DBBDC4775}" name="Medical _x000a_Sciences" totalsRowFunction="sum" dataDxfId="917" totalsRowDxfId="916" dataCellStyle="Comma">
      <calculatedColumnFormula>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calculatedColumnFormula>
    </tableColumn>
    <tableColumn id="5" xr3:uid="{8F5EEB7D-857E-4AFA-B34B-C9955E9F3BE7}" name="Physical _x000a_Sciences" totalsRowFunction="sum" dataDxfId="915" totalsRowDxfId="914" dataCellStyle="Comma">
      <calculatedColumnFormula>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calculatedColumnFormula>
    </tableColumn>
    <tableColumn id="6" xr3:uid="{107BCD97-49F0-43C7-BD72-F29979F27DCB}" name="Psychology" totalsRowFunction="sum" dataDxfId="913" totalsRowDxfId="912" dataCellStyle="Comma">
      <calculatedColumnFormula>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calculatedColumnFormula>
    </tableColumn>
    <tableColumn id="12" xr3:uid="{1C8E34B2-8812-418E-AD05-29BCE26977B5}" name="Social _x000a_Sciences" totalsRowFunction="sum" dataDxfId="911" totalsRowDxfId="910" dataCellStyle="Comma">
      <calculatedColumnFormula>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calculatedColumnFormula>
    </tableColumn>
    <tableColumn id="13" xr3:uid="{A308B238-8E7D-45A3-ACF4-7EAF9C5B7B5B}" name="Other Sciences not _x000a_classified above" totalsRowFunction="sum" dataDxfId="909" totalsRowDxfId="908" dataCellStyle="Comma">
      <calculatedColumnFormula>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calculatedColumnFormula>
    </tableColumn>
    <tableColumn id="14" xr3:uid="{14B547C7-0299-4399-A27C-D21A50E25BD0}" name="Arts &amp; _x000a_Humanities" totalsRowFunction="sum" dataDxfId="907" totalsRowDxfId="906" dataCellStyle="Comma">
      <calculatedColumnFormula>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calculatedColumnFormula>
    </tableColumn>
    <tableColumn id="15" xr3:uid="{4937638F-F6C0-4EF6-A0C8-0B4DC63AB295}" name="Business _x000a_Administration" totalsRowFunction="sum" dataDxfId="905" totalsRowDxfId="904" dataCellStyle="Comma">
      <calculatedColumnFormula>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calculatedColumnFormula>
    </tableColumn>
    <tableColumn id="16" xr3:uid="{0D5DAE84-D176-40BC-B084-153D199BFD0E}" name="Education" totalsRowFunction="sum" dataDxfId="903" totalsRowDxfId="902" dataCellStyle="Comma">
      <calculatedColumnFormula>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calculatedColumnFormula>
    </tableColumn>
    <tableColumn id="17" xr3:uid="{346BB752-34C1-4BCC-8677-00E3791172B5}" name="Law" totalsRowFunction="sum" dataDxfId="901" totalsRowDxfId="900" dataCellStyle="Comma">
      <calculatedColumnFormula>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calculatedColumnFormula>
    </tableColumn>
    <tableColumn id="18" xr3:uid="{AF9F99E9-0F27-4CC6-8BB2-2EB5F53F34F5}" name="Other Non-Science _x000a_Activities" totalsRowFunction="sum" dataDxfId="899" totalsRowDxfId="898" dataCellStyle="Comma">
      <calculatedColumnFormula>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calculatedColumnFormula>
    </tableColumn>
  </tableColumns>
  <tableStyleInfo name="General"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F921DEDB-2F82-419E-8538-539AD34CDBA6}" name="ListTSTC" displayName="ListTSTC" ref="A25:S35" totalsRowCount="1" headerRowDxfId="897" dataDxfId="896" totalsRowDxfId="895">
  <tableColumns count="19">
    <tableColumn id="1" xr3:uid="{4E84F356-2A35-4D23-9A91-284192248DCB}" name="Institution Name" dataDxfId="894" totalsRowDxfId="893"/>
    <tableColumn id="19" xr3:uid="{6333E39E-3965-4926-89A5-9175D448D574}" name="Sort" dataDxfId="892" totalsRowDxfId="891">
      <calculatedColumnFormula>VLOOKUP(ListTSTC[[#This Row],[Institution Name]],InputResearch[],3,FALSE)</calculatedColumnFormula>
    </tableColumn>
    <tableColumn id="2" xr3:uid="{FD08DE3A-BBEC-4BF9-8A2A-9EBC364DE015}" name="FICE" dataDxfId="890" totalsRowDxfId="889" dataCellStyle="FICE"/>
    <tableColumn id="3" xr3:uid="{54CD0174-9144-404B-8C67-8EB612533BF6}" name="Agricultural _x000a_Sciences" totalsRowFunction="sum" dataDxfId="888" totalsRowDxfId="887" dataCellStyle="Comma">
      <calculatedColumnFormula>SUMIFS(InputResearch[Agricultural Sci. Fed],InputResearch[Institution Name],ListTSTC[[#This Row],[Institution Name]])+SUMIFS(InputResearch[Agricultural Sci. St. Approp.],InputResearch[Institution Name],ListTSTC[[#This Row],[Institution Name]])+SUMIFS(InputResearch[Agricultural Sci. St. C&amp;G],InputResearch[Institution Name],ListTSTC[[#This Row],[Institution Name]])+SUMIFS(InputResearch[Agricultural Sci. Inst Res],InputResearch[Institution Name],ListTSTC[[#This Row],[Institution Name]])+SUMIFS(InputResearch[Agricultural Sci. PFP],InputResearch[Institution Name],ListTSTC[[#This Row],[Institution Name]])+SUMIFS(InputResearch[Agricultural Sci. PNP],InputResearch[Institution Name],ListTSTC[[#This Row],[Institution Name]])</calculatedColumnFormula>
    </tableColumn>
    <tableColumn id="6" xr3:uid="{49AC0A10-3177-4D01-A36B-0717A6D28101}" name="Biological &amp; Other _x000a_Life Sciences" totalsRowFunction="sum" dataDxfId="886" totalsRowDxfId="885" dataCellStyle="Comma">
      <calculatedColumnFormula>SUMIFS(InputResearch[Biological &amp; Other Life Sci. Fed],InputResearch[Institution Name],ListTSTC[[#This Row],[Institution Name]])+SUMIFS(InputResearch[Biological &amp; Other Life Sci. St. Approp.],InputResearch[Institution Name],ListTSTC[[#This Row],[Institution Name]])+SUMIFS(InputResearch[Biological &amp; Other Life Sci. St. C&amp;G],InputResearch[Institution Name],ListTSTC[[#This Row],[Institution Name]])+SUMIFS(InputResearch[Biological &amp; Other Life Sci. Inst Res],InputResearch[Institution Name],ListTSTC[[#This Row],[Institution Name]])+SUMIFS(InputResearch[Biological &amp; Other Life Sci. PFP],InputResearch[Institution Name],ListTSTC[[#This Row],[Institution Name]])+SUMIFS(InputResearch[Biological &amp; Other Life Sci. PNP],InputResearch[Institution Name],ListTSTC[[#This Row],[Institution Name]])</calculatedColumnFormula>
    </tableColumn>
    <tableColumn id="7" xr3:uid="{5A3032C4-11F2-4017-9511-5F734B48BE7B}" name="Computer _x000a_Science" totalsRowFunction="sum" dataDxfId="884" totalsRowDxfId="883" dataCellStyle="Comma">
      <calculatedColumnFormula>SUMIFS(InputResearch[Comp. Sci. Fed],InputResearch[Institution Name],ListTSTC[[#This Row],[Institution Name]])+SUMIFS(InputResearch[Comp. Sci. St. Approp.],InputResearch[Institution Name],ListTSTC[[#This Row],[Institution Name]])+SUMIFS(InputResearch[Comp. Sci. St. C&amp;G],InputResearch[Institution Name],ListTSTC[[#This Row],[Institution Name]])+SUMIFS(InputResearch[Comp. Sci. Inst Res],InputResearch[Institution Name],ListTSTC[[#This Row],[Institution Name]])+SUMIFS(InputResearch[Comp. Sci. PFP],InputResearch[Institution Name],ListTSTC[[#This Row],[Institution Name]])+SUMIFS(InputResearch[Comp. Sci. PNP],InputResearch[Institution Name],ListTSTC[[#This Row],[Institution Name]])</calculatedColumnFormula>
    </tableColumn>
    <tableColumn id="8" xr3:uid="{5643ADA0-A585-4559-9CEC-FB8E7C526E85}" name="Engineering" totalsRowFunction="sum" dataDxfId="882" totalsRowDxfId="881" dataCellStyle="Comma">
      <calculatedColumnFormula>SUMIFS(InputResearch[Engineering Fed],InputResearch[Institution Name],ListTSTC[[#This Row],[Institution Name]])+SUMIFS(InputResearch[Engineering St. Approp.],InputResearch[Institution Name],ListTSTC[[#This Row],[Institution Name]])+SUMIFS(InputResearch[Engineering St. C&amp;G],InputResearch[Institution Name],ListTSTC[[#This Row],[Institution Name]])+SUMIFS(InputResearch[Engineering Inst Res],InputResearch[Institution Name],ListTSTC[[#This Row],[Institution Name]])+SUMIFS(InputResearch[Engineering PFP],InputResearch[Institution Name],ListTSTC[[#This Row],[Institution Name]])+SUMIFS(InputResearch[Engineering PNP],InputResearch[Institution Name],ListTSTC[[#This Row],[Institution Name]])</calculatedColumnFormula>
    </tableColumn>
    <tableColumn id="9" xr3:uid="{3BF2C376-14F2-4674-9536-8296D6B418AD}" name="Environmental _x000a_Sciences" totalsRowFunction="sum" dataDxfId="880" totalsRowDxfId="879" dataCellStyle="Comma">
      <calculatedColumnFormula>SUMIFS(InputResearch[Env Sci. Fed],InputResearch[Institution Name],ListTSTC[[#This Row],[Institution Name]])+SUMIFS(InputResearch[Env Sci. St. Approp.],InputResearch[Institution Name],ListTSTC[[#This Row],[Institution Name]])+SUMIFS(InputResearch[Env Sci. St. C&amp;G],InputResearch[Institution Name],ListTSTC[[#This Row],[Institution Name]])+SUMIFS(InputResearch[Env Sci. Inst Res],InputResearch[Institution Name],ListTSTC[[#This Row],[Institution Name]])+SUMIFS(InputResearch[Env Sci. PFP],InputResearch[Institution Name],ListTSTC[[#This Row],[Institution Name]])+SUMIFS(InputResearch[Env Sci. PNP],InputResearch[Institution Name],ListTSTC[[#This Row],[Institution Name]])</calculatedColumnFormula>
    </tableColumn>
    <tableColumn id="10" xr3:uid="{E9DA684B-8F6C-48C8-A3C8-E1250A72F8F0}" name="Mathematical _x000a_Sciences" totalsRowFunction="sum" dataDxfId="878" totalsRowDxfId="877" dataCellStyle="Comma">
      <calculatedColumnFormula>SUMIFS(InputResearch[Math Fed],InputResearch[Institution Name],ListTSTC[[#This Row],[Institution Name]])+SUMIFS(InputResearch[Math St. Approp.],InputResearch[Institution Name],ListTSTC[[#This Row],[Institution Name]])+SUMIFS(InputResearch[Math St. C&amp;G],InputResearch[Institution Name],ListTSTC[[#This Row],[Institution Name]])+SUMIFS(InputResearch[Math Inst Res],InputResearch[Institution Name],ListTSTC[[#This Row],[Institution Name]])+SUMIFS(InputResearch[Math PFP],InputResearch[Institution Name],ListTSTC[[#This Row],[Institution Name]])+SUMIFS(InputResearch[Math PNP],InputResearch[Institution Name],ListTSTC[[#This Row],[Institution Name]])</calculatedColumnFormula>
    </tableColumn>
    <tableColumn id="11" xr3:uid="{9F146E1D-4E5E-46DB-8241-C57E8DF2ED35}" name="Medical _x000a_Sciences" totalsRowFunction="sum" dataDxfId="876" totalsRowDxfId="875" dataCellStyle="Comma">
      <calculatedColumnFormula>SUMIFS(InputResearch[Medical Fed],InputResearch[Institution Name],ListTSTC[[#This Row],[Institution Name]])+SUMIFS(InputResearch[Medical St. Approp.],InputResearch[Institution Name],ListTSTC[[#This Row],[Institution Name]])+SUMIFS(InputResearch[Medical St. C&amp;G],InputResearch[Institution Name],ListTSTC[[#This Row],[Institution Name]])+SUMIFS(InputResearch[Medical Inst Res],InputResearch[Institution Name],ListTSTC[[#This Row],[Institution Name]])+SUMIFS(InputResearch[Medical PFP],InputResearch[Institution Name],ListTSTC[[#This Row],[Institution Name]])+SUMIFS(InputResearch[Medical PNP],InputResearch[Institution Name],ListTSTC[[#This Row],[Institution Name]])</calculatedColumnFormula>
    </tableColumn>
    <tableColumn id="4" xr3:uid="{355352FE-917C-403E-AB7C-0B263BB062AF}" name="Physical _x000a_Sciences" totalsRowFunction="sum" dataDxfId="874" totalsRowDxfId="873" dataCellStyle="Comma">
      <calculatedColumnFormula>SUMIFS(InputResearch[Physical Sci. Fed],InputResearch[Institution Name],ListTSTC[[#This Row],[Institution Name]])+SUMIFS(InputResearch[Physical Sci. St. Approp.],InputResearch[Institution Name],ListTSTC[[#This Row],[Institution Name]])+SUMIFS(InputResearch[Physical Sci. St. C&amp;G],InputResearch[Institution Name],ListTSTC[[#This Row],[Institution Name]])+SUMIFS(InputResearch[Physical Sci. Inst Res],InputResearch[Institution Name],ListTSTC[[#This Row],[Institution Name]])+SUMIFS(InputResearch[Physical Sci. PFP],InputResearch[Institution Name],ListTSTC[[#This Row],[Institution Name]])+SUMIFS(InputResearch[Physical Sci. PNP],InputResearch[Institution Name],ListTSTC[[#This Row],[Institution Name]])</calculatedColumnFormula>
    </tableColumn>
    <tableColumn id="5" xr3:uid="{6FE575E8-EC20-47B2-B5AB-BC134EDBD91C}" name="Psychology" totalsRowFunction="sum" dataDxfId="872" totalsRowDxfId="871" dataCellStyle="Comma">
      <calculatedColumnFormula>SUMIFS(InputResearch[Psychology Fed],InputResearch[Institution Name],ListTSTC[[#This Row],[Institution Name]])+SUMIFS(InputResearch[Psychology St. Approp.],InputResearch[Institution Name],ListTSTC[[#This Row],[Institution Name]])+SUMIFS(InputResearch[Psychology St. C&amp;G],InputResearch[Institution Name],ListTSTC[[#This Row],[Institution Name]])+SUMIFS(InputResearch[Psychology Inst Res],InputResearch[Institution Name],ListTSTC[[#This Row],[Institution Name]])+SUMIFS(InputResearch[Psychology PFP],InputResearch[Institution Name],ListTSTC[[#This Row],[Institution Name]])+SUMIFS(InputResearch[Psychology PNP],InputResearch[Institution Name],ListTSTC[[#This Row],[Institution Name]])</calculatedColumnFormula>
    </tableColumn>
    <tableColumn id="12" xr3:uid="{2C565744-D192-4DDE-8957-CF8EBF9338D0}" name="Social _x000a_Sciences" totalsRowFunction="sum" dataDxfId="870" totalsRowDxfId="869" dataCellStyle="Comma">
      <calculatedColumnFormula>SUMIFS(InputResearch[Social Sci. Fed],InputResearch[Institution Name],ListTSTC[[#This Row],[Institution Name]])+SUMIFS(InputResearch[Social Sci. St. Approp.],InputResearch[Institution Name],ListTSTC[[#This Row],[Institution Name]])+SUMIFS(InputResearch[Social Sci. St. C&amp;G],InputResearch[Institution Name],ListTSTC[[#This Row],[Institution Name]])+SUMIFS(InputResearch[Social Sci. Inst Res],InputResearch[Institution Name],ListTSTC[[#This Row],[Institution Name]])+SUMIFS(InputResearch[Social Sci. PFP],InputResearch[Institution Name],ListTSTC[[#This Row],[Institution Name]])+SUMIFS(InputResearch[Social Sci. PNP],InputResearch[Institution Name],ListTSTC[[#This Row],[Institution Name]])</calculatedColumnFormula>
    </tableColumn>
    <tableColumn id="13" xr3:uid="{846C3EBD-6E15-4BD2-94D5-8868E8EBE0CD}" name="Other Sciences not _x000a_classified above" totalsRowFunction="sum" dataDxfId="868" totalsRowDxfId="867" dataCellStyle="Comma">
      <calculatedColumnFormula>SUMIFS(InputResearch[Other Sci. Fed],InputResearch[Institution Name],ListTSTC[[#This Row],[Institution Name]])+SUMIFS(InputResearch[Other Sci. St. Approp.],InputResearch[Institution Name],ListTSTC[[#This Row],[Institution Name]])+SUMIFS(InputResearch[Other Sci. St. C&amp;G],InputResearch[Institution Name],ListTSTC[[#This Row],[Institution Name]])+SUMIFS(InputResearch[Other Sci. Inst Res],InputResearch[Institution Name],ListTSTC[[#This Row],[Institution Name]])+SUMIFS(InputResearch[Other Sci. PFP],InputResearch[Institution Name],ListTSTC[[#This Row],[Institution Name]])+SUMIFS(InputResearch[Other Sci. PNP],InputResearch[Institution Name],ListTSTC[[#This Row],[Institution Name]])</calculatedColumnFormula>
    </tableColumn>
    <tableColumn id="14" xr3:uid="{726CE46A-2C6D-4358-ACF9-13BC8C001A5E}" name="Arts &amp; _x000a_Humanities" totalsRowFunction="sum" dataDxfId="866" totalsRowDxfId="865" dataCellStyle="Comma">
      <calculatedColumnFormula>SUMIFS(InputResearch[Arts &amp; Humanities Fed],InputResearch[Institution Name],ListTSTC[[#This Row],[Institution Name]])+SUMIFS(InputResearch[Arts &amp; Humanities St. Approp.],InputResearch[Institution Name],ListTSTC[[#This Row],[Institution Name]])+SUMIFS(InputResearch[Arts &amp; Humanities St. C&amp;G],InputResearch[Institution Name],ListTSTC[[#This Row],[Institution Name]])+SUMIFS(InputResearch[Arts &amp; Humanities Inst Res],InputResearch[Institution Name],ListTSTC[[#This Row],[Institution Name]])+SUMIFS(InputResearch[Arts &amp; Humanities PFP],InputResearch[Institution Name],ListTSTC[[#This Row],[Institution Name]])+SUMIFS(InputResearch[Arts &amp; Humanities PNP],InputResearch[Institution Name],ListTSTC[[#This Row],[Institution Name]])</calculatedColumnFormula>
    </tableColumn>
    <tableColumn id="15" xr3:uid="{E731EDBB-1218-4CE4-B392-37A8182DF913}" name="Business _x000a_Administration" totalsRowFunction="sum" dataDxfId="864" totalsRowDxfId="863" dataCellStyle="Comma">
      <calculatedColumnFormula>SUMIFS(InputResearch[Business Fed],InputResearch[Institution Name],ListTSTC[[#This Row],[Institution Name]])+SUMIFS(InputResearch[Business St. Approp.],InputResearch[Institution Name],ListTSTC[[#This Row],[Institution Name]])+SUMIFS(InputResearch[Business St. C&amp;G],InputResearch[Institution Name],ListTSTC[[#This Row],[Institution Name]])+SUMIFS(InputResearch[Business Inst Res],InputResearch[Institution Name],ListTSTC[[#This Row],[Institution Name]])+SUMIFS(InputResearch[Business PFP],InputResearch[Institution Name],ListTSTC[[#This Row],[Institution Name]])+SUMIFS(InputResearch[Business PNP],InputResearch[Institution Name],ListTSTC[[#This Row],[Institution Name]])</calculatedColumnFormula>
    </tableColumn>
    <tableColumn id="16" xr3:uid="{446A941A-1A89-4769-8C7B-C65AF0092082}" name="Education" totalsRowFunction="sum" dataDxfId="862" totalsRowDxfId="861" dataCellStyle="Comma">
      <calculatedColumnFormula>SUMIFS(InputResearch[Education Fed],InputResearch[Institution Name],ListTSTC[[#This Row],[Institution Name]])+SUMIFS(InputResearch[Education St. Approp.],InputResearch[Institution Name],ListTSTC[[#This Row],[Institution Name]])+SUMIFS(InputResearch[Education St. C&amp;G],InputResearch[Institution Name],ListTSTC[[#This Row],[Institution Name]])+SUMIFS(InputResearch[Education Inst Res],InputResearch[Institution Name],ListTSTC[[#This Row],[Institution Name]])+SUMIFS(InputResearch[Education PFP],InputResearch[Institution Name],ListTSTC[[#This Row],[Institution Name]])+SUMIFS(InputResearch[Education PNP],InputResearch[Institution Name],ListTSTC[[#This Row],[Institution Name]])</calculatedColumnFormula>
    </tableColumn>
    <tableColumn id="17" xr3:uid="{752D5D82-2D19-469E-B5A2-8805621040EC}" name="Law" totalsRowFunction="sum" dataDxfId="860" totalsRowDxfId="859" dataCellStyle="Comma">
      <calculatedColumnFormula>SUMIFS(InputResearch[Law Fed],InputResearch[Institution Name],ListTSTC[[#This Row],[Institution Name]])+SUMIFS(InputResearch[Law St. Approp.],InputResearch[Institution Name],ListTSTC[[#This Row],[Institution Name]])+SUMIFS(InputResearch[Law St. C&amp;G],InputResearch[Institution Name],ListTSTC[[#This Row],[Institution Name]])+SUMIFS(InputResearch[Law Inst Res],InputResearch[Institution Name],ListTSTC[[#This Row],[Institution Name]])+SUMIFS(InputResearch[Law PFP],InputResearch[Institution Name],ListTSTC[[#This Row],[Institution Name]])+SUMIFS(InputResearch[Law PNP],InputResearch[Institution Name],ListTSTC[[#This Row],[Institution Name]])</calculatedColumnFormula>
    </tableColumn>
    <tableColumn id="18" xr3:uid="{0B50EA21-4B01-488C-AFDB-B191A176A431}" name="Other Non-Science _x000a_Activities" totalsRowFunction="sum" dataDxfId="858" totalsRowDxfId="857" dataCellStyle="Comma">
      <calculatedColumnFormula>SUMIFS(InputResearch[Other Non-Sci. Fed],InputResearch[Institution Name],ListTSTC[[#This Row],[Institution Name]])+SUMIFS(InputResearch[Other Non-Sci. St. Approp.],InputResearch[Institution Name],ListTSTC[[#This Row],[Institution Name]])+SUMIFS(InputResearch[Other Non-Sci. St. C&amp;G],InputResearch[Institution Name],ListTSTC[[#This Row],[Institution Name]])+SUMIFS(InputResearch[Other Non-Sci. Inst Res],InputResearch[Institution Name],ListTSTC[[#This Row],[Institution Name]])+SUMIFS(InputResearch[Other Non-Sci. PFP],InputResearch[Institution Name],ListTSTC[[#This Row],[Institution Name]])+SUMIFS(InputResearch[Other Non-Sci. PNP],InputResearch[Institution Name],ListTSTC[[#This Row],[Institution Name]])</calculatedColumnFormula>
    </tableColumn>
  </tableColumns>
  <tableStyleInfo name="General"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6F241F1-9124-420D-88AD-6FF7FF61828F}" name="ListUNIV" displayName="ListUNIV" ref="A40:S77" totalsRowCount="1" headerRowDxfId="856" dataDxfId="855" totalsRowDxfId="854">
  <tableColumns count="19">
    <tableColumn id="1" xr3:uid="{AC1E38A9-B8EB-4288-A004-72710B93563B}" name="Institution Name" dataDxfId="853" totalsRowDxfId="852"/>
    <tableColumn id="19" xr3:uid="{82ED7419-5529-458E-99E0-8FC731A718D2}" name="Sort" dataDxfId="851" totalsRowDxfId="850">
      <calculatedColumnFormula>VLOOKUP(ListUNIV[[#This Row],[Institution Name]],InputResearch[],3,FALSE)</calculatedColumnFormula>
    </tableColumn>
    <tableColumn id="2" xr3:uid="{EE1B6DCB-566A-4DF5-A4E5-E6057D9C2939}" name="FICE" dataDxfId="849" totalsRowDxfId="848" dataCellStyle="FICE"/>
    <tableColumn id="3" xr3:uid="{0FE5657A-0A7F-46E7-8A59-BAF345302C6A}" name="Agricultural _x000a_Sciences" totalsRowFunction="sum" dataDxfId="847" totalsRowDxfId="846" dataCellStyle="Comma">
      <calculatedColumnFormula>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calculatedColumnFormula>
    </tableColumn>
    <tableColumn id="4" xr3:uid="{136B2D7E-C5C8-4E5D-91BA-275EBD7C3536}" name="Biological &amp; Other _x000a_Life Sciences" totalsRowFunction="sum" dataDxfId="845" totalsRowDxfId="844" dataCellStyle="Comma">
      <calculatedColumnFormula>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calculatedColumnFormula>
    </tableColumn>
    <tableColumn id="7" xr3:uid="{5A49884A-A4F0-4301-B6D9-8115AD43C379}" name="Computer _x000a_Science" totalsRowFunction="sum" dataDxfId="843" totalsRowDxfId="842" dataCellStyle="Comma">
      <calculatedColumnFormula>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calculatedColumnFormula>
    </tableColumn>
    <tableColumn id="8" xr3:uid="{B4A1F589-AFF2-418F-B3CB-704666FB60EA}" name="Engineering" totalsRowFunction="sum" dataDxfId="841" totalsRowDxfId="840" dataCellStyle="Comma">
      <calculatedColumnFormula>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calculatedColumnFormula>
    </tableColumn>
    <tableColumn id="9" xr3:uid="{6F7D71C8-9399-49AB-9341-A38D8AF2AECB}" name="Environmental _x000a_Sciences" totalsRowFunction="sum" dataDxfId="839" totalsRowDxfId="838" dataCellStyle="Comma">
      <calculatedColumnFormula>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calculatedColumnFormula>
    </tableColumn>
    <tableColumn id="10" xr3:uid="{4DB4B0BC-7D5C-4F06-B35C-F4F627F630CA}" name="Mathematical _x000a_Sciences" totalsRowFunction="sum" dataDxfId="837" totalsRowDxfId="836" dataCellStyle="Comma">
      <calculatedColumnFormula>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calculatedColumnFormula>
    </tableColumn>
    <tableColumn id="11" xr3:uid="{03B5077A-DCC0-43E4-A636-B4F84FBD4EEE}" name="Medical _x000a_Sciences" totalsRowFunction="sum" dataDxfId="835" totalsRowDxfId="834" dataCellStyle="Comma">
      <calculatedColumnFormula>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calculatedColumnFormula>
    </tableColumn>
    <tableColumn id="5" xr3:uid="{475770F3-16A1-432C-9F6F-BDABB778E76C}" name="Physical _x000a_Sciences" totalsRowFunction="sum" dataDxfId="833" totalsRowDxfId="832" dataCellStyle="Comma">
      <calculatedColumnFormula>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calculatedColumnFormula>
    </tableColumn>
    <tableColumn id="6" xr3:uid="{E0DD0CC7-452F-49A1-B0F9-58812C6A3DC7}" name="Psychology" totalsRowFunction="sum" dataDxfId="831" totalsRowDxfId="830" dataCellStyle="Comma">
      <calculatedColumnFormula>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calculatedColumnFormula>
    </tableColumn>
    <tableColumn id="12" xr3:uid="{2584F27E-6A63-4B51-9263-4B3481DBBE21}" name="Social _x000a_Sciences" totalsRowFunction="sum" dataDxfId="829" totalsRowDxfId="828" dataCellStyle="Comma">
      <calculatedColumnFormula>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calculatedColumnFormula>
    </tableColumn>
    <tableColumn id="13" xr3:uid="{D841CEA8-E52A-47ED-8022-D68C95C52D62}" name="Other Sciences not _x000a_classified above" totalsRowFunction="sum" dataDxfId="827" totalsRowDxfId="826" dataCellStyle="Comma">
      <calculatedColumnFormula>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calculatedColumnFormula>
    </tableColumn>
    <tableColumn id="14" xr3:uid="{90451342-3E92-4E15-8BAA-AC146CC7BA0D}" name="Arts &amp; _x000a_Humanities" totalsRowFunction="sum" dataDxfId="825" totalsRowDxfId="824" dataCellStyle="Comma">
      <calculatedColumnFormula>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calculatedColumnFormula>
    </tableColumn>
    <tableColumn id="15" xr3:uid="{12E7502D-A877-405C-8878-88DA83CEF28A}" name="Business _x000a_Administration" totalsRowFunction="sum" dataDxfId="823" totalsRowDxfId="822" dataCellStyle="Comma">
      <calculatedColumnFormula>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calculatedColumnFormula>
    </tableColumn>
    <tableColumn id="16" xr3:uid="{7C941447-74BC-4874-A294-5111ABB82B26}" name="Education" totalsRowFunction="sum" dataDxfId="821" totalsRowDxfId="820" dataCellStyle="Comma">
      <calculatedColumnFormula>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calculatedColumnFormula>
    </tableColumn>
    <tableColumn id="17" xr3:uid="{E38126D1-95D6-4957-88BB-ADEE8D907EAC}" name="Law" totalsRowFunction="sum" dataDxfId="819" totalsRowDxfId="818" dataCellStyle="Comma">
      <calculatedColumnFormula>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calculatedColumnFormula>
    </tableColumn>
    <tableColumn id="18" xr3:uid="{2B63DAF8-33A5-47FF-96F3-EE72C9A074B3}" name="Other Non-Science _x000a_Activities" totalsRowFunction="sum" dataDxfId="817" totalsRowDxfId="816" dataCellStyle="Comma">
      <calculatedColumnFormula>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calculatedColumnFormula>
    </tableColumn>
  </tableColumns>
  <tableStyleInfo name="General" showFirstColumn="0" showLastColumn="0" showRowStripes="1" showColumnStripes="0"/>
</table>
</file>

<file path=xl/theme/theme1.xml><?xml version="1.0" encoding="utf-8"?>
<a:theme xmlns:a="http://schemas.openxmlformats.org/drawingml/2006/main" name="Office Theme">
  <a:themeElements>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Besley">
      <a:majorFont>
        <a:latin typeface="Besley"/>
        <a:ea typeface=""/>
        <a:cs typeface=""/>
      </a:majorFont>
      <a:minorFont>
        <a:latin typeface="Besley"/>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txhigheredaccountability.org/AcctPublic/"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29.xml"/><Relationship Id="rId3" Type="http://schemas.openxmlformats.org/officeDocument/2006/relationships/vmlDrawing" Target="../drawings/vmlDrawing6.vml"/><Relationship Id="rId7" Type="http://schemas.openxmlformats.org/officeDocument/2006/relationships/table" Target="../tables/table28.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table" Target="../tables/table27.xml"/><Relationship Id="rId5" Type="http://schemas.openxmlformats.org/officeDocument/2006/relationships/table" Target="../tables/table26.xml"/><Relationship Id="rId4" Type="http://schemas.openxmlformats.org/officeDocument/2006/relationships/table" Target="../tables/table25.xml"/><Relationship Id="rId9"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30.xml"/><Relationship Id="rId2" Type="http://schemas.openxmlformats.org/officeDocument/2006/relationships/vmlDrawing" Target="../drawings/vmlDrawing7.v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7" Type="http://schemas.openxmlformats.org/officeDocument/2006/relationships/comments" Target="../comments8.xml"/><Relationship Id="rId2" Type="http://schemas.openxmlformats.org/officeDocument/2006/relationships/drawing" Target="../drawings/drawing13.xml"/><Relationship Id="rId1" Type="http://schemas.openxmlformats.org/officeDocument/2006/relationships/printerSettings" Target="../printerSettings/printerSettings14.bin"/><Relationship Id="rId6" Type="http://schemas.openxmlformats.org/officeDocument/2006/relationships/table" Target="../tables/table33.xml"/><Relationship Id="rId5" Type="http://schemas.openxmlformats.org/officeDocument/2006/relationships/table" Target="../tables/table32.xml"/><Relationship Id="rId4" Type="http://schemas.openxmlformats.org/officeDocument/2006/relationships/table" Target="../tables/table31.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5.xml"/><Relationship Id="rId3" Type="http://schemas.openxmlformats.org/officeDocument/2006/relationships/vmlDrawing" Target="../drawings/vmlDrawing1.vml"/><Relationship Id="rId7" Type="http://schemas.openxmlformats.org/officeDocument/2006/relationships/table" Target="../tables/table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3.xml"/><Relationship Id="rId5" Type="http://schemas.openxmlformats.org/officeDocument/2006/relationships/table" Target="../tables/table2.xml"/><Relationship Id="rId10" Type="http://schemas.openxmlformats.org/officeDocument/2006/relationships/comments" Target="../comments1.xml"/><Relationship Id="rId4" Type="http://schemas.openxmlformats.org/officeDocument/2006/relationships/table" Target="../tables/table1.xml"/><Relationship Id="rId9" Type="http://schemas.openxmlformats.org/officeDocument/2006/relationships/table" Target="../tables/table6.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vmlDrawing" Target="../drawings/vmlDrawing2.vml"/><Relationship Id="rId7" Type="http://schemas.openxmlformats.org/officeDocument/2006/relationships/table" Target="../tables/table10.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9.xml"/><Relationship Id="rId5" Type="http://schemas.openxmlformats.org/officeDocument/2006/relationships/table" Target="../tables/table8.xml"/><Relationship Id="rId10" Type="http://schemas.openxmlformats.org/officeDocument/2006/relationships/comments" Target="../comments2.xml"/><Relationship Id="rId4" Type="http://schemas.openxmlformats.org/officeDocument/2006/relationships/table" Target="../tables/table7.xml"/><Relationship Id="rId9" Type="http://schemas.openxmlformats.org/officeDocument/2006/relationships/table" Target="../tables/table1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omments" Target="../comments3.xml"/><Relationship Id="rId5" Type="http://schemas.openxmlformats.org/officeDocument/2006/relationships/table" Target="../tables/table14.xml"/><Relationship Id="rId4" Type="http://schemas.openxmlformats.org/officeDocument/2006/relationships/table" Target="../tables/table13.xml"/></Relationships>
</file>

<file path=xl/worksheets/_rels/sheet8.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vmlDrawing" Target="../drawings/vmlDrawing4.vml"/><Relationship Id="rId7" Type="http://schemas.openxmlformats.org/officeDocument/2006/relationships/table" Target="../tables/table18.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table" Target="../tables/table17.xml"/><Relationship Id="rId5" Type="http://schemas.openxmlformats.org/officeDocument/2006/relationships/table" Target="../tables/table16.xml"/><Relationship Id="rId4" Type="http://schemas.openxmlformats.org/officeDocument/2006/relationships/table" Target="../tables/table15.xml"/></Relationships>
</file>

<file path=xl/worksheets/_rels/sheet9.xml.rels><?xml version="1.0" encoding="UTF-8" standalone="yes"?>
<Relationships xmlns="http://schemas.openxmlformats.org/package/2006/relationships"><Relationship Id="rId8" Type="http://schemas.openxmlformats.org/officeDocument/2006/relationships/table" Target="../tables/table23.xml"/><Relationship Id="rId3" Type="http://schemas.openxmlformats.org/officeDocument/2006/relationships/vmlDrawing" Target="../drawings/vmlDrawing5.vml"/><Relationship Id="rId7" Type="http://schemas.openxmlformats.org/officeDocument/2006/relationships/table" Target="../tables/table22.x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table" Target="../tables/table21.xml"/><Relationship Id="rId5" Type="http://schemas.openxmlformats.org/officeDocument/2006/relationships/table" Target="../tables/table20.xml"/><Relationship Id="rId10" Type="http://schemas.openxmlformats.org/officeDocument/2006/relationships/comments" Target="../comments5.xml"/><Relationship Id="rId4" Type="http://schemas.openxmlformats.org/officeDocument/2006/relationships/table" Target="../tables/table19.xml"/><Relationship Id="rId9" Type="http://schemas.openxmlformats.org/officeDocument/2006/relationships/table" Target="../tables/table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48B26-F8B1-4D01-879A-540944DC8FA9}">
  <sheetPr codeName="Sheet1">
    <pageSetUpPr fitToPage="1"/>
  </sheetPr>
  <dimension ref="A1:F49"/>
  <sheetViews>
    <sheetView tabSelected="1" zoomScale="85" zoomScaleNormal="85" workbookViewId="0">
      <pane ySplit="1" topLeftCell="A2" activePane="bottomLeft" state="frozen"/>
      <selection pane="bottomLeft" sqref="A1:E1"/>
    </sheetView>
  </sheetViews>
  <sheetFormatPr defaultColWidth="8.81640625" defaultRowHeight="15"/>
  <cols>
    <col min="1" max="1" width="35.81640625" style="2" customWidth="1"/>
    <col min="2" max="5" width="25.81640625" style="2" customWidth="1"/>
    <col min="6" max="6" width="4.6328125" style="2" customWidth="1"/>
    <col min="7" max="16384" width="8.81640625" style="2"/>
  </cols>
  <sheetData>
    <row r="1" spans="1:6" s="79" customFormat="1" ht="45" customHeight="1">
      <c r="A1" s="390" t="s">
        <v>732</v>
      </c>
      <c r="B1" s="390"/>
      <c r="C1" s="390"/>
      <c r="D1" s="390"/>
      <c r="E1" s="390"/>
      <c r="F1" s="111"/>
    </row>
    <row r="2" spans="1:6" s="79" customFormat="1" ht="15.6">
      <c r="A2" s="397" t="s">
        <v>733</v>
      </c>
      <c r="B2" s="398"/>
      <c r="C2" s="398"/>
      <c r="D2" s="399"/>
      <c r="E2" s="400"/>
      <c r="F2" s="111"/>
    </row>
    <row r="3" spans="1:6" s="79" customFormat="1" ht="15.6">
      <c r="A3" s="376" t="s">
        <v>993</v>
      </c>
      <c r="B3" s="377"/>
      <c r="C3" s="377"/>
      <c r="D3" s="377"/>
      <c r="E3" s="378"/>
      <c r="F3" s="111"/>
    </row>
    <row r="4" spans="1:6" s="79" customFormat="1" ht="15.6">
      <c r="A4" s="376"/>
      <c r="B4" s="377"/>
      <c r="C4" s="377"/>
      <c r="D4" s="377"/>
      <c r="E4" s="378"/>
      <c r="F4" s="111"/>
    </row>
    <row r="5" spans="1:6" s="79" customFormat="1" ht="15.6">
      <c r="A5" s="376"/>
      <c r="B5" s="377"/>
      <c r="C5" s="377"/>
      <c r="D5" s="377"/>
      <c r="E5" s="378"/>
      <c r="F5" s="111"/>
    </row>
    <row r="6" spans="1:6" s="79" customFormat="1" ht="15.6">
      <c r="A6" s="376"/>
      <c r="B6" s="377"/>
      <c r="C6" s="377"/>
      <c r="D6" s="377"/>
      <c r="E6" s="378"/>
      <c r="F6" s="111"/>
    </row>
    <row r="7" spans="1:6" s="79" customFormat="1" ht="15.6">
      <c r="A7" s="248" t="s">
        <v>874</v>
      </c>
      <c r="B7" s="381" t="s">
        <v>916</v>
      </c>
      <c r="C7" s="381"/>
      <c r="D7" s="381"/>
      <c r="E7" s="382"/>
      <c r="F7" s="111"/>
    </row>
    <row r="8" spans="1:6" s="79" customFormat="1" ht="15.6">
      <c r="A8" s="248"/>
      <c r="B8" s="381"/>
      <c r="C8" s="381"/>
      <c r="D8" s="381"/>
      <c r="E8" s="382"/>
      <c r="F8" s="111"/>
    </row>
    <row r="9" spans="1:6" s="79" customFormat="1" ht="15.6">
      <c r="A9" s="248" t="s">
        <v>875</v>
      </c>
      <c r="B9" s="401" t="s">
        <v>918</v>
      </c>
      <c r="C9" s="401"/>
      <c r="D9" s="401"/>
      <c r="E9" s="402"/>
      <c r="F9" s="111"/>
    </row>
    <row r="10" spans="1:6" s="79" customFormat="1" ht="15.6">
      <c r="A10" s="248"/>
      <c r="B10" s="401"/>
      <c r="C10" s="401"/>
      <c r="D10" s="401"/>
      <c r="E10" s="402"/>
      <c r="F10" s="111"/>
    </row>
    <row r="11" spans="1:6" s="79" customFormat="1" ht="16.2">
      <c r="A11" s="248" t="s">
        <v>876</v>
      </c>
      <c r="B11" s="379" t="s">
        <v>902</v>
      </c>
      <c r="C11" s="379"/>
      <c r="D11" s="379"/>
      <c r="E11" s="380"/>
      <c r="F11" s="111"/>
    </row>
    <row r="12" spans="1:6" s="79" customFormat="1" ht="15.6">
      <c r="A12" s="248" t="s">
        <v>879</v>
      </c>
      <c r="B12" s="381" t="s">
        <v>917</v>
      </c>
      <c r="C12" s="381"/>
      <c r="D12" s="381"/>
      <c r="E12" s="382"/>
      <c r="F12" s="111"/>
    </row>
    <row r="13" spans="1:6" s="79" customFormat="1" ht="15.6">
      <c r="A13" s="249"/>
      <c r="B13" s="383"/>
      <c r="C13" s="383"/>
      <c r="D13" s="383"/>
      <c r="E13" s="384"/>
      <c r="F13" s="111"/>
    </row>
    <row r="14" spans="1:6" s="79" customFormat="1" ht="15.6">
      <c r="A14" s="397" t="s">
        <v>734</v>
      </c>
      <c r="B14" s="398"/>
      <c r="C14" s="398"/>
      <c r="D14" s="399"/>
      <c r="E14" s="400"/>
      <c r="F14" s="111"/>
    </row>
    <row r="15" spans="1:6" s="79" customFormat="1" ht="15.6">
      <c r="A15" s="376" t="s">
        <v>988</v>
      </c>
      <c r="B15" s="377"/>
      <c r="C15" s="377"/>
      <c r="D15" s="377"/>
      <c r="E15" s="378"/>
      <c r="F15" s="111"/>
    </row>
    <row r="16" spans="1:6" s="79" customFormat="1" ht="15.6">
      <c r="A16" s="262" t="s">
        <v>877</v>
      </c>
      <c r="B16" s="403" t="s">
        <v>903</v>
      </c>
      <c r="C16" s="403"/>
      <c r="D16" s="403"/>
      <c r="E16" s="404"/>
      <c r="F16" s="111"/>
    </row>
    <row r="17" spans="1:6" s="79" customFormat="1" ht="15.6">
      <c r="A17" s="250" t="s">
        <v>878</v>
      </c>
      <c r="B17" s="379" t="s">
        <v>919</v>
      </c>
      <c r="C17" s="379"/>
      <c r="D17" s="379"/>
      <c r="E17" s="380"/>
      <c r="F17" s="111"/>
    </row>
    <row r="18" spans="1:6" s="79" customFormat="1" ht="15.6">
      <c r="A18" s="251"/>
      <c r="B18" s="385"/>
      <c r="C18" s="385"/>
      <c r="D18" s="385"/>
      <c r="E18" s="386"/>
      <c r="F18" s="111"/>
    </row>
    <row r="19" spans="1:6" s="35" customFormat="1" ht="15.6">
      <c r="A19" s="372" t="s">
        <v>851</v>
      </c>
      <c r="B19" s="373"/>
      <c r="C19" s="373"/>
      <c r="D19" s="374"/>
      <c r="E19" s="375"/>
      <c r="F19" s="110"/>
    </row>
    <row r="20" spans="1:6" s="35" customFormat="1" ht="15.6">
      <c r="A20" s="391" t="s">
        <v>994</v>
      </c>
      <c r="B20" s="392"/>
      <c r="C20" s="392"/>
      <c r="D20" s="392"/>
      <c r="E20" s="393"/>
      <c r="F20" s="110"/>
    </row>
    <row r="21" spans="1:6" s="35" customFormat="1" ht="15.6">
      <c r="A21" s="394"/>
      <c r="B21" s="395"/>
      <c r="C21" s="395"/>
      <c r="D21" s="395"/>
      <c r="E21" s="396"/>
      <c r="F21" s="110"/>
    </row>
    <row r="22" spans="1:6" s="35" customFormat="1" ht="15.6">
      <c r="A22" s="372" t="s">
        <v>852</v>
      </c>
      <c r="B22" s="373"/>
      <c r="C22" s="373"/>
      <c r="D22" s="374"/>
      <c r="E22" s="375"/>
      <c r="F22" s="110"/>
    </row>
    <row r="23" spans="1:6" s="35" customFormat="1" ht="27" customHeight="1">
      <c r="A23" s="387" t="s">
        <v>995</v>
      </c>
      <c r="B23" s="388"/>
      <c r="C23" s="388"/>
      <c r="D23" s="388"/>
      <c r="E23" s="389"/>
      <c r="F23" s="110"/>
    </row>
    <row r="24" spans="1:6" s="35" customFormat="1" ht="27" customHeight="1">
      <c r="A24" s="387"/>
      <c r="B24" s="388"/>
      <c r="C24" s="388"/>
      <c r="D24" s="388"/>
      <c r="E24" s="389"/>
      <c r="F24" s="110"/>
    </row>
    <row r="25" spans="1:6" s="35" customFormat="1" ht="27" customHeight="1">
      <c r="A25" s="387"/>
      <c r="B25" s="388"/>
      <c r="C25" s="388"/>
      <c r="D25" s="388"/>
      <c r="E25" s="389"/>
      <c r="F25" s="110"/>
    </row>
    <row r="26" spans="1:6" s="35" customFormat="1" ht="27" customHeight="1">
      <c r="A26" s="372" t="s">
        <v>853</v>
      </c>
      <c r="B26" s="373"/>
      <c r="C26" s="373"/>
      <c r="D26" s="374"/>
      <c r="E26" s="375"/>
      <c r="F26" s="110"/>
    </row>
    <row r="27" spans="1:6" s="35" customFormat="1" ht="27" customHeight="1">
      <c r="A27" s="376" t="s">
        <v>996</v>
      </c>
      <c r="B27" s="377"/>
      <c r="C27" s="377"/>
      <c r="D27" s="377"/>
      <c r="E27" s="378"/>
      <c r="F27" s="110"/>
    </row>
    <row r="28" spans="1:6" s="35" customFormat="1" ht="27" customHeight="1">
      <c r="A28" s="376"/>
      <c r="B28" s="377"/>
      <c r="C28" s="377"/>
      <c r="D28" s="377"/>
      <c r="E28" s="378"/>
      <c r="F28" s="110"/>
    </row>
    <row r="29" spans="1:6" s="35" customFormat="1" ht="27" customHeight="1">
      <c r="A29" s="372" t="s">
        <v>706</v>
      </c>
      <c r="B29" s="373"/>
      <c r="C29" s="373"/>
      <c r="D29" s="374"/>
      <c r="E29" s="375"/>
      <c r="F29" s="40"/>
    </row>
    <row r="30" spans="1:6" s="35" customFormat="1" ht="27" customHeight="1">
      <c r="A30" s="391" t="s">
        <v>991</v>
      </c>
      <c r="B30" s="392"/>
      <c r="C30" s="392"/>
      <c r="D30" s="392"/>
      <c r="E30" s="393"/>
      <c r="F30" s="40"/>
    </row>
    <row r="31" spans="1:6" s="35" customFormat="1" ht="27" customHeight="1">
      <c r="A31" s="394"/>
      <c r="B31" s="395"/>
      <c r="C31" s="395"/>
      <c r="D31" s="395"/>
      <c r="E31" s="396"/>
      <c r="F31" s="40"/>
    </row>
    <row r="32" spans="1:6" s="35" customFormat="1" ht="27" customHeight="1">
      <c r="A32" s="372" t="s">
        <v>807</v>
      </c>
      <c r="B32" s="373"/>
      <c r="C32" s="373"/>
      <c r="D32" s="374"/>
      <c r="E32" s="375"/>
      <c r="F32" s="40"/>
    </row>
    <row r="33" spans="1:6" s="35" customFormat="1" ht="27" customHeight="1">
      <c r="A33" s="376" t="s">
        <v>808</v>
      </c>
      <c r="B33" s="377"/>
      <c r="C33" s="377"/>
      <c r="D33" s="377"/>
      <c r="E33" s="378"/>
      <c r="F33" s="40"/>
    </row>
    <row r="34" spans="1:6" s="35" customFormat="1" ht="27" customHeight="1">
      <c r="A34" s="372" t="s">
        <v>735</v>
      </c>
      <c r="B34" s="373"/>
      <c r="C34" s="373"/>
      <c r="D34" s="374"/>
      <c r="E34" s="375"/>
      <c r="F34" s="40"/>
    </row>
    <row r="35" spans="1:6" s="35" customFormat="1" ht="27" customHeight="1">
      <c r="A35" s="376" t="s">
        <v>743</v>
      </c>
      <c r="B35" s="377"/>
      <c r="C35" s="377"/>
      <c r="D35" s="377"/>
      <c r="E35" s="378"/>
      <c r="F35" s="40"/>
    </row>
    <row r="36" spans="1:6" s="35" customFormat="1" ht="27" customHeight="1">
      <c r="A36" s="372" t="s">
        <v>812</v>
      </c>
      <c r="B36" s="373"/>
      <c r="C36" s="373"/>
      <c r="D36" s="374"/>
      <c r="E36" s="375"/>
      <c r="F36" s="40"/>
    </row>
    <row r="37" spans="1:6" s="35" customFormat="1" ht="27" customHeight="1">
      <c r="A37" s="376" t="s">
        <v>997</v>
      </c>
      <c r="B37" s="377"/>
      <c r="C37" s="377"/>
      <c r="D37" s="377"/>
      <c r="E37" s="378"/>
      <c r="F37" s="40"/>
    </row>
    <row r="38" spans="1:6" s="35" customFormat="1" ht="27" customHeight="1">
      <c r="A38" s="376"/>
      <c r="B38" s="377"/>
      <c r="C38" s="377"/>
      <c r="D38" s="377"/>
      <c r="E38" s="378"/>
      <c r="F38" s="40"/>
    </row>
    <row r="39" spans="1:6" s="35" customFormat="1" ht="27" customHeight="1">
      <c r="A39" s="372" t="s">
        <v>981</v>
      </c>
      <c r="B39" s="373"/>
      <c r="C39" s="373"/>
      <c r="D39" s="374"/>
      <c r="E39" s="375"/>
      <c r="F39" s="110"/>
    </row>
    <row r="40" spans="1:6" s="35" customFormat="1" ht="27" customHeight="1">
      <c r="A40" s="376" t="s">
        <v>905</v>
      </c>
      <c r="B40" s="377"/>
      <c r="C40" s="377"/>
      <c r="D40" s="377"/>
      <c r="E40" s="378"/>
      <c r="F40" s="110"/>
    </row>
    <row r="41" spans="1:6" ht="27" customHeight="1">
      <c r="A41" s="118"/>
      <c r="B41" s="117"/>
      <c r="C41" s="117"/>
      <c r="D41" s="117"/>
      <c r="E41" s="117"/>
      <c r="F41" s="1"/>
    </row>
    <row r="42" spans="1:6" ht="27" customHeight="1">
      <c r="A42" s="1"/>
      <c r="B42" s="1"/>
      <c r="C42" s="1"/>
      <c r="D42" s="1"/>
      <c r="E42" s="1"/>
      <c r="F42" s="1"/>
    </row>
    <row r="43" spans="1:6" ht="27" customHeight="1">
      <c r="A43" s="1"/>
      <c r="B43" s="1"/>
      <c r="C43" s="1"/>
      <c r="D43" s="1"/>
      <c r="E43" s="1"/>
      <c r="F43" s="1"/>
    </row>
    <row r="44" spans="1:6" ht="27" customHeight="1">
      <c r="A44" s="1"/>
      <c r="B44" s="1"/>
      <c r="C44" s="1"/>
      <c r="D44" s="1"/>
      <c r="E44" s="1"/>
      <c r="F44" s="1"/>
    </row>
    <row r="45" spans="1:6" ht="27" customHeight="1">
      <c r="A45" s="1"/>
      <c r="B45" s="1"/>
      <c r="C45" s="1"/>
      <c r="D45" s="1"/>
      <c r="E45" s="1"/>
      <c r="F45" s="1"/>
    </row>
    <row r="46" spans="1:6" ht="27" customHeight="1">
      <c r="A46" s="1"/>
      <c r="B46" s="1"/>
      <c r="C46" s="1"/>
      <c r="D46" s="1"/>
      <c r="E46" s="1"/>
      <c r="F46" s="1"/>
    </row>
    <row r="47" spans="1:6" ht="27" customHeight="1">
      <c r="A47" s="1"/>
      <c r="B47" s="1"/>
      <c r="C47" s="1"/>
      <c r="D47" s="1"/>
      <c r="E47" s="1"/>
      <c r="F47" s="1"/>
    </row>
    <row r="48" spans="1:6" ht="27" customHeight="1">
      <c r="A48" s="1"/>
      <c r="B48" s="1"/>
      <c r="C48" s="1"/>
      <c r="D48" s="1"/>
      <c r="E48" s="1"/>
      <c r="F48" s="1"/>
    </row>
    <row r="49" ht="27" customHeight="1"/>
  </sheetData>
  <sheetProtection algorithmName="SHA-512" hashValue="vyGNf40PbQNbvx+5Uk3sQxwakcOziIyZkolwJvdwdxD82vHiLl0USNsL6h88fte7iDt8Vo4JKgxGyHXoZbcLsg==" saltValue="UQyrhTFDSI3jQTTNqgVZsw==" spinCount="100000" sheet="1" objects="1" scenarios="1"/>
  <mergeCells count="27">
    <mergeCell ref="A1:E1"/>
    <mergeCell ref="A35:E35"/>
    <mergeCell ref="A36:E36"/>
    <mergeCell ref="A34:E34"/>
    <mergeCell ref="A37:E38"/>
    <mergeCell ref="A27:E28"/>
    <mergeCell ref="A22:E22"/>
    <mergeCell ref="A29:E29"/>
    <mergeCell ref="A20:E21"/>
    <mergeCell ref="A2:E2"/>
    <mergeCell ref="A3:E6"/>
    <mergeCell ref="B7:E8"/>
    <mergeCell ref="B9:E10"/>
    <mergeCell ref="A30:E31"/>
    <mergeCell ref="B16:E16"/>
    <mergeCell ref="A14:E14"/>
    <mergeCell ref="A39:E39"/>
    <mergeCell ref="A40:E40"/>
    <mergeCell ref="A32:E32"/>
    <mergeCell ref="A33:E33"/>
    <mergeCell ref="B11:E11"/>
    <mergeCell ref="B12:E13"/>
    <mergeCell ref="A15:E15"/>
    <mergeCell ref="B17:E18"/>
    <mergeCell ref="A26:E26"/>
    <mergeCell ref="A19:E19"/>
    <mergeCell ref="A23:E25"/>
  </mergeCells>
  <hyperlinks>
    <hyperlink ref="A26:E26" location="Almanac!A3" display="Almanac" xr:uid="{05F9FE7B-93B0-4976-BBED-53225C65F0A9}"/>
    <hyperlink ref="A22:E22" location="Accountability!A5" display="Accountability" xr:uid="{0285BF33-2471-45C0-B295-7C78E9A80353}"/>
    <hyperlink ref="A19:E19" location="'Academic Space Model'!A2" display="Academic Space Model" xr:uid="{2B77A84B-A27A-49E6-8085-5EA7B543059C}"/>
    <hyperlink ref="A34:E34" location="Input!A3" display="Input" xr:uid="{8077B6E7-DE4B-4CF4-BEC0-843A3EB9840B}"/>
    <hyperlink ref="A23:E25" r:id="rId1" display="Provides a summary of the research expenditures by discipline and by method of funding for Health-Related Institutions, Lamar and Texas State Technical Colleges, and Texas Public Universities published in the Texas Higher Education Accountability System. http://www.txhigheredaccountability.org/AcctPublic/" xr:uid="{2FE76632-154B-4A05-9156-A0D8B51FA95E}"/>
    <hyperlink ref="A32:E32" location="'Healthcare Research'!A3" display="Healthcare Research " xr:uid="{7D1D69FF-8C31-485C-A7AB-7373B6310F50}"/>
    <hyperlink ref="A29:E29" location="Definitions!A3" display="Definitions" xr:uid="{A8FD6536-80A0-494E-8FFF-7510733944F1}"/>
    <hyperlink ref="A36:E36" location="'FTSE | FTFE'!A5" display="FTSE | FTFE" xr:uid="{D3C6CEBD-5CCF-46D5-990A-DB8798963783}"/>
    <hyperlink ref="A16" location="'Restricted Research'!A1" display="Restricted Research:" xr:uid="{54F8B3EB-13A3-4E57-B11E-D2C08082C4C2}"/>
    <hyperlink ref="A7" location="'Research Expenditures'!A1" display="Research Expenditures:" xr:uid="{ACAE0D10-6B06-4FE4-9422-98A9E5B65811}"/>
    <hyperlink ref="A9" location="'Research Exp (Summary)'!A5" display="Research Exp (Summary):" xr:uid="{FD53F937-C2DF-43D3-8B1F-3B5F7C021C0A}"/>
    <hyperlink ref="A11" location="'Research Exp (Discipline)'!A5" display="Research Exp (Discipline):" xr:uid="{EE31B727-066C-4C9D-98EF-239C4E01E30D}"/>
    <hyperlink ref="A12" location="'Research Exp (by Inst Type)'!A1" display="Research Exp (by Inst Type):" xr:uid="{C2CA698C-E7B0-4E69-95C7-50E4DC87CFA0}"/>
    <hyperlink ref="A39:E39" location="'Contact Information'!A1" display="Campus Point of Contacts" xr:uid="{BA0F53A3-B4D6-4765-8101-E6735E897487}"/>
    <hyperlink ref="A17" location="'Restricted Research List'!A1" display="Restricted Research List:" xr:uid="{0EB302D3-C3D2-46FC-816D-FC1420346D68}"/>
  </hyperlinks>
  <printOptions horizontalCentered="1"/>
  <pageMargins left="0.5" right="0.5" top="0.75" bottom="0.5" header="0.3" footer="0.3"/>
  <pageSetup scale="50" orientation="portrait" r:id="rId2"/>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86AEA-60EB-498B-917A-081377D7B7E6}">
  <sheetPr codeName="Sheet4">
    <tabColor theme="5"/>
    <pageSetUpPr fitToPage="1"/>
  </sheetPr>
  <dimension ref="A1:H132"/>
  <sheetViews>
    <sheetView zoomScaleNormal="100" workbookViewId="0">
      <pane ySplit="1" topLeftCell="A2" activePane="bottomLeft" state="frozen"/>
      <selection pane="bottomLeft" sqref="A1:D1"/>
    </sheetView>
  </sheetViews>
  <sheetFormatPr defaultColWidth="8.81640625" defaultRowHeight="15" outlineLevelCol="1"/>
  <cols>
    <col min="1" max="1" width="62.54296875" style="35" customWidth="1"/>
    <col min="2" max="2" width="9.453125" style="37" hidden="1" customWidth="1" outlineLevel="1"/>
    <col min="3" max="3" width="20.453125" style="35" hidden="1" customWidth="1" outlineLevel="1"/>
    <col min="4" max="4" width="25.54296875" style="35" customWidth="1" collapsed="1"/>
    <col min="5" max="5" width="25.54296875" style="35" customWidth="1"/>
    <col min="6" max="6" width="5.81640625" style="35" customWidth="1"/>
    <col min="7" max="7" width="12.81640625" style="35" customWidth="1"/>
    <col min="8" max="8" width="10.6328125" style="35" customWidth="1"/>
    <col min="9" max="9" width="10.81640625" style="35" customWidth="1"/>
    <col min="10" max="10" width="8.81640625" style="35" customWidth="1"/>
    <col min="11" max="16384" width="8.81640625" style="35"/>
  </cols>
  <sheetData>
    <row r="1" spans="1:6" ht="39.9" customHeight="1">
      <c r="A1" s="390" t="s">
        <v>848</v>
      </c>
      <c r="B1" s="390"/>
      <c r="C1" s="390"/>
      <c r="D1" s="390"/>
      <c r="E1" s="40"/>
    </row>
    <row r="2" spans="1:6" ht="33" customHeight="1">
      <c r="A2" s="439" t="s">
        <v>645</v>
      </c>
      <c r="B2" s="440"/>
      <c r="C2" s="440"/>
      <c r="D2" s="440"/>
      <c r="E2" s="440"/>
      <c r="F2" s="40"/>
    </row>
    <row r="3" spans="1:6" ht="30" customHeight="1">
      <c r="A3" s="438">
        <f>Hidden!$A$4</f>
        <v>45412</v>
      </c>
      <c r="B3" s="438"/>
      <c r="C3" s="438"/>
      <c r="D3" s="438"/>
      <c r="E3" s="438"/>
      <c r="F3" s="40"/>
    </row>
    <row r="4" spans="1:6" ht="27" customHeight="1">
      <c r="A4" s="40"/>
      <c r="B4" s="161"/>
      <c r="C4" s="40"/>
      <c r="D4" s="40"/>
      <c r="E4" s="40"/>
      <c r="F4" s="40"/>
    </row>
    <row r="5" spans="1:6" ht="76.2" customHeight="1">
      <c r="A5" s="35" t="s">
        <v>1</v>
      </c>
      <c r="B5" s="37" t="s">
        <v>889</v>
      </c>
      <c r="C5" s="37" t="s">
        <v>2</v>
      </c>
      <c r="D5" s="335" t="s">
        <v>968</v>
      </c>
      <c r="E5" s="335" t="s">
        <v>973</v>
      </c>
      <c r="F5" s="40"/>
    </row>
    <row r="6" spans="1:6" ht="27" customHeight="1">
      <c r="A6" s="35" t="s">
        <v>385</v>
      </c>
      <c r="B6" s="37">
        <f>VLOOKUP(AlmanacHRI[[#This Row],[Institution Name]],InputResearch[],3,FALSE)</f>
        <v>390</v>
      </c>
      <c r="C6" s="103">
        <v>30</v>
      </c>
      <c r="D6" s="104">
        <f>SUMIFS(InputResearch[R &amp; D Expenses],InputResearch[Institution Name],AlmanacHRI[[#This Row],[Institution Name]])+SUMIFS(InputResearch[R &amp; D Exp Not meeting narrow def],InputResearch[Institution Name],AlmanacHRI[[#This Row],[Institution Name]])</f>
        <v>544068173</v>
      </c>
      <c r="E6" s="104">
        <f>IFERROR(ROUND(AlmanacHRI[[#This Row],[Research 
Expenditures¹]]/VLOOKUP(AlmanacHRI[[#This Row],[FICE]],FTSEHRI[[FICE]:[T/TT Fall
Faculty FTE⁴]],9,FALSE),2),"N/A")</f>
        <v>1377387.78</v>
      </c>
      <c r="F6" s="40"/>
    </row>
    <row r="7" spans="1:6" ht="27" customHeight="1">
      <c r="A7" s="35" t="s">
        <v>386</v>
      </c>
      <c r="B7" s="37">
        <f>VLOOKUP(AlmanacHRI[[#This Row],[Institution Name]],InputResearch[],3,FALSE)</f>
        <v>400</v>
      </c>
      <c r="C7" s="103">
        <v>104952</v>
      </c>
      <c r="D7" s="104">
        <f>SUMIFS(InputResearch[R &amp; D Expenses],InputResearch[Institution Name],AlmanacHRI[[#This Row],[Institution Name]])+SUMIFS(InputResearch[R &amp; D Exp Not meeting narrow def],InputResearch[Institution Name],AlmanacHRI[[#This Row],[Institution Name]])</f>
        <v>148305353</v>
      </c>
      <c r="E7" s="104">
        <f>IFERROR(ROUND(AlmanacHRI[[#This Row],[Research 
Expenditures¹]]/VLOOKUP(AlmanacHRI[[#This Row],[FICE]],FTSEHRI[[FICE]:[T/TT Fall
Faculty FTE⁴]],9,FALSE),2),"N/A")</f>
        <v>650462.06999999995</v>
      </c>
      <c r="F7" s="40"/>
    </row>
    <row r="8" spans="1:6" ht="27" customHeight="1">
      <c r="A8" s="35" t="s">
        <v>387</v>
      </c>
      <c r="B8" s="37">
        <f>VLOOKUP(AlmanacHRI[[#This Row],[Institution Name]],InputResearch[],3,FALSE)</f>
        <v>410</v>
      </c>
      <c r="C8" s="103">
        <v>11618</v>
      </c>
      <c r="D8" s="104">
        <f>SUMIFS(InputResearch[R &amp; D Expenses],InputResearch[Institution Name],AlmanacHRI[[#This Row],[Institution Name]])+SUMIFS(InputResearch[R &amp; D Exp Not meeting narrow def],InputResearch[Institution Name],AlmanacHRI[[#This Row],[Institution Name]])</f>
        <v>274818772</v>
      </c>
      <c r="E8" s="104">
        <f>IFERROR(ROUND(AlmanacHRI[[#This Row],[Research 
Expenditures¹]]/VLOOKUP(AlmanacHRI[[#This Row],[FICE]],FTSEHRI[[FICE]:[T/TT Fall
Faculty FTE⁴]],9,FALSE),2),"N/A")</f>
        <v>840424.38</v>
      </c>
      <c r="F8" s="40"/>
    </row>
    <row r="9" spans="1:6" ht="27" customHeight="1">
      <c r="A9" s="35" t="s">
        <v>388</v>
      </c>
      <c r="B9" s="37">
        <f>VLOOKUP(AlmanacHRI[[#This Row],[Institution Name]],InputResearch[],3,FALSE)</f>
        <v>420</v>
      </c>
      <c r="C9" s="103">
        <v>40</v>
      </c>
      <c r="D9" s="104">
        <f>SUMIFS(InputResearch[R &amp; D Expenses],InputResearch[Institution Name],AlmanacHRI[[#This Row],[Institution Name]])+SUMIFS(InputResearch[R &amp; D Exp Not meeting narrow def],InputResearch[Institution Name],AlmanacHRI[[#This Row],[Institution Name]])</f>
        <v>199544008</v>
      </c>
      <c r="E9" s="104">
        <f>IFERROR(ROUND(AlmanacHRI[[#This Row],[Research 
Expenditures¹]]/VLOOKUP(AlmanacHRI[[#This Row],[FICE]],FTSEHRI[[FICE]:[T/TT Fall
Faculty FTE⁴]],9,FALSE),2),"N/A")</f>
        <v>676420.37</v>
      </c>
      <c r="F9" s="40"/>
    </row>
    <row r="10" spans="1:6" ht="27" customHeight="1">
      <c r="A10" s="35" t="s">
        <v>389</v>
      </c>
      <c r="B10" s="37">
        <f>VLOOKUP(AlmanacHRI[[#This Row],[Institution Name]],InputResearch[],3,FALSE)</f>
        <v>430</v>
      </c>
      <c r="C10" s="103">
        <v>25554</v>
      </c>
      <c r="D10" s="104">
        <f>SUMIFS(InputResearch[R &amp; D Expenses],InputResearch[Institution Name],AlmanacHRI[[#This Row],[Institution Name]])+SUMIFS(InputResearch[R &amp; D Exp Not meeting narrow def],InputResearch[Institution Name],AlmanacHRI[[#This Row],[Institution Name]])</f>
        <v>1007618780</v>
      </c>
      <c r="E10" s="104">
        <f>IFERROR(ROUND(AlmanacHRI[[#This Row],[Research 
Expenditures¹]]/VLOOKUP(AlmanacHRI[[#This Row],[FICE]],FTSEHRI[[FICE]:[T/TT Fall
Faculty FTE⁴]],9,FALSE),2),"N/A")</f>
        <v>1719485.97</v>
      </c>
      <c r="F10" s="40"/>
    </row>
    <row r="11" spans="1:6" ht="27" customHeight="1">
      <c r="A11" s="35" t="s">
        <v>390</v>
      </c>
      <c r="B11" s="37">
        <f>VLOOKUP(AlmanacHRI[[#This Row],[Institution Name]],InputResearch[],3,FALSE)</f>
        <v>440</v>
      </c>
      <c r="C11" s="103">
        <v>42439</v>
      </c>
      <c r="D11" s="104">
        <f>SUMIFS(InputResearch[R &amp; D Expenses],InputResearch[Institution Name],AlmanacHRI[[#This Row],[Institution Name]])+SUMIFS(InputResearch[R &amp; D Exp Not meeting narrow def],InputResearch[Institution Name],AlmanacHRI[[#This Row],[Institution Name]])</f>
        <v>26873975</v>
      </c>
      <c r="E11" s="332" t="str">
        <f>IFERROR(ROUND(AlmanacHRI[[#This Row],[Research 
Expenditures¹]]/VLOOKUP(AlmanacHRI[[#This Row],[FICE]],FTSEHRI[[FICE]:[T/TT Fall
Faculty FTE⁴]],9,FALSE),2),"N/A")</f>
        <v>N/A</v>
      </c>
      <c r="F11" s="40"/>
    </row>
    <row r="12" spans="1:6" ht="27" customHeight="1">
      <c r="A12" s="35" t="s">
        <v>391</v>
      </c>
      <c r="B12" s="37">
        <f>VLOOKUP(AlmanacHRI[[#This Row],[Institution Name]],InputResearch[],3,FALSE)</f>
        <v>450</v>
      </c>
      <c r="C12" s="103">
        <v>89</v>
      </c>
      <c r="D12" s="104">
        <f>SUMIFS(InputResearch[R &amp; D Expenses],InputResearch[Institution Name],AlmanacHRI[[#This Row],[Institution Name]])+SUMIFS(InputResearch[R &amp; D Exp Not meeting narrow def],InputResearch[Institution Name],AlmanacHRI[[#This Row],[Institution Name]])</f>
        <v>101477011</v>
      </c>
      <c r="E12" s="104">
        <f>IFERROR(ROUND(AlmanacHRI[[#This Row],[Research 
Expenditures¹]]/VLOOKUP(AlmanacHRI[[#This Row],[FICE]],FTSEHRI[[FICE]:[T/TT Fall
Faculty FTE⁴]],9,FALSE),2),"N/A")</f>
        <v>551505.49</v>
      </c>
      <c r="F12" s="40"/>
    </row>
    <row r="13" spans="1:6" ht="27" customHeight="1">
      <c r="A13" s="35" t="s">
        <v>392</v>
      </c>
      <c r="B13" s="37">
        <f>VLOOKUP(AlmanacHRI[[#This Row],[Institution Name]],InputResearch[],3,FALSE)</f>
        <v>461</v>
      </c>
      <c r="C13" s="103">
        <v>130</v>
      </c>
      <c r="D13" s="104">
        <f>SUMIFS(InputResearch[R &amp; D Expenses],InputResearch[Institution Name],AlmanacHRI[[#This Row],[Institution Name]])+SUMIFS(InputResearch[R &amp; D Exp Not meeting narrow def],InputResearch[Institution Name],AlmanacHRI[[#This Row],[Institution Name]])</f>
        <v>70498523</v>
      </c>
      <c r="E13" s="104">
        <f>IFERROR(ROUND(AlmanacHRI[[#This Row],[Research 
Expenditures¹]]/VLOOKUP(AlmanacHRI[[#This Row],[FICE]],FTSEHRI[[FICE]:[T/TT Fall
Faculty FTE⁴]],9,FALSE),2),"N/A")</f>
        <v>1258902.2</v>
      </c>
      <c r="F13" s="40"/>
    </row>
    <row r="14" spans="1:6" ht="27" customHeight="1">
      <c r="A14" s="35" t="s">
        <v>393</v>
      </c>
      <c r="B14" s="37">
        <f>VLOOKUP(AlmanacHRI[[#This Row],[Institution Name]],InputResearch[],3,FALSE)</f>
        <v>470</v>
      </c>
      <c r="C14" s="103">
        <v>412</v>
      </c>
      <c r="D14" s="104">
        <f>SUMIFS(InputResearch[R &amp; D Expenses],InputResearch[Institution Name],AlmanacHRI[[#This Row],[Institution Name]])+SUMIFS(InputResearch[R &amp; D Exp Not meeting narrow def],InputResearch[Institution Name],AlmanacHRI[[#This Row],[Institution Name]])</f>
        <v>41279347</v>
      </c>
      <c r="E14" s="104">
        <f>IFERROR(ROUND(AlmanacHRI[[#This Row],[Research 
Expenditures¹]]/VLOOKUP(AlmanacHRI[[#This Row],[FICE]],FTSEHRI[[FICE]:[T/TT Fall
Faculty FTE⁴]],9,FALSE),2),"N/A")</f>
        <v>319994.94</v>
      </c>
      <c r="F14" s="40"/>
    </row>
    <row r="15" spans="1:6" ht="27" customHeight="1">
      <c r="A15" s="35" t="s">
        <v>394</v>
      </c>
      <c r="B15" s="37">
        <f>VLOOKUP(AlmanacHRI[[#This Row],[Institution Name]],InputResearch[],3,FALSE)</f>
        <v>480</v>
      </c>
      <c r="C15" s="103">
        <v>862</v>
      </c>
      <c r="D15" s="104">
        <f>SUMIFS(InputResearch[R &amp; D Expenses],InputResearch[Institution Name],AlmanacHRI[[#This Row],[Institution Name]])+SUMIFS(InputResearch[R &amp; D Exp Not meeting narrow def],InputResearch[Institution Name],AlmanacHRI[[#This Row],[Institution Name]])</f>
        <v>11692499</v>
      </c>
      <c r="E15" s="104">
        <f>IFERROR(ROUND(AlmanacHRI[[#This Row],[Research 
Expenditures¹]]/VLOOKUP(AlmanacHRI[[#This Row],[FICE]],FTSEHRI[[FICE]:[T/TT Fall
Faculty FTE⁴]],9,FALSE),2),"N/A")</f>
        <v>649583.28</v>
      </c>
      <c r="F15" s="40"/>
    </row>
    <row r="16" spans="1:6" ht="27" customHeight="1">
      <c r="A16" s="35" t="s">
        <v>839</v>
      </c>
      <c r="B16" s="37">
        <f>VLOOKUP(AlmanacHRI[[#This Row],[Institution Name]],InputResearch[],3,FALSE)</f>
        <v>500</v>
      </c>
      <c r="C16" s="103">
        <v>203599</v>
      </c>
      <c r="D16" s="104">
        <f>SUMIFS(InputResearch[R &amp; D Expenses],InputResearch[Institution Name],AlmanacHRI[[#This Row],[Institution Name]])+SUMIFS(InputResearch[R &amp; D Exp Not meeting narrow def],InputResearch[Institution Name],AlmanacHRI[[#This Row],[Institution Name]])</f>
        <v>2402974</v>
      </c>
      <c r="E16" s="104">
        <f>IFERROR(ROUND(AlmanacHRI[[#This Row],[Research 
Expenditures¹]]/VLOOKUP(AlmanacHRI[[#This Row],[FICE]],FTSEHRI[[FICE]:[T/TT Fall
Faculty FTE⁴]],9,FALSE),2),"N/A")</f>
        <v>68656.399999999994</v>
      </c>
      <c r="F16" s="40"/>
    </row>
    <row r="17" spans="1:8" ht="27" customHeight="1">
      <c r="A17" s="35" t="s">
        <v>837</v>
      </c>
      <c r="B17" s="37">
        <f>VLOOKUP(AlmanacHRI[[#This Row],[Institution Name]],InputResearch[],3,FALSE)</f>
        <v>510</v>
      </c>
      <c r="C17" s="103">
        <v>203658</v>
      </c>
      <c r="D17" s="104">
        <f>SUMIFS(InputResearch[R &amp; D Expenses],InputResearch[Institution Name],AlmanacHRI[[#This Row],[Institution Name]])+SUMIFS(InputResearch[R &amp; D Exp Not meeting narrow def],InputResearch[Institution Name],AlmanacHRI[[#This Row],[Institution Name]])</f>
        <v>40901858</v>
      </c>
      <c r="E17" s="104">
        <f>IFERROR(ROUND(AlmanacHRI[[#This Row],[Research 
Expenditures¹]]/VLOOKUP(AlmanacHRI[[#This Row],[FICE]],FTSEHRI[[FICE]:[T/TT Fall
Faculty FTE⁴]],9,FALSE),2),"N/A")</f>
        <v>1022546.45</v>
      </c>
      <c r="F17" s="40"/>
    </row>
    <row r="18" spans="1:8" ht="27" customHeight="1">
      <c r="A18" s="35" t="s">
        <v>838</v>
      </c>
      <c r="B18" s="37">
        <f>VLOOKUP(AlmanacHRI[[#This Row],[Institution Name]],InputResearch[],3,FALSE)</f>
        <v>520</v>
      </c>
      <c r="C18" s="103">
        <v>203652</v>
      </c>
      <c r="D18" s="104">
        <f>SUMIFS(InputResearch[R &amp; D Expenses],InputResearch[Institution Name],AlmanacHRI[[#This Row],[Institution Name]])+SUMIFS(InputResearch[R &amp; D Exp Not meeting narrow def],InputResearch[Institution Name],AlmanacHRI[[#This Row],[Institution Name]])</f>
        <v>1078416</v>
      </c>
      <c r="E18" s="332" t="str">
        <f>IFERROR(ROUND(AlmanacHRI[[#This Row],[Research 
Expenditures¹]]/VLOOKUP(AlmanacHRI[[#This Row],[FICE]],FTSEHRI[[FICE]:[T/TT Fall
Faculty FTE⁴]],9,FALSE),2),"N/A")</f>
        <v>N/A</v>
      </c>
      <c r="F18" s="40"/>
    </row>
    <row r="19" spans="1:8" ht="27" customHeight="1">
      <c r="A19" s="35" t="s">
        <v>398</v>
      </c>
      <c r="B19" s="37">
        <f>VLOOKUP(AlmanacHRI[[#This Row],[Institution Name]],InputResearch[],3,FALSE)</f>
        <v>530</v>
      </c>
      <c r="C19" s="103">
        <v>103606</v>
      </c>
      <c r="D19" s="104">
        <f>SUMIFS(InputResearch[R &amp; D Expenses],InputResearch[Institution Name],AlmanacHRI[[#This Row],[Institution Name]])+SUMIFS(InputResearch[R &amp; D Exp Not meeting narrow def],InputResearch[Institution Name],AlmanacHRI[[#This Row],[Institution Name]])</f>
        <v>547948</v>
      </c>
      <c r="E19" s="104">
        <f>IFERROR(ROUND(AlmanacHRI[[#This Row],[Research 
Expenditures¹]]/VLOOKUP(AlmanacHRI[[#This Row],[FICE]],FTSEHRI[[FICE]:[T/TT Fall
Faculty FTE⁴]],9,FALSE),2),"N/A")</f>
        <v>30441.56</v>
      </c>
      <c r="F19" s="40"/>
    </row>
    <row r="20" spans="1:8" ht="27" customHeight="1">
      <c r="C20" s="103"/>
      <c r="D20" s="272">
        <f>SUBTOTAL(109,AlmanacHRI[Research 
Expenditures¹])</f>
        <v>2471107637</v>
      </c>
      <c r="E20" s="272">
        <f>SUBTOTAL(109,AlmanacHRI[Research 
Expenditures 
Per FTE Faculty²])</f>
        <v>9165810.8900000025</v>
      </c>
      <c r="F20" s="40"/>
    </row>
    <row r="21" spans="1:8">
      <c r="A21" s="486" t="s">
        <v>967</v>
      </c>
      <c r="B21" s="486"/>
      <c r="C21" s="486"/>
      <c r="D21" s="486"/>
      <c r="E21" s="486"/>
      <c r="F21" s="40"/>
    </row>
    <row r="22" spans="1:8">
      <c r="A22" s="486"/>
      <c r="B22" s="486"/>
      <c r="C22" s="486"/>
      <c r="D22" s="486"/>
      <c r="E22" s="486"/>
      <c r="F22" s="40"/>
    </row>
    <row r="23" spans="1:8">
      <c r="A23" s="485" t="s">
        <v>978</v>
      </c>
      <c r="B23" s="485"/>
      <c r="C23" s="485"/>
      <c r="D23" s="485"/>
      <c r="E23" s="485"/>
      <c r="F23" s="40"/>
    </row>
    <row r="24" spans="1:8" ht="27" customHeight="1">
      <c r="A24" s="40"/>
      <c r="B24" s="161"/>
      <c r="C24" s="40"/>
      <c r="D24" s="40"/>
      <c r="E24" s="40"/>
      <c r="F24" s="40"/>
    </row>
    <row r="25" spans="1:8" ht="33" customHeight="1">
      <c r="A25" s="439" t="s">
        <v>992</v>
      </c>
      <c r="B25" s="440"/>
      <c r="C25" s="440"/>
      <c r="D25" s="440"/>
      <c r="E25" s="440"/>
      <c r="F25" s="40"/>
    </row>
    <row r="26" spans="1:8" ht="30" customHeight="1">
      <c r="A26" s="438">
        <f>Hidden!$A$4</f>
        <v>45412</v>
      </c>
      <c r="B26" s="438"/>
      <c r="C26" s="438"/>
      <c r="D26" s="438"/>
      <c r="E26" s="438"/>
      <c r="F26" s="40"/>
    </row>
    <row r="27" spans="1:8" ht="27" customHeight="1">
      <c r="A27" s="40"/>
      <c r="B27" s="161"/>
      <c r="C27" s="40"/>
      <c r="D27" s="40"/>
      <c r="E27" s="40"/>
      <c r="F27" s="40"/>
    </row>
    <row r="28" spans="1:8" ht="72" customHeight="1">
      <c r="A28" s="35" t="s">
        <v>1</v>
      </c>
      <c r="B28" s="37" t="s">
        <v>889</v>
      </c>
      <c r="C28" s="37" t="s">
        <v>2</v>
      </c>
      <c r="D28" s="335" t="s">
        <v>968</v>
      </c>
      <c r="E28" s="335" t="s">
        <v>973</v>
      </c>
      <c r="F28" s="40"/>
    </row>
    <row r="29" spans="1:8" ht="27" customHeight="1">
      <c r="A29" s="35" t="s">
        <v>63</v>
      </c>
      <c r="B29" s="37">
        <f>VLOOKUP(AlmanacTSTC[[#This Row],[Institution Name]],InputResearch[],3,FALSE)</f>
        <v>490</v>
      </c>
      <c r="C29" s="103">
        <v>36273</v>
      </c>
      <c r="D29" s="104">
        <f>SUMIFS(InputResearch[R &amp; D Expenses],InputResearch[Institution Name],AlmanacTSTC[[#This Row],[Institution Name]])+SUMIFS(InputResearch[R &amp; D Exp Not meeting narrow def],InputResearch[Institution Name],AlmanacTSTC[[#This Row],[Institution Name]])</f>
        <v>0</v>
      </c>
      <c r="E29" s="104">
        <f>IFERROR(ROUND(AlmanacTSTC[[#This Row],[Research 
Expenditures¹]]/VLOOKUP(AlmanacTSTC[[#This Row],[FICE]],FTSETSTC[[FICE]:[Fall 
Faculty FTE]],8,FALSE),2),"N/A")</f>
        <v>0</v>
      </c>
      <c r="F29" s="40"/>
      <c r="H29" s="105"/>
    </row>
    <row r="30" spans="1:8" ht="27" customHeight="1">
      <c r="A30" s="35" t="s">
        <v>64</v>
      </c>
      <c r="B30" s="37">
        <f>VLOOKUP(AlmanacTSTC[[#This Row],[Institution Name]],InputResearch[],3,FALSE)</f>
        <v>500</v>
      </c>
      <c r="C30" s="103">
        <v>23582</v>
      </c>
      <c r="D30" s="104">
        <f>SUMIFS(InputResearch[R &amp; D Expenses],InputResearch[Institution Name],AlmanacTSTC[[#This Row],[Institution Name]])+SUMIFS(InputResearch[R &amp; D Exp Not meeting narrow def],InputResearch[Institution Name],AlmanacTSTC[[#This Row],[Institution Name]])</f>
        <v>0</v>
      </c>
      <c r="E30" s="104">
        <f>IFERROR(ROUND(AlmanacTSTC[[#This Row],[Research 
Expenditures¹]]/VLOOKUP(AlmanacTSTC[[#This Row],[FICE]],FTSETSTC[[FICE]:[Fall 
Faculty FTE]],8,FALSE),2),"N/A")</f>
        <v>0</v>
      </c>
      <c r="F30" s="40"/>
      <c r="H30" s="105"/>
    </row>
    <row r="31" spans="1:8" ht="27" customHeight="1">
      <c r="A31" s="35" t="s">
        <v>65</v>
      </c>
      <c r="B31" s="37">
        <f>VLOOKUP(AlmanacTSTC[[#This Row],[Institution Name]],InputResearch[],3,FALSE)</f>
        <v>510</v>
      </c>
      <c r="C31" s="103">
        <v>23485</v>
      </c>
      <c r="D31" s="104">
        <f>SUMIFS(InputResearch[R &amp; D Expenses],InputResearch[Institution Name],AlmanacTSTC[[#This Row],[Institution Name]])+SUMIFS(InputResearch[R &amp; D Exp Not meeting narrow def],InputResearch[Institution Name],AlmanacTSTC[[#This Row],[Institution Name]])</f>
        <v>0</v>
      </c>
      <c r="E31" s="104">
        <f>IFERROR(ROUND(AlmanacTSTC[[#This Row],[Research 
Expenditures¹]]/VLOOKUP(AlmanacTSTC[[#This Row],[FICE]],FTSETSTC[[FICE]:[Fall 
Faculty FTE]],8,FALSE),2),"N/A")</f>
        <v>0</v>
      </c>
      <c r="F31" s="40"/>
      <c r="H31" s="105"/>
    </row>
    <row r="32" spans="1:8" ht="27" customHeight="1">
      <c r="A32" s="35" t="s">
        <v>66</v>
      </c>
      <c r="B32" s="37">
        <f>VLOOKUP(AlmanacTSTC[[#This Row],[Institution Name]],InputResearch[],3,FALSE)</f>
        <v>520</v>
      </c>
      <c r="C32" s="103">
        <v>9225</v>
      </c>
      <c r="D32" s="104">
        <f>SUMIFS(InputResearch[R &amp; D Expenses],InputResearch[Institution Name],AlmanacTSTC[[#This Row],[Institution Name]])+SUMIFS(InputResearch[R &amp; D Exp Not meeting narrow def],InputResearch[Institution Name],AlmanacTSTC[[#This Row],[Institution Name]])</f>
        <v>5994</v>
      </c>
      <c r="E32" s="104">
        <f>IFERROR(ROUND(AlmanacTSTC[[#This Row],[Research 
Expenditures¹]]/VLOOKUP(AlmanacTSTC[[#This Row],[FICE]],FTSETSTC[[FICE]:[Fall 
Faculty FTE]],8,FALSE),2),"N/A")</f>
        <v>46.47</v>
      </c>
      <c r="F32" s="40"/>
      <c r="H32" s="105"/>
    </row>
    <row r="33" spans="1:8" ht="27" customHeight="1">
      <c r="A33" s="35" t="s">
        <v>67</v>
      </c>
      <c r="B33" s="37">
        <f>VLOOKUP(AlmanacTSTC[[#This Row],[Institution Name]],InputResearch[],3,FALSE)</f>
        <v>530</v>
      </c>
      <c r="C33" s="103">
        <v>9932</v>
      </c>
      <c r="D33" s="104">
        <f>SUMIFS(InputResearch[R &amp; D Expenses],InputResearch[Institution Name],AlmanacTSTC[[#This Row],[Institution Name]])+SUMIFS(InputResearch[R &amp; D Exp Not meeting narrow def],InputResearch[Institution Name],AlmanacTSTC[[#This Row],[Institution Name]])</f>
        <v>0</v>
      </c>
      <c r="E33" s="104">
        <f>IFERROR(ROUND(AlmanacTSTC[[#This Row],[Research 
Expenditures¹]]/VLOOKUP(AlmanacTSTC[[#This Row],[FICE]],FTSETSTC[[FICE]:[Fall 
Faculty FTE]],8,FALSE),2),"N/A")</f>
        <v>0</v>
      </c>
      <c r="F33" s="40"/>
      <c r="H33" s="105"/>
    </row>
    <row r="34" spans="1:8" ht="27" customHeight="1">
      <c r="A34" s="35" t="s">
        <v>68</v>
      </c>
      <c r="B34" s="37">
        <f>VLOOKUP(AlmanacTSTC[[#This Row],[Institution Name]],InputResearch[],3,FALSE)</f>
        <v>540</v>
      </c>
      <c r="C34" s="103">
        <v>33965</v>
      </c>
      <c r="D34" s="104">
        <f>SUMIFS(InputResearch[R &amp; D Expenses],InputResearch[Institution Name],AlmanacTSTC[[#This Row],[Institution Name]])+SUMIFS(InputResearch[R &amp; D Exp Not meeting narrow def],InputResearch[Institution Name],AlmanacTSTC[[#This Row],[Institution Name]])</f>
        <v>0</v>
      </c>
      <c r="E34" s="104">
        <f>IFERROR(ROUND(AlmanacTSTC[[#This Row],[Research 
Expenditures¹]]/VLOOKUP(AlmanacTSTC[[#This Row],[FICE]],FTSETSTC[[FICE]:[Fall 
Faculty FTE]],8,FALSE),2),"N/A")</f>
        <v>0</v>
      </c>
      <c r="F34" s="40"/>
      <c r="H34" s="105"/>
    </row>
    <row r="35" spans="1:8" ht="27" customHeight="1">
      <c r="A35" s="35" t="s">
        <v>69</v>
      </c>
      <c r="B35" s="37">
        <f>VLOOKUP(AlmanacTSTC[[#This Row],[Institution Name]],InputResearch[],3,FALSE)</f>
        <v>550</v>
      </c>
      <c r="C35" s="103">
        <v>3634</v>
      </c>
      <c r="D35" s="104">
        <f>SUMIFS(InputResearch[R &amp; D Expenses],InputResearch[Institution Name],AlmanacTSTC[[#This Row],[Institution Name]])+SUMIFS(InputResearch[R &amp; D Exp Not meeting narrow def],InputResearch[Institution Name],AlmanacTSTC[[#This Row],[Institution Name]])</f>
        <v>21198</v>
      </c>
      <c r="E35" s="104">
        <f>IFERROR(ROUND(AlmanacTSTC[[#This Row],[Research 
Expenditures¹]]/VLOOKUP(AlmanacTSTC[[#This Row],[FICE]],FTSETSTC[[FICE]:[Fall 
Faculty FTE]],8,FALSE),2),"N/A")</f>
        <v>124.69</v>
      </c>
      <c r="F35" s="40"/>
      <c r="H35" s="105"/>
    </row>
    <row r="36" spans="1:8" ht="27" customHeight="1">
      <c r="A36" s="35" t="s">
        <v>70</v>
      </c>
      <c r="B36" s="37">
        <f>VLOOKUP(AlmanacTSTC[[#This Row],[Institution Name]],InputResearch[],3,FALSE)</f>
        <v>552</v>
      </c>
      <c r="C36" s="103">
        <v>133965</v>
      </c>
      <c r="D36" s="104">
        <f>SUMIFS(InputResearch[R &amp; D Expenses],InputResearch[Institution Name],AlmanacTSTC[[#This Row],[Institution Name]])+SUMIFS(InputResearch[R &amp; D Exp Not meeting narrow def],InputResearch[Institution Name],AlmanacTSTC[[#This Row],[Institution Name]])</f>
        <v>0</v>
      </c>
      <c r="E36" s="104">
        <f>IFERROR(ROUND(AlmanacTSTC[[#This Row],[Research 
Expenditures¹]]/VLOOKUP(AlmanacTSTC[[#This Row],[FICE]],FTSETSTC[[FICE]:[Fall 
Faculty FTE]],8,FALSE),2),"N/A")</f>
        <v>0</v>
      </c>
      <c r="F36" s="40"/>
      <c r="H36" s="105"/>
    </row>
    <row r="37" spans="1:8" ht="27" customHeight="1">
      <c r="A37" s="35" t="s">
        <v>71</v>
      </c>
      <c r="B37" s="37">
        <f>VLOOKUP(AlmanacTSTC[[#This Row],[Institution Name]],InputResearch[],3,FALSE)</f>
        <v>553</v>
      </c>
      <c r="C37" s="103">
        <v>203634</v>
      </c>
      <c r="D37" s="104">
        <f>SUMIFS(InputResearch[R &amp; D Expenses],InputResearch[Institution Name],AlmanacTSTC[[#This Row],[Institution Name]])+SUMIFS(InputResearch[R &amp; D Exp Not meeting narrow def],InputResearch[Institution Name],AlmanacTSTC[[#This Row],[Institution Name]])</f>
        <v>0</v>
      </c>
      <c r="E37" s="104">
        <f>IFERROR(ROUND(AlmanacTSTC[[#This Row],[Research 
Expenditures¹]]/VLOOKUP(AlmanacTSTC[[#This Row],[FICE]],FTSETSTC[[FICE]:[Fall 
Faculty FTE]],8,FALSE),2),"N/A")</f>
        <v>0</v>
      </c>
      <c r="F37" s="40"/>
      <c r="H37" s="105"/>
    </row>
    <row r="38" spans="1:8" ht="27" customHeight="1">
      <c r="C38" s="103"/>
      <c r="D38" s="272">
        <f>SUBTOTAL(109,AlmanacTSTC[Research 
Expenditures¹])</f>
        <v>27192</v>
      </c>
      <c r="E38" s="272">
        <f>SUBTOTAL(109,AlmanacTSTC[Research 
Expenditures 
Per FTE Faculty²])</f>
        <v>171.16</v>
      </c>
      <c r="F38" s="40"/>
    </row>
    <row r="39" spans="1:8">
      <c r="A39" s="486" t="s">
        <v>967</v>
      </c>
      <c r="B39" s="486"/>
      <c r="C39" s="486"/>
      <c r="D39" s="486"/>
      <c r="E39" s="486"/>
      <c r="F39" s="40"/>
    </row>
    <row r="40" spans="1:8">
      <c r="A40" s="486"/>
      <c r="B40" s="486"/>
      <c r="C40" s="486"/>
      <c r="D40" s="486"/>
      <c r="E40" s="486"/>
      <c r="F40" s="40"/>
    </row>
    <row r="41" spans="1:8">
      <c r="A41" s="485" t="s">
        <v>979</v>
      </c>
      <c r="B41" s="485"/>
      <c r="C41" s="485"/>
      <c r="D41" s="485"/>
      <c r="E41" s="485"/>
      <c r="F41" s="40"/>
    </row>
    <row r="42" spans="1:8" ht="27" customHeight="1">
      <c r="A42" s="40"/>
      <c r="B42" s="161"/>
      <c r="C42" s="40"/>
      <c r="D42" s="40"/>
      <c r="E42" s="40"/>
      <c r="F42" s="40"/>
    </row>
    <row r="43" spans="1:8" ht="33" customHeight="1">
      <c r="A43" s="439" t="s">
        <v>0</v>
      </c>
      <c r="B43" s="440"/>
      <c r="C43" s="440"/>
      <c r="D43" s="440"/>
      <c r="E43" s="440"/>
      <c r="F43" s="40"/>
    </row>
    <row r="44" spans="1:8" ht="30" customHeight="1">
      <c r="A44" s="438">
        <f>Hidden!$A$4</f>
        <v>45412</v>
      </c>
      <c r="B44" s="438"/>
      <c r="C44" s="438"/>
      <c r="D44" s="438"/>
      <c r="E44" s="438"/>
      <c r="F44" s="40"/>
    </row>
    <row r="45" spans="1:8" ht="27" customHeight="1">
      <c r="A45" s="40"/>
      <c r="B45" s="161"/>
      <c r="C45" s="40"/>
      <c r="D45" s="40"/>
      <c r="E45" s="40"/>
      <c r="F45" s="40"/>
    </row>
    <row r="46" spans="1:8" ht="72" customHeight="1">
      <c r="A46" s="35" t="s">
        <v>1</v>
      </c>
      <c r="B46" s="37" t="s">
        <v>889</v>
      </c>
      <c r="C46" s="37" t="s">
        <v>2</v>
      </c>
      <c r="D46" s="335" t="s">
        <v>968</v>
      </c>
      <c r="E46" s="335" t="s">
        <v>973</v>
      </c>
      <c r="F46" s="40"/>
    </row>
    <row r="47" spans="1:8" ht="27" customHeight="1">
      <c r="A47" s="35" t="s">
        <v>20</v>
      </c>
      <c r="B47" s="37">
        <f>VLOOKUP(AlmanacUNIV[[#This Row],[Institution Name]],InputResearch[],3,FALSE)</f>
        <v>40</v>
      </c>
      <c r="C47" s="103">
        <v>3656</v>
      </c>
      <c r="D47" s="104">
        <f>SUMIFS(InputResearch[R &amp; D Expenses],InputResearch[Institution Name],AlmanacUNIV[[#This Row],[Institution Name]])+SUMIFS(InputResearch[R &amp; D Exp Not meeting narrow def],InputResearch[Institution Name],AlmanacUNIV[[#This Row],[Institution Name]])</f>
        <v>112969711</v>
      </c>
      <c r="E47" s="104">
        <f>IFERROR(ROUND(AlmanacUNIV[[#This Row],[Research 
Expenditures¹]]/VLOOKUP(AlmanacUNIV[[#This Row],[FICE]],FTSEUNIV[[FICE]:[T/TT Fall
Faculty FTE³]],9,FALSE),2),"N/A")</f>
        <v>50979.11</v>
      </c>
      <c r="F47" s="40"/>
      <c r="G47" s="338"/>
      <c r="H47" s="337"/>
    </row>
    <row r="48" spans="1:8" ht="27" customHeight="1">
      <c r="A48" s="35" t="s">
        <v>714</v>
      </c>
      <c r="B48" s="37">
        <f>VLOOKUP(AlmanacUNIV[[#This Row],[Institution Name]],InputResearch[],3,FALSE)</f>
        <v>51</v>
      </c>
      <c r="C48" s="103">
        <v>3658</v>
      </c>
      <c r="D48" s="104">
        <f>SUMIFS(InputResearch[R &amp; D Expenses],InputResearch[Institution Name],AlmanacUNIV[[#This Row],[Institution Name]])+SUMIFS(InputResearch[R &amp; D Exp Not meeting narrow def],InputResearch[Institution Name],AlmanacUNIV[[#This Row],[Institution Name]])</f>
        <v>809739316</v>
      </c>
      <c r="E48" s="104">
        <f>IFERROR(ROUND(AlmanacUNIV[[#This Row],[Research 
Expenditures¹]]/VLOOKUP(AlmanacUNIV[[#This Row],[FICE]],FTSEUNIV[[FICE]:[T/TT Fall
Faculty FTE³]],9,FALSE),2),"N/A")</f>
        <v>70818.55</v>
      </c>
      <c r="F48" s="40"/>
      <c r="G48" s="338"/>
      <c r="H48" s="105"/>
    </row>
    <row r="49" spans="1:8" ht="27" customHeight="1">
      <c r="A49" s="35" t="s">
        <v>21</v>
      </c>
      <c r="B49" s="37">
        <f>VLOOKUP(AlmanacUNIV[[#This Row],[Institution Name]],InputResearch[],3,FALSE)</f>
        <v>60</v>
      </c>
      <c r="C49" s="103">
        <v>9741</v>
      </c>
      <c r="D49" s="104">
        <f>SUMIFS(InputResearch[R &amp; D Expenses],InputResearch[Institution Name],AlmanacUNIV[[#This Row],[Institution Name]])+SUMIFS(InputResearch[R &amp; D Exp Not meeting narrow def],InputResearch[Institution Name],AlmanacUNIV[[#This Row],[Institution Name]])</f>
        <v>114572375</v>
      </c>
      <c r="E49" s="104">
        <f>IFERROR(ROUND(AlmanacUNIV[[#This Row],[Research 
Expenditures¹]]/VLOOKUP(AlmanacUNIV[[#This Row],[FICE]],FTSEUNIV[[FICE]:[T/TT Fall
Faculty FTE³]],9,FALSE),2),"N/A")</f>
        <v>56859.74</v>
      </c>
      <c r="F49" s="40"/>
      <c r="G49" s="338"/>
      <c r="H49" s="105"/>
    </row>
    <row r="50" spans="1:8" ht="27" customHeight="1">
      <c r="A50" s="35" t="s">
        <v>22</v>
      </c>
      <c r="B50" s="37">
        <f>VLOOKUP(AlmanacUNIV[[#This Row],[Institution Name]],InputResearch[],3,FALSE)</f>
        <v>70</v>
      </c>
      <c r="C50" s="103">
        <v>3661</v>
      </c>
      <c r="D50" s="104">
        <f>SUMIFS(InputResearch[R &amp; D Expenses],InputResearch[Institution Name],AlmanacUNIV[[#This Row],[Institution Name]])+SUMIFS(InputResearch[R &amp; D Exp Not meeting narrow def],InputResearch[Institution Name],AlmanacUNIV[[#This Row],[Institution Name]])</f>
        <v>116964966</v>
      </c>
      <c r="E50" s="104">
        <f>IFERROR(ROUND(AlmanacUNIV[[#This Row],[Research 
Expenditures¹]]/VLOOKUP(AlmanacUNIV[[#This Row],[FICE]],FTSEUNIV[[FICE]:[T/TT Fall
Faculty FTE³]],9,FALSE),2),"N/A")</f>
        <v>49165.599999999999</v>
      </c>
      <c r="F50" s="40"/>
      <c r="G50" s="338"/>
      <c r="H50" s="105"/>
    </row>
    <row r="51" spans="1:8" ht="27" customHeight="1">
      <c r="A51" s="35" t="s">
        <v>715</v>
      </c>
      <c r="B51" s="37">
        <f>VLOOKUP(AlmanacUNIV[[#This Row],[Institution Name]],InputResearch[],3,FALSE)</f>
        <v>91</v>
      </c>
      <c r="C51" s="103">
        <v>3599</v>
      </c>
      <c r="D51" s="104">
        <f>SUMIFS(InputResearch[R &amp; D Expenses],InputResearch[Institution Name],AlmanacUNIV[[#This Row],[Institution Name]])+SUMIFS(InputResearch[R &amp; D Exp Not meeting narrow def],InputResearch[Institution Name],AlmanacUNIV[[#This Row],[Institution Name]])</f>
        <v>57764191</v>
      </c>
      <c r="E51" s="104">
        <f>IFERROR(ROUND(AlmanacUNIV[[#This Row],[Research 
Expenditures¹]]/VLOOKUP(AlmanacUNIV[[#This Row],[FICE]],FTSEUNIV[[FICE]:[T/TT Fall
Faculty FTE³]],9,FALSE),2),"N/A")</f>
        <v>23781.06</v>
      </c>
      <c r="F51" s="40"/>
      <c r="G51" s="338"/>
      <c r="H51" s="105"/>
    </row>
    <row r="52" spans="1:8" ht="27" customHeight="1">
      <c r="A52" s="35" t="s">
        <v>23</v>
      </c>
      <c r="B52" s="37">
        <f>VLOOKUP(AlmanacUNIV[[#This Row],[Institution Name]],InputResearch[],3,FALSE)</f>
        <v>100</v>
      </c>
      <c r="C52" s="103">
        <v>9930</v>
      </c>
      <c r="D52" s="104">
        <f>SUMIFS(InputResearch[R &amp; D Expenses],InputResearch[Institution Name],AlmanacUNIV[[#This Row],[Institution Name]])+SUMIFS(InputResearch[R &amp; D Exp Not meeting narrow def],InputResearch[Institution Name],AlmanacUNIV[[#This Row],[Institution Name]])</f>
        <v>3339375</v>
      </c>
      <c r="E52" s="104">
        <f>IFERROR(ROUND(AlmanacUNIV[[#This Row],[Research 
Expenditures¹]]/VLOOKUP(AlmanacUNIV[[#This Row],[FICE]],FTSEUNIV[[FICE]:[T/TT Fall
Faculty FTE³]],9,FALSE),2),"N/A")</f>
        <v>8718.99</v>
      </c>
      <c r="F52" s="40"/>
      <c r="G52" s="338"/>
      <c r="H52" s="105"/>
    </row>
    <row r="53" spans="1:8" ht="27" customHeight="1">
      <c r="A53" s="35" t="s">
        <v>24</v>
      </c>
      <c r="B53" s="37">
        <f>VLOOKUP(AlmanacUNIV[[#This Row],[Institution Name]],InputResearch[],3,FALSE)</f>
        <v>110</v>
      </c>
      <c r="C53" s="103">
        <v>10115</v>
      </c>
      <c r="D53" s="104">
        <f>SUMIFS(InputResearch[R &amp; D Expenses],InputResearch[Institution Name],AlmanacUNIV[[#This Row],[Institution Name]])+SUMIFS(InputResearch[R &amp; D Exp Not meeting narrow def],InputResearch[Institution Name],AlmanacUNIV[[#This Row],[Institution Name]])</f>
        <v>134882766</v>
      </c>
      <c r="E53" s="104">
        <f>IFERROR(ROUND(AlmanacUNIV[[#This Row],[Research 
Expenditures¹]]/VLOOKUP(AlmanacUNIV[[#This Row],[FICE]],FTSEUNIV[[FICE]:[T/TT Fall
Faculty FTE³]],9,FALSE),2),"N/A")</f>
        <v>57740.91</v>
      </c>
      <c r="F53" s="40"/>
      <c r="G53" s="338"/>
      <c r="H53" s="105"/>
    </row>
    <row r="54" spans="1:8" ht="27" customHeight="1">
      <c r="A54" s="35" t="s">
        <v>25</v>
      </c>
      <c r="B54" s="37">
        <f>VLOOKUP(AlmanacUNIV[[#This Row],[Institution Name]],InputResearch[],3,FALSE)</f>
        <v>120</v>
      </c>
      <c r="C54" s="103">
        <v>11163</v>
      </c>
      <c r="D54" s="104">
        <f>SUMIFS(InputResearch[R &amp; D Expenses],InputResearch[Institution Name],AlmanacUNIV[[#This Row],[Institution Name]])+SUMIFS(InputResearch[R &amp; D Exp Not meeting narrow def],InputResearch[Institution Name],AlmanacUNIV[[#This Row],[Institution Name]])</f>
        <v>3881427</v>
      </c>
      <c r="E54" s="104">
        <f>IFERROR(ROUND(AlmanacUNIV[[#This Row],[Research 
Expenditures¹]]/VLOOKUP(AlmanacUNIV[[#This Row],[FICE]],FTSEUNIV[[FICE]:[T/TT Fall
Faculty FTE³]],9,FALSE),2),"N/A")</f>
        <v>4670.79</v>
      </c>
      <c r="F54" s="40"/>
      <c r="G54" s="338"/>
      <c r="H54" s="105"/>
    </row>
    <row r="55" spans="1:8" ht="27" customHeight="1">
      <c r="A55" s="35" t="s">
        <v>27</v>
      </c>
      <c r="B55" s="37">
        <f>VLOOKUP(AlmanacUNIV[[#This Row],[Institution Name]],InputResearch[],3,FALSE)</f>
        <v>130</v>
      </c>
      <c r="C55" s="103">
        <v>3632</v>
      </c>
      <c r="D55" s="104">
        <v>850086538</v>
      </c>
      <c r="E55" s="104">
        <f>IFERROR(ROUND(AlmanacUNIV[[#This Row],[Research 
Expenditures¹]]/VLOOKUP(AlmanacUNIV[[#This Row],[FICE]],FTSEUNIV[[FICE]:[T/TT Fall
Faculty FTE³]],9,FALSE),2),"N/A")</f>
        <v>149927.07999999999</v>
      </c>
      <c r="F55" s="40"/>
      <c r="G55" s="338"/>
      <c r="H55" s="105"/>
    </row>
    <row r="56" spans="1:8" ht="27" customHeight="1">
      <c r="A56" s="35" t="s">
        <v>28</v>
      </c>
      <c r="B56" s="37">
        <f>VLOOKUP(AlmanacUNIV[[#This Row],[Institution Name]],InputResearch[],3,FALSE)</f>
        <v>140</v>
      </c>
      <c r="C56" s="103">
        <v>10298</v>
      </c>
      <c r="D56" s="104">
        <f>SUMIFS(InputResearch[R &amp; D Expenses],InputResearch[Institution Name],AlmanacUNIV[[#This Row],[Institution Name]])+SUMIFS(InputResearch[R &amp; D Exp Not meeting narrow def],InputResearch[Institution Name],AlmanacUNIV[[#This Row],[Institution Name]])</f>
        <v>13541023</v>
      </c>
      <c r="E56" s="104">
        <f>IFERROR(ROUND(AlmanacUNIV[[#This Row],[Research 
Expenditures¹]]/VLOOKUP(AlmanacUNIV[[#This Row],[FICE]],FTSEUNIV[[FICE]:[T/TT Fall
Faculty FTE³]],9,FALSE),2),"N/A")</f>
        <v>90273.49</v>
      </c>
      <c r="F56" s="40"/>
      <c r="G56" s="338"/>
      <c r="H56" s="105"/>
    </row>
    <row r="57" spans="1:8" ht="27" customHeight="1">
      <c r="A57" s="35" t="s">
        <v>29</v>
      </c>
      <c r="B57" s="37">
        <f>VLOOKUP(AlmanacUNIV[[#This Row],[Institution Name]],InputResearch[],3,FALSE)</f>
        <v>150</v>
      </c>
      <c r="C57" s="103">
        <v>3630</v>
      </c>
      <c r="D57" s="104">
        <f>SUMIFS(InputResearch[R &amp; D Expenses],InputResearch[Institution Name],AlmanacUNIV[[#This Row],[Institution Name]])+SUMIFS(InputResearch[R &amp; D Exp Not meeting narrow def],InputResearch[Institution Name],AlmanacUNIV[[#This Row],[Institution Name]])</f>
        <v>21394771</v>
      </c>
      <c r="E57" s="104">
        <f>IFERROR(ROUND(AlmanacUNIV[[#This Row],[Research 
Expenditures¹]]/VLOOKUP(AlmanacUNIV[[#This Row],[FICE]],FTSEUNIV[[FICE]:[T/TT Fall
Faculty FTE³]],9,FALSE),2),"N/A")</f>
        <v>24877.64</v>
      </c>
      <c r="F57" s="40"/>
      <c r="G57" s="338"/>
      <c r="H57" s="105"/>
    </row>
    <row r="58" spans="1:8" ht="27" customHeight="1">
      <c r="A58" s="35" t="s">
        <v>30</v>
      </c>
      <c r="B58" s="37">
        <f>VLOOKUP(AlmanacUNIV[[#This Row],[Institution Name]],InputResearch[],3,FALSE)</f>
        <v>160</v>
      </c>
      <c r="C58" s="103">
        <v>3631</v>
      </c>
      <c r="D58" s="104">
        <f>SUMIFS(InputResearch[R &amp; D Expenses],InputResearch[Institution Name],AlmanacUNIV[[#This Row],[Institution Name]])+SUMIFS(InputResearch[R &amp; D Exp Not meeting narrow def],InputResearch[Institution Name],AlmanacUNIV[[#This Row],[Institution Name]])</f>
        <v>20375286</v>
      </c>
      <c r="E58" s="104">
        <f>IFERROR(ROUND(AlmanacUNIV[[#This Row],[Research 
Expenditures¹]]/VLOOKUP(AlmanacUNIV[[#This Row],[FICE]],FTSEUNIV[[FICE]:[T/TT Fall
Faculty FTE³]],9,FALSE),2),"N/A")</f>
        <v>12631.92</v>
      </c>
      <c r="F58" s="40"/>
      <c r="G58" s="338"/>
      <c r="H58" s="105"/>
    </row>
    <row r="59" spans="1:8" ht="27" customHeight="1">
      <c r="A59" s="35" t="s">
        <v>31</v>
      </c>
      <c r="B59" s="37">
        <f>VLOOKUP(AlmanacUNIV[[#This Row],[Institution Name]],InputResearch[],3,FALSE)</f>
        <v>170</v>
      </c>
      <c r="C59" s="103">
        <v>11161</v>
      </c>
      <c r="D59" s="104">
        <f>SUMIFS(InputResearch[R &amp; D Expenses],InputResearch[Institution Name],AlmanacUNIV[[#This Row],[Institution Name]])+SUMIFS(InputResearch[R &amp; D Exp Not meeting narrow def],InputResearch[Institution Name],AlmanacUNIV[[#This Row],[Institution Name]])</f>
        <v>33636340</v>
      </c>
      <c r="E59" s="104">
        <f>IFERROR(ROUND(AlmanacUNIV[[#This Row],[Research 
Expenditures¹]]/VLOOKUP(AlmanacUNIV[[#This Row],[FICE]],FTSEUNIV[[FICE]:[T/TT Fall
Faculty FTE³]],9,FALSE),2),"N/A")</f>
        <v>28897.200000000001</v>
      </c>
      <c r="F59" s="40"/>
      <c r="G59" s="338"/>
      <c r="H59" s="105"/>
    </row>
    <row r="60" spans="1:8" ht="27" customHeight="1">
      <c r="A60" s="35" t="s">
        <v>32</v>
      </c>
      <c r="B60" s="37">
        <f>VLOOKUP(AlmanacUNIV[[#This Row],[Institution Name]],InputResearch[],3,FALSE)</f>
        <v>180</v>
      </c>
      <c r="C60" s="103">
        <v>3639</v>
      </c>
      <c r="D60" s="104">
        <f>SUMIFS(InputResearch[R &amp; D Expenses],InputResearch[Institution Name],AlmanacUNIV[[#This Row],[Institution Name]])+SUMIFS(InputResearch[R &amp; D Exp Not meeting narrow def],InputResearch[Institution Name],AlmanacUNIV[[#This Row],[Institution Name]])</f>
        <v>20760760</v>
      </c>
      <c r="E60" s="104">
        <f>IFERROR(ROUND(AlmanacUNIV[[#This Row],[Research 
Expenditures¹]]/VLOOKUP(AlmanacUNIV[[#This Row],[FICE]],FTSEUNIV[[FICE]:[T/TT Fall
Faculty FTE³]],9,FALSE),2),"N/A")</f>
        <v>18771.03</v>
      </c>
      <c r="F60" s="40"/>
      <c r="G60" s="338"/>
      <c r="H60" s="105"/>
    </row>
    <row r="61" spans="1:8" ht="27" customHeight="1">
      <c r="A61" s="35" t="s">
        <v>33</v>
      </c>
      <c r="B61" s="37">
        <f>VLOOKUP(AlmanacUNIV[[#This Row],[Institution Name]],InputResearch[],3,FALSE)</f>
        <v>190</v>
      </c>
      <c r="C61" s="103">
        <v>9651</v>
      </c>
      <c r="D61" s="104">
        <f>SUMIFS(InputResearch[R &amp; D Expenses],InputResearch[Institution Name],AlmanacUNIV[[#This Row],[Institution Name]])+SUMIFS(InputResearch[R &amp; D Exp Not meeting narrow def],InputResearch[Institution Name],AlmanacUNIV[[#This Row],[Institution Name]])</f>
        <v>4302986</v>
      </c>
      <c r="E61" s="104">
        <f>IFERROR(ROUND(AlmanacUNIV[[#This Row],[Research 
Expenditures¹]]/VLOOKUP(AlmanacUNIV[[#This Row],[FICE]],FTSEUNIV[[FICE]:[T/TT Fall
Faculty FTE³]],9,FALSE),2),"N/A")</f>
        <v>9116.5</v>
      </c>
      <c r="F61" s="40"/>
      <c r="G61" s="338"/>
      <c r="H61" s="105"/>
    </row>
    <row r="62" spans="1:8" ht="27" customHeight="1">
      <c r="A62" s="35" t="s">
        <v>34</v>
      </c>
      <c r="B62" s="37">
        <f>VLOOKUP(AlmanacUNIV[[#This Row],[Institution Name]],InputResearch[],3,FALSE)</f>
        <v>200</v>
      </c>
      <c r="C62" s="103">
        <v>3665</v>
      </c>
      <c r="D62" s="104">
        <f>SUMIFS(InputResearch[R &amp; D Expenses],InputResearch[Institution Name],AlmanacUNIV[[#This Row],[Institution Name]])+SUMIFS(InputResearch[R &amp; D Exp Not meeting narrow def],InputResearch[Institution Name],AlmanacUNIV[[#This Row],[Institution Name]])</f>
        <v>8899507</v>
      </c>
      <c r="E62" s="104">
        <f>IFERROR(ROUND(AlmanacUNIV[[#This Row],[Research 
Expenditures¹]]/VLOOKUP(AlmanacUNIV[[#This Row],[FICE]],FTSEUNIV[[FICE]:[T/TT Fall
Faculty FTE³]],9,FALSE),2),"N/A")</f>
        <v>8998.49</v>
      </c>
      <c r="F62" s="40"/>
      <c r="G62" s="338"/>
      <c r="H62" s="105"/>
    </row>
    <row r="63" spans="1:8" ht="27" customHeight="1">
      <c r="A63" s="35" t="s">
        <v>35</v>
      </c>
      <c r="B63" s="37">
        <f>VLOOKUP(AlmanacUNIV[[#This Row],[Institution Name]],InputResearch[],3,FALSE)</f>
        <v>210</v>
      </c>
      <c r="C63" s="103">
        <v>3565</v>
      </c>
      <c r="D63" s="104">
        <f>SUMIFS(InputResearch[R &amp; D Expenses],InputResearch[Institution Name],AlmanacUNIV[[#This Row],[Institution Name]])+SUMIFS(InputResearch[R &amp; D Exp Not meeting narrow def],InputResearch[Institution Name],AlmanacUNIV[[#This Row],[Institution Name]])</f>
        <v>5836544</v>
      </c>
      <c r="E63" s="104">
        <f>IFERROR(ROUND(AlmanacUNIV[[#This Row],[Research 
Expenditures¹]]/VLOOKUP(AlmanacUNIV[[#This Row],[FICE]],FTSEUNIV[[FICE]:[T/TT Fall
Faculty FTE³]],9,FALSE),2),"N/A")</f>
        <v>5705.32</v>
      </c>
      <c r="F63" s="40"/>
      <c r="G63" s="338"/>
      <c r="H63" s="105"/>
    </row>
    <row r="64" spans="1:8" ht="27" customHeight="1">
      <c r="A64" s="35" t="s">
        <v>36</v>
      </c>
      <c r="B64" s="37">
        <f>VLOOKUP(AlmanacUNIV[[#This Row],[Institution Name]],InputResearch[],3,FALSE)</f>
        <v>220</v>
      </c>
      <c r="C64" s="103">
        <v>29269</v>
      </c>
      <c r="D64" s="104">
        <f>SUMIFS(InputResearch[R &amp; D Expenses],InputResearch[Institution Name],AlmanacUNIV[[#This Row],[Institution Name]])+SUMIFS(InputResearch[R &amp; D Exp Not meeting narrow def],InputResearch[Institution Name],AlmanacUNIV[[#This Row],[Institution Name]])</f>
        <v>13323</v>
      </c>
      <c r="E64" s="104">
        <f>IFERROR(ROUND(AlmanacUNIV[[#This Row],[Research 
Expenditures¹]]/VLOOKUP(AlmanacUNIV[[#This Row],[FICE]],FTSEUNIV[[FICE]:[T/TT Fall
Faculty FTE³]],9,FALSE),2),"N/A")</f>
        <v>43.4</v>
      </c>
      <c r="F64" s="40"/>
      <c r="G64" s="338"/>
      <c r="H64" s="105"/>
    </row>
    <row r="65" spans="1:8" ht="27" customHeight="1">
      <c r="A65" s="35" t="s">
        <v>37</v>
      </c>
      <c r="B65" s="37">
        <f>VLOOKUP(AlmanacUNIV[[#This Row],[Institution Name]],InputResearch[],3,FALSE)</f>
        <v>223</v>
      </c>
      <c r="C65" s="103">
        <v>42295</v>
      </c>
      <c r="D65" s="104">
        <f>SUMIFS(InputResearch[R &amp; D Expenses],InputResearch[Institution Name],AlmanacUNIV[[#This Row],[Institution Name]])+SUMIFS(InputResearch[R &amp; D Exp Not meeting narrow def],InputResearch[Institution Name],AlmanacUNIV[[#This Row],[Institution Name]])</f>
        <v>1599710</v>
      </c>
      <c r="E65" s="104">
        <f>IFERROR(ROUND(AlmanacUNIV[[#This Row],[Research 
Expenditures¹]]/VLOOKUP(AlmanacUNIV[[#This Row],[FICE]],FTSEUNIV[[FICE]:[T/TT Fall
Faculty FTE³]],9,FALSE),2),"N/A")</f>
        <v>6348.06</v>
      </c>
      <c r="F65" s="40"/>
      <c r="G65" s="338"/>
      <c r="H65" s="105"/>
    </row>
    <row r="66" spans="1:8" ht="27" customHeight="1">
      <c r="A66" s="35" t="s">
        <v>38</v>
      </c>
      <c r="B66" s="37">
        <f>VLOOKUP(AlmanacUNIV[[#This Row],[Institution Name]],InputResearch[],3,FALSE)</f>
        <v>226</v>
      </c>
      <c r="C66" s="103">
        <v>42485</v>
      </c>
      <c r="D66" s="104">
        <f>SUMIFS(InputResearch[R &amp; D Expenses],InputResearch[Institution Name],AlmanacUNIV[[#This Row],[Institution Name]])+SUMIFS(InputResearch[R &amp; D Exp Not meeting narrow def],InputResearch[Institution Name],AlmanacUNIV[[#This Row],[Institution Name]])</f>
        <v>3110671</v>
      </c>
      <c r="E66" s="104">
        <f>IFERROR(ROUND(AlmanacUNIV[[#This Row],[Research 
Expenditures¹]]/VLOOKUP(AlmanacUNIV[[#This Row],[FICE]],FTSEUNIV[[FICE]:[T/TT Fall
Faculty FTE³]],9,FALSE),2),"N/A")</f>
        <v>7053.68</v>
      </c>
      <c r="F66" s="40"/>
      <c r="G66" s="338"/>
      <c r="H66" s="105"/>
    </row>
    <row r="67" spans="1:8" ht="27" customHeight="1">
      <c r="A67" s="35" t="s">
        <v>716</v>
      </c>
      <c r="B67" s="37">
        <f>VLOOKUP(AlmanacUNIV[[#This Row],[Institution Name]],InputResearch[],3,FALSE)</f>
        <v>231</v>
      </c>
      <c r="C67" s="103">
        <v>3652</v>
      </c>
      <c r="D67" s="104">
        <f>SUMIFS(InputResearch[R &amp; D Expenses],InputResearch[Institution Name],AlmanacUNIV[[#This Row],[Institution Name]])+SUMIFS(InputResearch[R &amp; D Exp Not meeting narrow def],InputResearch[Institution Name],AlmanacUNIV[[#This Row],[Institution Name]])</f>
        <v>161356803</v>
      </c>
      <c r="E67" s="104">
        <f>IFERROR(ROUND(AlmanacUNIV[[#This Row],[Research 
Expenditures¹]]/VLOOKUP(AlmanacUNIV[[#This Row],[FICE]],FTSEUNIV[[FICE]:[T/TT Fall
Faculty FTE³]],9,FALSE),2),"N/A")</f>
        <v>46594.51</v>
      </c>
      <c r="F67" s="40"/>
      <c r="G67" s="338"/>
      <c r="H67" s="105"/>
    </row>
    <row r="68" spans="1:8" ht="27" customHeight="1">
      <c r="A68" s="35" t="s">
        <v>39</v>
      </c>
      <c r="B68" s="37">
        <f>VLOOKUP(AlmanacUNIV[[#This Row],[Institution Name]],InputResearch[],3,FALSE)</f>
        <v>240</v>
      </c>
      <c r="C68" s="103">
        <v>11711</v>
      </c>
      <c r="D68" s="104">
        <f>SUMIFS(InputResearch[R &amp; D Expenses],InputResearch[Institution Name],AlmanacUNIV[[#This Row],[Institution Name]])+SUMIFS(InputResearch[R &amp; D Exp Not meeting narrow def],InputResearch[Institution Name],AlmanacUNIV[[#This Row],[Institution Name]])</f>
        <v>2127032</v>
      </c>
      <c r="E68" s="104">
        <f>IFERROR(ROUND(AlmanacUNIV[[#This Row],[Research 
Expenditures¹]]/VLOOKUP(AlmanacUNIV[[#This Row],[FICE]],FTSEUNIV[[FICE]:[T/TT Fall
Faculty FTE³]],9,FALSE),2),"N/A")</f>
        <v>2213.35</v>
      </c>
      <c r="F68" s="40"/>
      <c r="G68" s="338"/>
      <c r="H68" s="105"/>
    </row>
    <row r="69" spans="1:8" ht="27" customHeight="1">
      <c r="A69" s="35" t="s">
        <v>40</v>
      </c>
      <c r="B69" s="37">
        <f>VLOOKUP(AlmanacUNIV[[#This Row],[Institution Name]],InputResearch[],3,FALSE)</f>
        <v>250</v>
      </c>
      <c r="C69" s="103">
        <v>12826</v>
      </c>
      <c r="D69" s="104">
        <f>SUMIFS(InputResearch[R &amp; D Expenses],InputResearch[Institution Name],AlmanacUNIV[[#This Row],[Institution Name]])+SUMIFS(InputResearch[R &amp; D Exp Not meeting narrow def],InputResearch[Institution Name],AlmanacUNIV[[#This Row],[Institution Name]])</f>
        <v>1977947</v>
      </c>
      <c r="E69" s="104">
        <f>IFERROR(ROUND(AlmanacUNIV[[#This Row],[Research 
Expenditures¹]]/VLOOKUP(AlmanacUNIV[[#This Row],[FICE]],FTSEUNIV[[FICE]:[T/TT Fall
Faculty FTE³]],9,FALSE),2),"N/A")</f>
        <v>2447.9499999999998</v>
      </c>
      <c r="F69" s="40"/>
      <c r="G69" s="338"/>
      <c r="H69" s="105"/>
    </row>
    <row r="70" spans="1:8" ht="27" customHeight="1">
      <c r="A70" s="35" t="s">
        <v>41</v>
      </c>
      <c r="B70" s="37">
        <f>VLOOKUP(AlmanacUNIV[[#This Row],[Institution Name]],InputResearch[],3,FALSE)</f>
        <v>260</v>
      </c>
      <c r="C70" s="103">
        <v>13231</v>
      </c>
      <c r="D70" s="104">
        <f>SUMIFS(InputResearch[R &amp; D Expenses],InputResearch[Institution Name],AlmanacUNIV[[#This Row],[Institution Name]])+SUMIFS(InputResearch[R &amp; D Exp Not meeting narrow def],InputResearch[Institution Name],AlmanacUNIV[[#This Row],[Institution Name]])</f>
        <v>765515</v>
      </c>
      <c r="E70" s="104">
        <f>IFERROR(ROUND(AlmanacUNIV[[#This Row],[Research 
Expenditures¹]]/VLOOKUP(AlmanacUNIV[[#This Row],[FICE]],FTSEUNIV[[FICE]:[T/TT Fall
Faculty FTE³]],9,FALSE),2),"N/A")</f>
        <v>2035.94</v>
      </c>
      <c r="F70" s="40"/>
      <c r="G70" s="338"/>
      <c r="H70" s="105"/>
    </row>
    <row r="71" spans="1:8" ht="27" customHeight="1">
      <c r="A71" s="35" t="s">
        <v>42</v>
      </c>
      <c r="B71" s="37">
        <f>VLOOKUP(AlmanacUNIV[[#This Row],[Institution Name]],InputResearch[],3,FALSE)</f>
        <v>270</v>
      </c>
      <c r="C71" s="103">
        <v>3581</v>
      </c>
      <c r="D71" s="104">
        <f>SUMIFS(InputResearch[R &amp; D Expenses],InputResearch[Institution Name],AlmanacUNIV[[#This Row],[Institution Name]])+SUMIFS(InputResearch[R &amp; D Exp Not meeting narrow def],InputResearch[Institution Name],AlmanacUNIV[[#This Row],[Institution Name]])</f>
        <v>7776732</v>
      </c>
      <c r="E71" s="104">
        <f>IFERROR(ROUND(AlmanacUNIV[[#This Row],[Research 
Expenditures¹]]/VLOOKUP(AlmanacUNIV[[#This Row],[FICE]],FTSEUNIV[[FICE]:[T/TT Fall
Faculty FTE³]],9,FALSE),2),"N/A")</f>
        <v>6709.86</v>
      </c>
      <c r="F71" s="40"/>
      <c r="G71" s="338"/>
      <c r="H71" s="105"/>
    </row>
    <row r="72" spans="1:8" ht="27" customHeight="1">
      <c r="A72" s="35" t="s">
        <v>717</v>
      </c>
      <c r="B72" s="37">
        <f>VLOOKUP(AlmanacUNIV[[#This Row],[Institution Name]],InputResearch[],3,FALSE)</f>
        <v>281</v>
      </c>
      <c r="C72" s="103">
        <v>3606</v>
      </c>
      <c r="D72" s="104">
        <f>SUMIFS(InputResearch[R &amp; D Expenses],InputResearch[Institution Name],AlmanacUNIV[[#This Row],[Institution Name]])+SUMIFS(InputResearch[R &amp; D Exp Not meeting narrow def],InputResearch[Institution Name],AlmanacUNIV[[#This Row],[Institution Name]])</f>
        <v>11081205</v>
      </c>
      <c r="E72" s="104">
        <f>IFERROR(ROUND(AlmanacUNIV[[#This Row],[Research 
Expenditures¹]]/VLOOKUP(AlmanacUNIV[[#This Row],[FICE]],FTSEUNIV[[FICE]:[T/TT Fall
Faculty FTE³]],9,FALSE),2),"N/A")</f>
        <v>5759.46</v>
      </c>
      <c r="F72" s="40"/>
      <c r="G72" s="338"/>
      <c r="H72" s="105"/>
    </row>
    <row r="73" spans="1:8" ht="27" customHeight="1">
      <c r="A73" s="35" t="s">
        <v>44</v>
      </c>
      <c r="B73" s="37">
        <f>VLOOKUP(AlmanacUNIV[[#This Row],[Institution Name]],InputResearch[],3,FALSE)</f>
        <v>290</v>
      </c>
      <c r="C73" s="103">
        <v>3615</v>
      </c>
      <c r="D73" s="104">
        <f>SUMIFS(InputResearch[R &amp; D Expenses],InputResearch[Institution Name],AlmanacUNIV[[#This Row],[Institution Name]])+SUMIFS(InputResearch[R &amp; D Exp Not meeting narrow def],InputResearch[Institution Name],AlmanacUNIV[[#This Row],[Institution Name]])</f>
        <v>126839858</v>
      </c>
      <c r="E73" s="104">
        <f>IFERROR(ROUND(AlmanacUNIV[[#This Row],[Research 
Expenditures¹]]/VLOOKUP(AlmanacUNIV[[#This Row],[FICE]],FTSEUNIV[[FICE]:[T/TT Fall
Faculty FTE³]],9,FALSE),2),"N/A")</f>
        <v>45593.05</v>
      </c>
      <c r="F73" s="40"/>
      <c r="G73" s="338"/>
      <c r="H73" s="105"/>
    </row>
    <row r="74" spans="1:8" ht="27" customHeight="1">
      <c r="A74" s="35" t="s">
        <v>45</v>
      </c>
      <c r="B74" s="37">
        <f>VLOOKUP(AlmanacUNIV[[#This Row],[Institution Name]],InputResearch[],3,FALSE)</f>
        <v>300</v>
      </c>
      <c r="C74" s="103">
        <v>3625</v>
      </c>
      <c r="D74" s="104">
        <f>SUMIFS(InputResearch[R &amp; D Expenses],InputResearch[Institution Name],AlmanacUNIV[[#This Row],[Institution Name]])+SUMIFS(InputResearch[R &amp; D Exp Not meeting narrow def],InputResearch[Institution Name],AlmanacUNIV[[#This Row],[Institution Name]])</f>
        <v>4481347</v>
      </c>
      <c r="E74" s="104">
        <f>IFERROR(ROUND(AlmanacUNIV[[#This Row],[Research 
Expenditures¹]]/VLOOKUP(AlmanacUNIV[[#This Row],[FICE]],FTSEUNIV[[FICE]:[T/TT Fall
Faculty FTE³]],9,FALSE),2),"N/A")</f>
        <v>9126.98</v>
      </c>
      <c r="F74" s="40"/>
      <c r="G74" s="338"/>
      <c r="H74" s="105"/>
    </row>
    <row r="75" spans="1:8" ht="27" customHeight="1">
      <c r="A75" s="35" t="s">
        <v>46</v>
      </c>
      <c r="B75" s="37">
        <f>VLOOKUP(AlmanacUNIV[[#This Row],[Institution Name]],InputResearch[],3,FALSE)</f>
        <v>310</v>
      </c>
      <c r="C75" s="103">
        <v>3644</v>
      </c>
      <c r="D75" s="104">
        <f>SUMIFS(InputResearch[R &amp; D Expenses],InputResearch[Institution Name],AlmanacUNIV[[#This Row],[Institution Name]])+SUMIFS(InputResearch[R &amp; D Exp Not meeting narrow def],InputResearch[Institution Name],AlmanacUNIV[[#This Row],[Institution Name]])</f>
        <v>193610269</v>
      </c>
      <c r="E75" s="104">
        <f>IFERROR(ROUND(AlmanacUNIV[[#This Row],[Research 
Expenditures¹]]/VLOOKUP(AlmanacUNIV[[#This Row],[FICE]],FTSEUNIV[[FICE]:[T/TT Fall
Faculty FTE³]],9,FALSE),2),"N/A")</f>
        <v>44324.7</v>
      </c>
      <c r="F75" s="40"/>
      <c r="G75" s="338"/>
      <c r="H75" s="105"/>
    </row>
    <row r="76" spans="1:8" ht="27" customHeight="1">
      <c r="A76" s="35" t="s">
        <v>47</v>
      </c>
      <c r="B76" s="37">
        <f>VLOOKUP(AlmanacUNIV[[#This Row],[Institution Name]],InputResearch[],3,FALSE)</f>
        <v>320</v>
      </c>
      <c r="C76" s="103">
        <v>3541</v>
      </c>
      <c r="D76" s="104">
        <f>SUMIFS(InputResearch[R &amp; D Expenses],InputResearch[Institution Name],AlmanacUNIV[[#This Row],[Institution Name]])+SUMIFS(InputResearch[R &amp; D Exp Not meeting narrow def],InputResearch[Institution Name],AlmanacUNIV[[#This Row],[Institution Name]])</f>
        <v>878102</v>
      </c>
      <c r="E76" s="104">
        <f>IFERROR(ROUND(AlmanacUNIV[[#This Row],[Research 
Expenditures¹]]/VLOOKUP(AlmanacUNIV[[#This Row],[FICE]],FTSEUNIV[[FICE]:[T/TT Fall
Faculty FTE³]],9,FALSE),2),"N/A")</f>
        <v>914.69</v>
      </c>
      <c r="F76" s="40"/>
      <c r="G76" s="338"/>
      <c r="H76" s="105"/>
    </row>
    <row r="77" spans="1:8" ht="27" customHeight="1">
      <c r="A77" s="35" t="s">
        <v>48</v>
      </c>
      <c r="B77" s="37">
        <f>VLOOKUP(AlmanacUNIV[[#This Row],[Institution Name]],InputResearch[],3,FALSE)</f>
        <v>330</v>
      </c>
      <c r="C77" s="103">
        <v>3594</v>
      </c>
      <c r="D77" s="104">
        <f>SUMIFS(InputResearch[R &amp; D Expenses],InputResearch[Institution Name],AlmanacUNIV[[#This Row],[Institution Name]])+SUMIFS(InputResearch[R &amp; D Exp Not meeting narrow def],InputResearch[Institution Name],AlmanacUNIV[[#This Row],[Institution Name]])</f>
        <v>89180220</v>
      </c>
      <c r="E77" s="104">
        <f>IFERROR(ROUND(AlmanacUNIV[[#This Row],[Research 
Expenditures¹]]/VLOOKUP(AlmanacUNIV[[#This Row],[FICE]],FTSEUNIV[[FICE]:[T/TT Fall
Faculty FTE³]],9,FALSE),2),"N/A")</f>
        <v>29539.66</v>
      </c>
      <c r="F77" s="40"/>
      <c r="G77" s="338"/>
      <c r="H77" s="105"/>
    </row>
    <row r="78" spans="1:8" ht="27" customHeight="1">
      <c r="A78" s="35" t="s">
        <v>49</v>
      </c>
      <c r="B78" s="37">
        <f>VLOOKUP(AlmanacUNIV[[#This Row],[Institution Name]],InputResearch[],3,FALSE)</f>
        <v>333</v>
      </c>
      <c r="C78" s="103">
        <v>42421</v>
      </c>
      <c r="D78" s="104">
        <f>SUMIFS(InputResearch[R &amp; D Expenses],InputResearch[Institution Name],AlmanacUNIV[[#This Row],[Institution Name]])+SUMIFS(InputResearch[R &amp; D Exp Not meeting narrow def],InputResearch[Institution Name],AlmanacUNIV[[#This Row],[Institution Name]])</f>
        <v>1465778</v>
      </c>
      <c r="E78" s="104">
        <f>IFERROR(ROUND(AlmanacUNIV[[#This Row],[Research 
Expenditures¹]]/VLOOKUP(AlmanacUNIV[[#This Row],[FICE]],FTSEUNIV[[FICE]:[T/TT Fall
Faculty FTE³]],9,FALSE),2),"N/A")</f>
        <v>6693.05</v>
      </c>
      <c r="F78" s="40"/>
      <c r="G78" s="338"/>
      <c r="H78" s="105"/>
    </row>
    <row r="79" spans="1:8" ht="27" customHeight="1">
      <c r="A79" s="35" t="s">
        <v>50</v>
      </c>
      <c r="B79" s="37">
        <f>VLOOKUP(AlmanacUNIV[[#This Row],[Institution Name]],InputResearch[],3,FALSE)</f>
        <v>340</v>
      </c>
      <c r="C79" s="103">
        <v>3592</v>
      </c>
      <c r="D79" s="104">
        <f>SUMIFS(InputResearch[R &amp; D Expenses],InputResearch[Institution Name],AlmanacUNIV[[#This Row],[Institution Name]])+SUMIFS(InputResearch[R &amp; D Exp Not meeting narrow def],InputResearch[Institution Name],AlmanacUNIV[[#This Row],[Institution Name]])</f>
        <v>829920</v>
      </c>
      <c r="E79" s="104">
        <f>IFERROR(ROUND(AlmanacUNIV[[#This Row],[Research 
Expenditures¹]]/VLOOKUP(AlmanacUNIV[[#This Row],[FICE]],FTSEUNIV[[FICE]:[T/TT Fall
Faculty FTE³]],9,FALSE),2),"N/A")</f>
        <v>874.52</v>
      </c>
      <c r="F79" s="40"/>
      <c r="G79" s="338"/>
      <c r="H79" s="105"/>
    </row>
    <row r="80" spans="1:8" ht="27" customHeight="1">
      <c r="A80" s="35" t="s">
        <v>26</v>
      </c>
      <c r="B80" s="37">
        <f>VLOOKUP(AlmanacUNIV[[#This Row],[Institution Name]],InputResearch[],3,FALSE)</f>
        <v>350</v>
      </c>
      <c r="C80" s="103">
        <v>3624</v>
      </c>
      <c r="D80" s="104">
        <f>SUMIFS(InputResearch[R &amp; D Expenses],InputResearch[Institution Name],AlmanacUNIV[[#This Row],[Institution Name]])+SUMIFS(InputResearch[R &amp; D Exp Not meeting narrow def],InputResearch[Institution Name],AlmanacUNIV[[#This Row],[Institution Name]])</f>
        <v>3260992</v>
      </c>
      <c r="E80" s="104">
        <f>IFERROR(ROUND(AlmanacUNIV[[#This Row],[Research 
Expenditures¹]]/VLOOKUP(AlmanacUNIV[[#This Row],[FICE]],FTSEUNIV[[FICE]:[T/TT Fall
Faculty FTE³]],9,FALSE),2),"N/A")</f>
        <v>1843.41</v>
      </c>
      <c r="F80" s="40"/>
      <c r="G80" s="338"/>
      <c r="H80" s="105"/>
    </row>
    <row r="81" spans="1:8" ht="27" customHeight="1">
      <c r="A81" s="35" t="s">
        <v>51</v>
      </c>
      <c r="B81" s="37">
        <f>VLOOKUP(AlmanacUNIV[[#This Row],[Institution Name]],InputResearch[],3,FALSE)</f>
        <v>360</v>
      </c>
      <c r="C81" s="103">
        <v>3642</v>
      </c>
      <c r="D81" s="104">
        <v>8389416</v>
      </c>
      <c r="E81" s="104">
        <f>IFERROR(ROUND(AlmanacUNIV[[#This Row],[Research 
Expenditures¹]]/VLOOKUP(AlmanacUNIV[[#This Row],[FICE]],FTSEUNIV[[FICE]:[T/TT Fall
Faculty FTE³]],9,FALSE),2),"N/A")</f>
        <v>9363.19</v>
      </c>
      <c r="F81" s="40"/>
      <c r="G81" s="338"/>
      <c r="H81" s="105"/>
    </row>
    <row r="82" spans="1:8" ht="27" customHeight="1">
      <c r="A82" s="35" t="s">
        <v>52</v>
      </c>
      <c r="B82" s="37">
        <f>VLOOKUP(AlmanacUNIV[[#This Row],[Institution Name]],InputResearch[],3,FALSE)</f>
        <v>370</v>
      </c>
      <c r="C82" s="103">
        <v>3646</v>
      </c>
      <c r="D82" s="104">
        <f>SUMIFS(InputResearch[R &amp; D Expenses],InputResearch[Institution Name],AlmanacUNIV[[#This Row],[Institution Name]])+SUMIFS(InputResearch[R &amp; D Exp Not meeting narrow def],InputResearch[Institution Name],AlmanacUNIV[[#This Row],[Institution Name]])</f>
        <v>6557064</v>
      </c>
      <c r="E82" s="104">
        <f>IFERROR(ROUND(AlmanacUNIV[[#This Row],[Research 
Expenditures¹]]/VLOOKUP(AlmanacUNIV[[#This Row],[FICE]],FTSEUNIV[[FICE]:[T/TT Fall
Faculty FTE³]],9,FALSE),2),"N/A")</f>
        <v>4637.24</v>
      </c>
      <c r="F82" s="40"/>
      <c r="G82" s="338"/>
      <c r="H82" s="105"/>
    </row>
    <row r="83" spans="1:8" ht="27" customHeight="1">
      <c r="C83" s="103"/>
      <c r="D83" s="272">
        <f>SUBTOTAL(109,AlmanacUNIV[Research 
Expenditures¹])</f>
        <v>2958249786</v>
      </c>
      <c r="E83" s="272">
        <f>SUBTOTAL(109,AlmanacUNIV[Research 
Expenditures 
Per FTE Faculty²])</f>
        <v>904050.11999999988</v>
      </c>
      <c r="F83" s="40"/>
    </row>
    <row r="84" spans="1:8">
      <c r="A84" s="486" t="s">
        <v>967</v>
      </c>
      <c r="B84" s="486"/>
      <c r="C84" s="486"/>
      <c r="D84" s="486"/>
      <c r="E84" s="486"/>
      <c r="F84" s="40"/>
    </row>
    <row r="85" spans="1:8">
      <c r="A85" s="486"/>
      <c r="B85" s="486"/>
      <c r="C85" s="486"/>
      <c r="D85" s="486"/>
      <c r="E85" s="486"/>
      <c r="F85" s="40"/>
    </row>
    <row r="86" spans="1:8">
      <c r="A86" s="485" t="s">
        <v>980</v>
      </c>
      <c r="B86" s="485"/>
      <c r="C86" s="485"/>
      <c r="D86" s="485"/>
      <c r="E86" s="485"/>
      <c r="F86" s="40"/>
    </row>
    <row r="87" spans="1:8" ht="27" customHeight="1">
      <c r="A87" s="40"/>
      <c r="B87" s="161"/>
      <c r="C87" s="40"/>
      <c r="D87" s="40"/>
      <c r="E87" s="40"/>
      <c r="F87" s="40"/>
    </row>
    <row r="88" spans="1:8" ht="33" customHeight="1">
      <c r="A88" s="439" t="s">
        <v>989</v>
      </c>
      <c r="B88" s="440"/>
      <c r="C88" s="440"/>
      <c r="D88" s="440"/>
      <c r="E88" s="440"/>
      <c r="F88" s="40"/>
    </row>
    <row r="89" spans="1:8" ht="27" customHeight="1">
      <c r="A89" s="438">
        <f>Hidden!$A$4</f>
        <v>45412</v>
      </c>
      <c r="B89" s="438"/>
      <c r="C89" s="438"/>
      <c r="D89" s="438"/>
      <c r="E89" s="438"/>
      <c r="F89" s="40"/>
    </row>
    <row r="90" spans="1:8" ht="27" customHeight="1">
      <c r="A90" s="40"/>
      <c r="B90" s="161"/>
      <c r="C90" s="40"/>
      <c r="D90" s="40"/>
      <c r="E90" s="40"/>
      <c r="F90" s="40"/>
    </row>
    <row r="91" spans="1:8" ht="47.4">
      <c r="A91" s="35" t="s">
        <v>1</v>
      </c>
      <c r="B91" s="37" t="s">
        <v>889</v>
      </c>
      <c r="C91" s="37" t="s">
        <v>2</v>
      </c>
      <c r="D91" s="335" t="s">
        <v>968</v>
      </c>
      <c r="E91" s="335" t="s">
        <v>973</v>
      </c>
      <c r="F91" s="40"/>
    </row>
    <row r="92" spans="1:8" ht="27" customHeight="1">
      <c r="A92" s="35" t="s">
        <v>27</v>
      </c>
      <c r="B92" s="37">
        <f>VLOOKUP(AlmanacTAMUS[[#This Row],[Institution Name]],InputResearch[],3,FALSE)</f>
        <v>130</v>
      </c>
      <c r="C92" s="103">
        <v>3632</v>
      </c>
      <c r="D92" s="272">
        <f>SUMIFS(InputResearch[R &amp; D Expenses],InputResearch[Institution Name],AlmanacTAMUS[[#This Row],[Institution Name]])+SUMIFS(InputResearch[R &amp; D Exp Not meeting narrow def],InputResearch[Institution Name],AlmanacTAMUS[[#This Row],[Institution Name]])</f>
        <v>278099857</v>
      </c>
      <c r="E92" s="86">
        <f>IFERROR(ROUND(AlmanacTAMUS[[#This Row],[Research 
Expenditures¹]]/VLOOKUP(AlmanacTAMUS[[#This Row],[FICE]],FTSEUNIV[[FICE]:[T/TT Fall
Faculty FTE³]],9,FALSE),2),"N/A")</f>
        <v>49047.59</v>
      </c>
      <c r="F92" s="40"/>
    </row>
    <row r="93" spans="1:8" ht="27" customHeight="1">
      <c r="A93" s="35" t="s">
        <v>53</v>
      </c>
      <c r="B93" s="37">
        <f>VLOOKUP(AlmanacTAMUS[[#This Row],[Institution Name]],InputResearch[],3,FALSE)</f>
        <v>600</v>
      </c>
      <c r="C93" s="103">
        <v>556</v>
      </c>
      <c r="D93" s="272">
        <f>SUMIFS(InputResearch[R &amp; D Expenses],InputResearch[Institution Name],AlmanacTAMUS[[#This Row],[Institution Name]])+SUMIFS(InputResearch[R &amp; D Exp Not meeting narrow def],InputResearch[Institution Name],AlmanacTAMUS[[#This Row],[Institution Name]])</f>
        <v>232223591</v>
      </c>
      <c r="E93" s="86" t="s">
        <v>439</v>
      </c>
      <c r="F93" s="40"/>
    </row>
    <row r="94" spans="1:8" ht="27" customHeight="1">
      <c r="A94" s="35" t="s">
        <v>54</v>
      </c>
      <c r="B94" s="37">
        <f>VLOOKUP(AlmanacTAMUS[[#This Row],[Institution Name]],InputResearch[],3,FALSE)</f>
        <v>605</v>
      </c>
      <c r="C94" s="103">
        <v>555</v>
      </c>
      <c r="D94" s="272">
        <f>SUMIFS(InputResearch[R &amp; D Expenses],InputResearch[Institution Name],AlmanacTAMUS[[#This Row],[Institution Name]])+SUMIFS(InputResearch[R &amp; D Exp Not meeting narrow def],InputResearch[Institution Name],AlmanacTAMUS[[#This Row],[Institution Name]])</f>
        <v>1622057</v>
      </c>
      <c r="E94" s="86" t="s">
        <v>439</v>
      </c>
      <c r="F94" s="40"/>
    </row>
    <row r="95" spans="1:8" ht="27" customHeight="1">
      <c r="A95" s="35" t="s">
        <v>55</v>
      </c>
      <c r="B95" s="37">
        <f>VLOOKUP(AlmanacTAMUS[[#This Row],[Institution Name]],InputResearch[],3,FALSE)</f>
        <v>610</v>
      </c>
      <c r="C95" s="103">
        <v>712</v>
      </c>
      <c r="D95" s="272">
        <f>SUMIFS(InputResearch[R &amp; D Expenses],InputResearch[Institution Name],AlmanacTAMUS[[#This Row],[Institution Name]])+SUMIFS(InputResearch[R &amp; D Exp Not meeting narrow def],InputResearch[Institution Name],AlmanacTAMUS[[#This Row],[Institution Name]])</f>
        <v>226168330</v>
      </c>
      <c r="E95" s="86" t="s">
        <v>439</v>
      </c>
      <c r="F95" s="40"/>
    </row>
    <row r="96" spans="1:8" ht="27" customHeight="1">
      <c r="A96" s="35" t="s">
        <v>56</v>
      </c>
      <c r="B96" s="37">
        <f>VLOOKUP(AlmanacTAMUS[[#This Row],[Institution Name]],InputResearch[],3,FALSE)</f>
        <v>615</v>
      </c>
      <c r="C96" s="103">
        <v>716</v>
      </c>
      <c r="D96" s="272">
        <f>SUMIFS(InputResearch[R &amp; D Expenses],InputResearch[Institution Name],AlmanacTAMUS[[#This Row],[Institution Name]])+SUMIFS(InputResearch[R &amp; D Exp Not meeting narrow def],InputResearch[Institution Name],AlmanacTAMUS[[#This Row],[Institution Name]])</f>
        <v>0</v>
      </c>
      <c r="E96" s="86" t="s">
        <v>439</v>
      </c>
      <c r="F96" s="40"/>
    </row>
    <row r="97" spans="1:6" ht="27" customHeight="1">
      <c r="A97" s="35" t="s">
        <v>57</v>
      </c>
      <c r="B97" s="37">
        <f>VLOOKUP(AlmanacTAMUS[[#This Row],[Institution Name]],InputResearch[],3,FALSE)</f>
        <v>620</v>
      </c>
      <c r="C97" s="103">
        <v>576</v>
      </c>
      <c r="D97" s="272">
        <f>SUMIFS(InputResearch[R &amp; D Expenses],InputResearch[Institution Name],AlmanacTAMUS[[#This Row],[Institution Name]])+SUMIFS(InputResearch[R &amp; D Exp Not meeting narrow def],InputResearch[Institution Name],AlmanacTAMUS[[#This Row],[Institution Name]])</f>
        <v>2665482</v>
      </c>
      <c r="E97" s="86" t="s">
        <v>439</v>
      </c>
      <c r="F97" s="40"/>
    </row>
    <row r="98" spans="1:6" ht="27" customHeight="1">
      <c r="A98" s="35" t="s">
        <v>58</v>
      </c>
      <c r="B98" s="37">
        <f>VLOOKUP(AlmanacTAMUS[[#This Row],[Institution Name]],InputResearch[],3,FALSE)</f>
        <v>625</v>
      </c>
      <c r="C98" s="103">
        <v>727</v>
      </c>
      <c r="D98" s="272">
        <f>SUMIFS(InputResearch[R &amp; D Expenses],InputResearch[Institution Name],AlmanacTAMUS[[#This Row],[Institution Name]])+SUMIFS(InputResearch[R &amp; D Exp Not meeting narrow def],InputResearch[Institution Name],AlmanacTAMUS[[#This Row],[Institution Name]])</f>
        <v>92402690</v>
      </c>
      <c r="E98" s="86" t="s">
        <v>439</v>
      </c>
      <c r="F98" s="40"/>
    </row>
    <row r="99" spans="1:6" ht="27" customHeight="1">
      <c r="A99" s="35" t="s">
        <v>59</v>
      </c>
      <c r="B99" s="37">
        <f>VLOOKUP(AlmanacTAMUS[[#This Row],[Institution Name]],InputResearch[],3,FALSE)</f>
        <v>630</v>
      </c>
      <c r="C99" s="103">
        <v>557</v>
      </c>
      <c r="D99" s="272">
        <f>SUMIFS(InputResearch[R &amp; D Expenses],InputResearch[Institution Name],AlmanacTAMUS[[#This Row],[Institution Name]])+SUMIFS(InputResearch[R &amp; D Exp Not meeting narrow def],InputResearch[Institution Name],AlmanacTAMUS[[#This Row],[Institution Name]])</f>
        <v>542396</v>
      </c>
      <c r="E99" s="86" t="s">
        <v>439</v>
      </c>
      <c r="F99" s="40"/>
    </row>
    <row r="100" spans="1:6" ht="27" customHeight="1">
      <c r="A100" s="35" t="s">
        <v>60</v>
      </c>
      <c r="B100" s="37">
        <f>VLOOKUP(AlmanacTAMUS[[#This Row],[Institution Name]],InputResearch[],3,FALSE)</f>
        <v>640</v>
      </c>
      <c r="C100" s="103">
        <v>575</v>
      </c>
      <c r="D100" s="272">
        <f>SUMIFS(InputResearch[R &amp; D Expenses],InputResearch[Institution Name],AlmanacTAMUS[[#This Row],[Institution Name]])+SUMIFS(InputResearch[R &amp; D Exp Not meeting narrow def],InputResearch[Institution Name],AlmanacTAMUS[[#This Row],[Institution Name]])</f>
        <v>0</v>
      </c>
      <c r="E100" s="86" t="s">
        <v>439</v>
      </c>
      <c r="F100" s="40"/>
    </row>
    <row r="101" spans="1:6" ht="27" customHeight="1">
      <c r="A101" s="35" t="s">
        <v>61</v>
      </c>
      <c r="B101" s="37">
        <f>VLOOKUP(AlmanacTAMUS[[#This Row],[Institution Name]],InputResearch[],3,FALSE)</f>
        <v>650</v>
      </c>
      <c r="C101" s="103">
        <v>708</v>
      </c>
      <c r="D101" s="272">
        <f>SUMIFS(InputResearch[R &amp; D Expenses],InputResearch[Institution Name],AlmanacTAMUS[[#This Row],[Institution Name]])+SUMIFS(InputResearch[R &amp; D Exp Not meeting narrow def],InputResearch[Institution Name],AlmanacTAMUS[[#This Row],[Institution Name]])</f>
        <v>8637471</v>
      </c>
      <c r="E101" s="86" t="s">
        <v>439</v>
      </c>
      <c r="F101" s="40"/>
    </row>
    <row r="102" spans="1:6" ht="27" customHeight="1">
      <c r="A102" s="35" t="s">
        <v>829</v>
      </c>
      <c r="B102" s="37" t="str">
        <f>VLOOKUP(AlmanacTAMUS[[#This Row],[Institution Name]],InputResearch[],3,FALSE)</f>
        <v>S130</v>
      </c>
      <c r="C102" s="103">
        <v>3629</v>
      </c>
      <c r="D102" s="272">
        <f>SUMIFS(InputResearch[R &amp; D Expenses],InputResearch[Institution Name],AlmanacTAMUS[[#This Row],[Institution Name]])+SUMIFS(InputResearch[R &amp; D Exp Not meeting narrow def],InputResearch[Institution Name],AlmanacTAMUS[[#This Row],[Institution Name]])</f>
        <v>7724664</v>
      </c>
      <c r="E102" s="86" t="s">
        <v>439</v>
      </c>
      <c r="F102" s="40"/>
    </row>
    <row r="103" spans="1:6" ht="27" customHeight="1">
      <c r="A103" s="39"/>
      <c r="D103" s="272">
        <f>SUBTOTAL(109,AlmanacTAMUS[Research 
Expenditures¹])</f>
        <v>850086538</v>
      </c>
      <c r="E103" s="106"/>
      <c r="F103" s="40"/>
    </row>
    <row r="104" spans="1:6">
      <c r="A104" s="486" t="s">
        <v>967</v>
      </c>
      <c r="B104" s="486"/>
      <c r="C104" s="486"/>
      <c r="D104" s="486"/>
      <c r="E104" s="486"/>
      <c r="F104" s="40"/>
    </row>
    <row r="105" spans="1:6">
      <c r="A105" s="486"/>
      <c r="B105" s="486"/>
      <c r="C105" s="486"/>
      <c r="D105" s="486"/>
      <c r="E105" s="486"/>
      <c r="F105" s="40"/>
    </row>
    <row r="106" spans="1:6">
      <c r="A106" s="485" t="s">
        <v>969</v>
      </c>
      <c r="B106" s="485"/>
      <c r="C106" s="485"/>
      <c r="D106" s="485"/>
      <c r="E106" s="485"/>
      <c r="F106" s="40"/>
    </row>
    <row r="107" spans="1:6" ht="27" customHeight="1">
      <c r="A107" s="40"/>
      <c r="B107" s="161"/>
      <c r="C107" s="40"/>
      <c r="D107" s="40"/>
      <c r="E107" s="40"/>
      <c r="F107" s="40"/>
    </row>
    <row r="108" spans="1:6" ht="33" customHeight="1">
      <c r="A108" s="439" t="s">
        <v>971</v>
      </c>
      <c r="B108" s="440"/>
      <c r="C108" s="440"/>
      <c r="D108" s="440"/>
      <c r="E108" s="440"/>
    </row>
    <row r="109" spans="1:6" ht="17.399999999999999">
      <c r="A109" s="438">
        <f>Hidden!$A$4</f>
        <v>45412</v>
      </c>
      <c r="B109" s="438"/>
      <c r="C109" s="438"/>
      <c r="D109" s="438"/>
      <c r="E109" s="438"/>
    </row>
    <row r="110" spans="1:6">
      <c r="A110" s="40"/>
      <c r="B110" s="161"/>
      <c r="C110" s="40"/>
      <c r="D110" s="40"/>
      <c r="E110" s="40"/>
    </row>
    <row r="111" spans="1:6" ht="47.4">
      <c r="A111" s="35" t="s">
        <v>1</v>
      </c>
      <c r="B111" s="37" t="s">
        <v>889</v>
      </c>
      <c r="C111" s="37" t="s">
        <v>2</v>
      </c>
      <c r="D111" s="335" t="s">
        <v>968</v>
      </c>
      <c r="E111" s="335" t="s">
        <v>973</v>
      </c>
    </row>
    <row r="112" spans="1:6">
      <c r="A112" s="35" t="s">
        <v>305</v>
      </c>
      <c r="B112" s="63" t="s">
        <v>439</v>
      </c>
      <c r="C112" s="103">
        <v>3537</v>
      </c>
      <c r="D112" s="272">
        <f>SUMIFS(InputResearch[R &amp; D Expenses],InputResearch[Institution Name],AlmanacPVT[[#This Row],[Institution Name]])+SUMIFS(InputResearch[R &amp; D Exp Not meeting narrow def],InputResearch[Institution Name],AlmanacPVT[[#This Row],[Institution Name]])</f>
        <v>5963753</v>
      </c>
      <c r="E112" s="86" t="s">
        <v>439</v>
      </c>
    </row>
    <row r="113" spans="1:5">
      <c r="A113" s="35" t="s">
        <v>297</v>
      </c>
      <c r="B113" s="63" t="s">
        <v>439</v>
      </c>
      <c r="C113" s="103">
        <v>3543</v>
      </c>
      <c r="D113" s="272">
        <f>SUMIFS(InputResearch[R &amp; D Expenses],InputResearch[Institution Name],AlmanacPVT[[#This Row],[Institution Name]])+SUMIFS(InputResearch[R &amp; D Exp Not meeting narrow def],InputResearch[Institution Name],AlmanacPVT[[#This Row],[Institution Name]])</f>
        <v>383478</v>
      </c>
      <c r="E113" s="86" t="s">
        <v>439</v>
      </c>
    </row>
    <row r="114" spans="1:5">
      <c r="A114" s="35" t="s">
        <v>306</v>
      </c>
      <c r="B114" s="63" t="s">
        <v>439</v>
      </c>
      <c r="C114" s="103">
        <v>3545</v>
      </c>
      <c r="D114" s="272">
        <f>SUMIFS(InputResearch[R &amp; D Expenses],InputResearch[Institution Name],AlmanacPVT[[#This Row],[Institution Name]])+SUMIFS(InputResearch[R &amp; D Exp Not meeting narrow def],InputResearch[Institution Name],AlmanacPVT[[#This Row],[Institution Name]])</f>
        <v>73398735</v>
      </c>
      <c r="E114" s="86" t="s">
        <v>439</v>
      </c>
    </row>
    <row r="115" spans="1:5">
      <c r="A115" s="35" t="s">
        <v>690</v>
      </c>
      <c r="B115" s="63" t="s">
        <v>439</v>
      </c>
      <c r="C115" s="103">
        <v>3564</v>
      </c>
      <c r="D115" s="272">
        <f>SUMIFS(InputResearch[R &amp; D Expenses],InputResearch[Institution Name],AlmanacPVT[[#This Row],[Institution Name]])+SUMIFS(InputResearch[R &amp; D Exp Not meeting narrow def],InputResearch[Institution Name],AlmanacPVT[[#This Row],[Institution Name]])</f>
        <v>10734</v>
      </c>
      <c r="E115" s="86" t="s">
        <v>439</v>
      </c>
    </row>
    <row r="116" spans="1:5">
      <c r="A116" s="35" t="s">
        <v>308</v>
      </c>
      <c r="B116" s="63" t="s">
        <v>439</v>
      </c>
      <c r="C116" s="103">
        <v>3577</v>
      </c>
      <c r="D116" s="272">
        <f>SUMIFS(InputResearch[R &amp; D Expenses],InputResearch[Institution Name],AlmanacPVT[[#This Row],[Institution Name]])+SUMIFS(InputResearch[R &amp; D Exp Not meeting narrow def],InputResearch[Institution Name],AlmanacPVT[[#This Row],[Institution Name]])</f>
        <v>0</v>
      </c>
      <c r="E116" s="86" t="s">
        <v>439</v>
      </c>
    </row>
    <row r="117" spans="1:5">
      <c r="A117" s="35" t="s">
        <v>309</v>
      </c>
      <c r="B117" s="63" t="s">
        <v>439</v>
      </c>
      <c r="C117" s="103">
        <v>3584</v>
      </c>
      <c r="D117" s="272">
        <f>SUMIFS(InputResearch[R &amp; D Expenses],InputResearch[Institution Name],AlmanacPVT[[#This Row],[Institution Name]])+SUMIFS(InputResearch[R &amp; D Exp Not meeting narrow def],InputResearch[Institution Name],AlmanacPVT[[#This Row],[Institution Name]])</f>
        <v>152190</v>
      </c>
      <c r="E117" s="86" t="s">
        <v>439</v>
      </c>
    </row>
    <row r="118" spans="1:5">
      <c r="A118" s="35" t="s">
        <v>310</v>
      </c>
      <c r="B118" s="63" t="s">
        <v>439</v>
      </c>
      <c r="C118" s="103">
        <v>3591</v>
      </c>
      <c r="D118" s="272">
        <f>SUMIFS(InputResearch[R &amp; D Expenses],InputResearch[Institution Name],AlmanacPVT[[#This Row],[Institution Name]])+SUMIFS(InputResearch[R &amp; D Exp Not meeting narrow def],InputResearch[Institution Name],AlmanacPVT[[#This Row],[Institution Name]])</f>
        <v>89419</v>
      </c>
      <c r="E118" s="86" t="s">
        <v>439</v>
      </c>
    </row>
    <row r="119" spans="1:5">
      <c r="A119" s="35" t="s">
        <v>311</v>
      </c>
      <c r="B119" s="63" t="s">
        <v>439</v>
      </c>
      <c r="C119" s="103">
        <v>23053</v>
      </c>
      <c r="D119" s="272">
        <f>SUMIFS(InputResearch[R &amp; D Expenses],InputResearch[Institution Name],AlmanacPVT[[#This Row],[Institution Name]])+SUMIFS(InputResearch[R &amp; D Exp Not meeting narrow def],InputResearch[Institution Name],AlmanacPVT[[#This Row],[Institution Name]])</f>
        <v>587000</v>
      </c>
      <c r="E119" s="86" t="s">
        <v>439</v>
      </c>
    </row>
    <row r="120" spans="1:5">
      <c r="A120" s="35" t="s">
        <v>693</v>
      </c>
      <c r="B120" s="63" t="s">
        <v>439</v>
      </c>
      <c r="C120" s="103">
        <v>3604</v>
      </c>
      <c r="D120" s="272">
        <f>SUMIFS(InputResearch[R &amp; D Expenses],InputResearch[Institution Name],AlmanacPVT[[#This Row],[Institution Name]])+SUMIFS(InputResearch[R &amp; D Exp Not meeting narrow def],InputResearch[Institution Name],AlmanacPVT[[#This Row],[Institution Name]])</f>
        <v>253152022</v>
      </c>
      <c r="E120" s="86" t="s">
        <v>439</v>
      </c>
    </row>
    <row r="121" spans="1:5">
      <c r="A121" s="35" t="s">
        <v>312</v>
      </c>
      <c r="B121" s="63" t="s">
        <v>439</v>
      </c>
      <c r="C121" s="103">
        <v>3613</v>
      </c>
      <c r="D121" s="272">
        <f>SUMIFS(InputResearch[R &amp; D Expenses],InputResearch[Institution Name],AlmanacPVT[[#This Row],[Institution Name]])+SUMIFS(InputResearch[R &amp; D Exp Not meeting narrow def],InputResearch[Institution Name],AlmanacPVT[[#This Row],[Institution Name]])</f>
        <v>41763337</v>
      </c>
      <c r="E121" s="86" t="s">
        <v>439</v>
      </c>
    </row>
    <row r="122" spans="1:5">
      <c r="A122" s="35" t="s">
        <v>313</v>
      </c>
      <c r="B122" s="63" t="s">
        <v>439</v>
      </c>
      <c r="C122" s="103">
        <v>3620</v>
      </c>
      <c r="D122" s="272">
        <f>SUMIFS(InputResearch[R &amp; D Expenses],InputResearch[Institution Name],AlmanacPVT[[#This Row],[Institution Name]])+SUMIFS(InputResearch[R &amp; D Exp Not meeting narrow def],InputResearch[Institution Name],AlmanacPVT[[#This Row],[Institution Name]])</f>
        <v>638271</v>
      </c>
      <c r="E122" s="86" t="s">
        <v>439</v>
      </c>
    </row>
    <row r="123" spans="1:5">
      <c r="A123" s="35" t="s">
        <v>318</v>
      </c>
      <c r="B123" s="63" t="s">
        <v>439</v>
      </c>
      <c r="C123" s="103">
        <v>3636</v>
      </c>
      <c r="D123" s="272">
        <f>SUMIFS(InputResearch[R &amp; D Expenses],InputResearch[Institution Name],AlmanacPVT[[#This Row],[Institution Name]])+SUMIFS(InputResearch[R &amp; D Exp Not meeting narrow def],InputResearch[Institution Name],AlmanacPVT[[#This Row],[Institution Name]])</f>
        <v>14593510</v>
      </c>
      <c r="E123" s="86" t="s">
        <v>439</v>
      </c>
    </row>
    <row r="124" spans="1:5">
      <c r="A124" s="35" t="s">
        <v>315</v>
      </c>
      <c r="B124" s="63" t="s">
        <v>439</v>
      </c>
      <c r="C124" s="103">
        <v>3641</v>
      </c>
      <c r="D124" s="272">
        <f>SUMIFS(InputResearch[R &amp; D Expenses],InputResearch[Institution Name],AlmanacPVT[[#This Row],[Institution Name]])+SUMIFS(InputResearch[R &amp; D Exp Not meeting narrow def],InputResearch[Institution Name],AlmanacPVT[[#This Row],[Institution Name]])</f>
        <v>239161</v>
      </c>
      <c r="E124" s="86" t="s">
        <v>439</v>
      </c>
    </row>
    <row r="125" spans="1:5">
      <c r="A125" s="35" t="s">
        <v>316</v>
      </c>
      <c r="B125" s="63" t="s">
        <v>439</v>
      </c>
      <c r="C125" s="103">
        <v>3645</v>
      </c>
      <c r="D125" s="272">
        <f>SUMIFS(InputResearch[R &amp; D Expenses],InputResearch[Institution Name],AlmanacPVT[[#This Row],[Institution Name]])+SUMIFS(InputResearch[R &amp; D Exp Not meeting narrow def],InputResearch[Institution Name],AlmanacPVT[[#This Row],[Institution Name]])</f>
        <v>157325</v>
      </c>
      <c r="E125" s="86" t="s">
        <v>439</v>
      </c>
    </row>
    <row r="126" spans="1:5">
      <c r="A126" s="35" t="s">
        <v>317</v>
      </c>
      <c r="B126" s="63" t="s">
        <v>439</v>
      </c>
      <c r="C126" s="103">
        <v>3647</v>
      </c>
      <c r="D126" s="272">
        <f>SUMIFS(InputResearch[R &amp; D Expenses],InputResearch[Institution Name],AlmanacPVT[[#This Row],[Institution Name]])+SUMIFS(InputResearch[R &amp; D Exp Not meeting narrow def],InputResearch[Institution Name],AlmanacPVT[[#This Row],[Institution Name]])</f>
        <v>4768431</v>
      </c>
      <c r="E126" s="86" t="s">
        <v>439</v>
      </c>
    </row>
    <row r="127" spans="1:5">
      <c r="A127" s="35" t="s">
        <v>314</v>
      </c>
      <c r="B127" s="63" t="s">
        <v>439</v>
      </c>
      <c r="C127" s="103">
        <v>3651</v>
      </c>
      <c r="D127" s="272">
        <f>SUMIFS(InputResearch[R &amp; D Expenses],InputResearch[Institution Name],AlmanacPVT[[#This Row],[Institution Name]])+SUMIFS(InputResearch[R &amp; D Exp Not meeting narrow def],InputResearch[Institution Name],AlmanacPVT[[#This Row],[Institution Name]])</f>
        <v>387032</v>
      </c>
      <c r="E127" s="86" t="s">
        <v>439</v>
      </c>
    </row>
    <row r="128" spans="1:5">
      <c r="A128" s="35" t="s">
        <v>695</v>
      </c>
      <c r="B128" s="63" t="s">
        <v>439</v>
      </c>
      <c r="C128" s="103">
        <v>3663</v>
      </c>
      <c r="D128" s="272">
        <f>SUMIFS(InputResearch[R &amp; D Expenses],InputResearch[Institution Name],AlmanacPVT[[#This Row],[Institution Name]])+SUMIFS(InputResearch[R &amp; D Exp Not meeting narrow def],InputResearch[Institution Name],AlmanacPVT[[#This Row],[Institution Name]])</f>
        <v>41717</v>
      </c>
      <c r="E128" s="86" t="s">
        <v>439</v>
      </c>
    </row>
    <row r="129" spans="1:5">
      <c r="D129" s="272">
        <f>SUBTOTAL(109,AlmanacPVT[Research 
Expenditures¹])</f>
        <v>396326115</v>
      </c>
      <c r="E129" s="104"/>
    </row>
    <row r="130" spans="1:5">
      <c r="A130" s="486" t="s">
        <v>967</v>
      </c>
      <c r="B130" s="486"/>
      <c r="C130" s="486"/>
      <c r="D130" s="486"/>
      <c r="E130" s="486"/>
    </row>
    <row r="131" spans="1:5">
      <c r="A131" s="486"/>
      <c r="B131" s="486"/>
      <c r="C131" s="486"/>
      <c r="D131" s="486"/>
      <c r="E131" s="486"/>
    </row>
    <row r="132" spans="1:5">
      <c r="A132" s="485" t="s">
        <v>970</v>
      </c>
      <c r="B132" s="485"/>
      <c r="C132" s="485"/>
      <c r="D132" s="485"/>
      <c r="E132" s="485"/>
    </row>
  </sheetData>
  <sheetProtection algorithmName="SHA-512" hashValue="iDslXFE3e9DFl4XXPW046CHSJmpX3Gg+In4ZJgomYww1ottKKXH1oVAsRgxWgH6eN31AgmfrVcV5KkJ+UJ8WXQ==" saltValue="lF3zDZzEJBPa2pbyNFj+bA==" spinCount="100000" sheet="1" objects="1" scenarios="1" formatColumns="0"/>
  <mergeCells count="21">
    <mergeCell ref="A44:E44"/>
    <mergeCell ref="A108:E108"/>
    <mergeCell ref="A109:E109"/>
    <mergeCell ref="A88:E88"/>
    <mergeCell ref="A89:E89"/>
    <mergeCell ref="A132:E132"/>
    <mergeCell ref="A86:E86"/>
    <mergeCell ref="A41:E41"/>
    <mergeCell ref="A1:D1"/>
    <mergeCell ref="A2:E2"/>
    <mergeCell ref="A3:E3"/>
    <mergeCell ref="A25:E25"/>
    <mergeCell ref="A26:E26"/>
    <mergeCell ref="A23:E23"/>
    <mergeCell ref="A21:E22"/>
    <mergeCell ref="A39:E40"/>
    <mergeCell ref="A84:E85"/>
    <mergeCell ref="A130:E131"/>
    <mergeCell ref="A104:E105"/>
    <mergeCell ref="A43:E43"/>
    <mergeCell ref="A106:E106"/>
  </mergeCells>
  <phoneticPr fontId="7" type="noConversion"/>
  <pageMargins left="0.75" right="0.75" top="0.85" bottom="0.75" header="0.5" footer="0.25"/>
  <pageSetup scale="54" orientation="portrait" r:id="rId1"/>
  <headerFooter>
    <oddHeader>&amp;C&amp;"-,Bold"&amp;20Research Expenditures reported to the Almanac</oddHeader>
    <oddFooter>&amp;CPage &amp;P of &amp;N&amp;RPrinted on: &amp;D</oddFooter>
  </headerFooter>
  <drawing r:id="rId2"/>
  <legacyDrawing r:id="rId3"/>
  <tableParts count="5">
    <tablePart r:id="rId4"/>
    <tablePart r:id="rId5"/>
    <tablePart r:id="rId6"/>
    <tablePart r:id="rId7"/>
    <tablePart r:id="rId8"/>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EFA7A-1C76-46F7-8EE3-BEEA940BF03F}">
  <sheetPr codeName="Sheet5">
    <tabColor rgb="FFFFFFCC"/>
    <pageSetUpPr fitToPage="1"/>
  </sheetPr>
  <dimension ref="A1:H88"/>
  <sheetViews>
    <sheetView zoomScale="85" zoomScaleNormal="85" workbookViewId="0">
      <pane ySplit="1" topLeftCell="A2" activePane="bottomLeft" state="frozen"/>
      <selection pane="bottomLeft" sqref="A1:G1"/>
    </sheetView>
  </sheetViews>
  <sheetFormatPr defaultColWidth="8.81640625" defaultRowHeight="13.8"/>
  <cols>
    <col min="1" max="1" width="14.08984375" style="6" customWidth="1"/>
    <col min="2" max="7" width="16.81640625" style="6" customWidth="1"/>
    <col min="8" max="16384" width="8.81640625" style="6"/>
  </cols>
  <sheetData>
    <row r="1" spans="1:8" ht="22.8">
      <c r="A1" s="487"/>
      <c r="B1" s="487"/>
      <c r="C1" s="487"/>
      <c r="D1" s="487"/>
      <c r="E1" s="487"/>
      <c r="F1" s="487"/>
      <c r="G1" s="487"/>
      <c r="H1" s="5"/>
    </row>
    <row r="2" spans="1:8" ht="21">
      <c r="A2" s="488" t="s">
        <v>722</v>
      </c>
      <c r="B2" s="488"/>
      <c r="C2" s="488"/>
      <c r="D2" s="488"/>
      <c r="E2" s="488"/>
      <c r="F2" s="488"/>
      <c r="G2" s="488"/>
      <c r="H2" s="5"/>
    </row>
    <row r="3" spans="1:8" ht="15.6">
      <c r="A3" s="119" t="s">
        <v>720</v>
      </c>
      <c r="B3" s="120" t="s">
        <v>721</v>
      </c>
      <c r="C3" s="121"/>
      <c r="D3" s="121"/>
      <c r="E3" s="121"/>
      <c r="F3" s="121"/>
      <c r="G3" s="122"/>
      <c r="H3" s="5"/>
    </row>
    <row r="4" spans="1:8" ht="15">
      <c r="A4" s="369" t="s">
        <v>739</v>
      </c>
      <c r="B4" s="492" t="s">
        <v>738</v>
      </c>
      <c r="C4" s="493"/>
      <c r="D4" s="493"/>
      <c r="E4" s="493"/>
      <c r="F4" s="493"/>
      <c r="G4" s="494"/>
      <c r="H4" s="5"/>
    </row>
    <row r="5" spans="1:8" ht="15">
      <c r="A5" s="368" t="s">
        <v>710</v>
      </c>
      <c r="B5" s="495" t="s">
        <v>713</v>
      </c>
      <c r="C5" s="483"/>
      <c r="D5" s="483"/>
      <c r="E5" s="483"/>
      <c r="F5" s="483"/>
      <c r="G5" s="496"/>
      <c r="H5" s="5"/>
    </row>
    <row r="6" spans="1:8" ht="15">
      <c r="A6" s="368" t="s">
        <v>737</v>
      </c>
      <c r="B6" s="495" t="s">
        <v>923</v>
      </c>
      <c r="C6" s="483"/>
      <c r="D6" s="483"/>
      <c r="E6" s="483"/>
      <c r="F6" s="483"/>
      <c r="G6" s="496"/>
      <c r="H6" s="5"/>
    </row>
    <row r="7" spans="1:8" ht="15">
      <c r="A7" s="368" t="s">
        <v>914</v>
      </c>
      <c r="B7" s="495" t="s">
        <v>924</v>
      </c>
      <c r="C7" s="483"/>
      <c r="D7" s="483"/>
      <c r="E7" s="483"/>
      <c r="F7" s="483"/>
      <c r="G7" s="496"/>
      <c r="H7" s="5"/>
    </row>
    <row r="8" spans="1:8" ht="15">
      <c r="A8" s="368" t="s">
        <v>711</v>
      </c>
      <c r="B8" s="495" t="s">
        <v>712</v>
      </c>
      <c r="C8" s="483"/>
      <c r="D8" s="483"/>
      <c r="E8" s="483"/>
      <c r="F8" s="483"/>
      <c r="G8" s="496"/>
      <c r="H8" s="5"/>
    </row>
    <row r="9" spans="1:8" ht="15">
      <c r="A9" s="368" t="s">
        <v>384</v>
      </c>
      <c r="B9" s="495" t="s">
        <v>645</v>
      </c>
      <c r="C9" s="483"/>
      <c r="D9" s="483"/>
      <c r="E9" s="483"/>
      <c r="F9" s="483"/>
      <c r="G9" s="496"/>
      <c r="H9" s="5"/>
    </row>
    <row r="10" spans="1:8" ht="15">
      <c r="A10" s="368" t="s">
        <v>921</v>
      </c>
      <c r="B10" s="495" t="s">
        <v>922</v>
      </c>
      <c r="C10" s="483"/>
      <c r="D10" s="483"/>
      <c r="E10" s="483"/>
      <c r="F10" s="483"/>
      <c r="G10" s="496"/>
      <c r="H10" s="5"/>
    </row>
    <row r="11" spans="1:8" ht="15">
      <c r="A11" s="370" t="s">
        <v>704</v>
      </c>
      <c r="B11" s="497" t="s">
        <v>705</v>
      </c>
      <c r="C11" s="498"/>
      <c r="D11" s="498"/>
      <c r="E11" s="498"/>
      <c r="F11" s="498"/>
      <c r="G11" s="499"/>
      <c r="H11" s="5"/>
    </row>
    <row r="12" spans="1:8">
      <c r="A12" s="5"/>
      <c r="B12" s="5"/>
      <c r="C12" s="5"/>
      <c r="D12" s="5"/>
      <c r="E12" s="5"/>
      <c r="F12" s="5"/>
      <c r="G12" s="5"/>
      <c r="H12" s="5"/>
    </row>
    <row r="13" spans="1:8" ht="21">
      <c r="A13" s="489" t="s">
        <v>706</v>
      </c>
      <c r="B13" s="490"/>
      <c r="C13" s="490"/>
      <c r="D13" s="490"/>
      <c r="E13" s="490"/>
      <c r="F13" s="490"/>
      <c r="G13" s="491"/>
      <c r="H13" s="5"/>
    </row>
    <row r="14" spans="1:8" ht="31.95" customHeight="1">
      <c r="A14" s="506" t="s">
        <v>990</v>
      </c>
      <c r="B14" s="507"/>
      <c r="C14" s="507"/>
      <c r="D14" s="507"/>
      <c r="E14" s="507"/>
      <c r="F14" s="507"/>
      <c r="G14" s="508"/>
      <c r="H14" s="5"/>
    </row>
    <row r="15" spans="1:8" s="7" customFormat="1" ht="27" customHeight="1">
      <c r="A15" s="500" t="s">
        <v>925</v>
      </c>
      <c r="B15" s="501"/>
      <c r="C15" s="501"/>
      <c r="D15" s="501"/>
      <c r="E15" s="501"/>
      <c r="F15" s="501"/>
      <c r="G15" s="502"/>
      <c r="H15" s="8"/>
    </row>
    <row r="16" spans="1:8" s="7" customFormat="1" ht="27" customHeight="1">
      <c r="A16" s="500"/>
      <c r="B16" s="501"/>
      <c r="C16" s="501"/>
      <c r="D16" s="501"/>
      <c r="E16" s="501"/>
      <c r="F16" s="501"/>
      <c r="G16" s="502"/>
      <c r="H16" s="8"/>
    </row>
    <row r="17" spans="1:8" s="7" customFormat="1" ht="27" customHeight="1">
      <c r="A17" s="500" t="s">
        <v>926</v>
      </c>
      <c r="B17" s="501"/>
      <c r="C17" s="501"/>
      <c r="D17" s="501"/>
      <c r="E17" s="501"/>
      <c r="F17" s="501"/>
      <c r="G17" s="502"/>
      <c r="H17" s="8"/>
    </row>
    <row r="18" spans="1:8" s="7" customFormat="1" ht="27" customHeight="1">
      <c r="A18" s="500"/>
      <c r="B18" s="501"/>
      <c r="C18" s="501"/>
      <c r="D18" s="501"/>
      <c r="E18" s="501"/>
      <c r="F18" s="501"/>
      <c r="G18" s="502"/>
      <c r="H18" s="8"/>
    </row>
    <row r="19" spans="1:8" s="7" customFormat="1" ht="27" customHeight="1">
      <c r="A19" s="500" t="s">
        <v>927</v>
      </c>
      <c r="B19" s="501"/>
      <c r="C19" s="501"/>
      <c r="D19" s="501"/>
      <c r="E19" s="501"/>
      <c r="F19" s="501"/>
      <c r="G19" s="502"/>
      <c r="H19" s="8"/>
    </row>
    <row r="20" spans="1:8" s="7" customFormat="1" ht="27" customHeight="1">
      <c r="A20" s="500"/>
      <c r="B20" s="501"/>
      <c r="C20" s="501"/>
      <c r="D20" s="501"/>
      <c r="E20" s="501"/>
      <c r="F20" s="501"/>
      <c r="G20" s="502"/>
      <c r="H20" s="8"/>
    </row>
    <row r="21" spans="1:8" s="7" customFormat="1" ht="27" customHeight="1">
      <c r="A21" s="500"/>
      <c r="B21" s="501"/>
      <c r="C21" s="501"/>
      <c r="D21" s="501"/>
      <c r="E21" s="501"/>
      <c r="F21" s="501"/>
      <c r="G21" s="502"/>
      <c r="H21" s="8"/>
    </row>
    <row r="22" spans="1:8" s="7" customFormat="1" ht="27" customHeight="1">
      <c r="A22" s="500"/>
      <c r="B22" s="501"/>
      <c r="C22" s="501"/>
      <c r="D22" s="501"/>
      <c r="E22" s="501"/>
      <c r="F22" s="501"/>
      <c r="G22" s="502"/>
      <c r="H22" s="8"/>
    </row>
    <row r="23" spans="1:8" s="7" customFormat="1" ht="27" customHeight="1">
      <c r="A23" s="500"/>
      <c r="B23" s="501"/>
      <c r="C23" s="501"/>
      <c r="D23" s="501"/>
      <c r="E23" s="501"/>
      <c r="F23" s="501"/>
      <c r="G23" s="502"/>
      <c r="H23" s="8"/>
    </row>
    <row r="24" spans="1:8" s="7" customFormat="1" ht="27" customHeight="1">
      <c r="A24" s="500" t="s">
        <v>928</v>
      </c>
      <c r="B24" s="501"/>
      <c r="C24" s="501"/>
      <c r="D24" s="501"/>
      <c r="E24" s="501"/>
      <c r="F24" s="501"/>
      <c r="G24" s="502"/>
      <c r="H24" s="8"/>
    </row>
    <row r="25" spans="1:8" s="7" customFormat="1" ht="27" customHeight="1">
      <c r="A25" s="500"/>
      <c r="B25" s="501"/>
      <c r="C25" s="501"/>
      <c r="D25" s="501"/>
      <c r="E25" s="501"/>
      <c r="F25" s="501"/>
      <c r="G25" s="502"/>
      <c r="H25" s="8"/>
    </row>
    <row r="26" spans="1:8" s="7" customFormat="1" ht="27" customHeight="1">
      <c r="A26" s="500" t="s">
        <v>929</v>
      </c>
      <c r="B26" s="501"/>
      <c r="C26" s="501"/>
      <c r="D26" s="501"/>
      <c r="E26" s="501"/>
      <c r="F26" s="501"/>
      <c r="G26" s="502"/>
      <c r="H26" s="8"/>
    </row>
    <row r="27" spans="1:8" s="7" customFormat="1" ht="27" customHeight="1">
      <c r="A27" s="500"/>
      <c r="B27" s="501"/>
      <c r="C27" s="501"/>
      <c r="D27" s="501"/>
      <c r="E27" s="501"/>
      <c r="F27" s="501"/>
      <c r="G27" s="502"/>
      <c r="H27" s="8"/>
    </row>
    <row r="28" spans="1:8" s="7" customFormat="1" ht="27" customHeight="1">
      <c r="A28" s="500"/>
      <c r="B28" s="501"/>
      <c r="C28" s="501"/>
      <c r="D28" s="501"/>
      <c r="E28" s="501"/>
      <c r="F28" s="501"/>
      <c r="G28" s="502"/>
      <c r="H28" s="8"/>
    </row>
    <row r="29" spans="1:8" s="7" customFormat="1" ht="27" customHeight="1">
      <c r="A29" s="500"/>
      <c r="B29" s="501"/>
      <c r="C29" s="501"/>
      <c r="D29" s="501"/>
      <c r="E29" s="501"/>
      <c r="F29" s="501"/>
      <c r="G29" s="502"/>
      <c r="H29" s="8"/>
    </row>
    <row r="30" spans="1:8" s="7" customFormat="1" ht="27" customHeight="1">
      <c r="A30" s="500"/>
      <c r="B30" s="501"/>
      <c r="C30" s="501"/>
      <c r="D30" s="501"/>
      <c r="E30" s="501"/>
      <c r="F30" s="501"/>
      <c r="G30" s="502"/>
      <c r="H30" s="8"/>
    </row>
    <row r="31" spans="1:8" s="7" customFormat="1" ht="27" customHeight="1">
      <c r="A31" s="500" t="s">
        <v>930</v>
      </c>
      <c r="B31" s="501"/>
      <c r="C31" s="501"/>
      <c r="D31" s="501"/>
      <c r="E31" s="501"/>
      <c r="F31" s="501"/>
      <c r="G31" s="502"/>
      <c r="H31" s="8"/>
    </row>
    <row r="32" spans="1:8" s="7" customFormat="1" ht="27" customHeight="1">
      <c r="A32" s="500"/>
      <c r="B32" s="501"/>
      <c r="C32" s="501"/>
      <c r="D32" s="501"/>
      <c r="E32" s="501"/>
      <c r="F32" s="501"/>
      <c r="G32" s="502"/>
      <c r="H32" s="8"/>
    </row>
    <row r="33" spans="1:8" s="7" customFormat="1" ht="27" customHeight="1">
      <c r="A33" s="500" t="s">
        <v>931</v>
      </c>
      <c r="B33" s="501"/>
      <c r="C33" s="501"/>
      <c r="D33" s="501"/>
      <c r="E33" s="501"/>
      <c r="F33" s="501"/>
      <c r="G33" s="502"/>
      <c r="H33" s="8"/>
    </row>
    <row r="34" spans="1:8" s="7" customFormat="1" ht="27" customHeight="1">
      <c r="A34" s="500"/>
      <c r="B34" s="501"/>
      <c r="C34" s="501"/>
      <c r="D34" s="501"/>
      <c r="E34" s="501"/>
      <c r="F34" s="501"/>
      <c r="G34" s="502"/>
      <c r="H34" s="8"/>
    </row>
    <row r="35" spans="1:8" s="7" customFormat="1" ht="27" customHeight="1">
      <c r="A35" s="500" t="s">
        <v>932</v>
      </c>
      <c r="B35" s="501"/>
      <c r="C35" s="501"/>
      <c r="D35" s="501"/>
      <c r="E35" s="501"/>
      <c r="F35" s="501"/>
      <c r="G35" s="502"/>
      <c r="H35" s="8"/>
    </row>
    <row r="36" spans="1:8" s="7" customFormat="1" ht="27" customHeight="1">
      <c r="A36" s="500"/>
      <c r="B36" s="501"/>
      <c r="C36" s="501"/>
      <c r="D36" s="501"/>
      <c r="E36" s="501"/>
      <c r="F36" s="501"/>
      <c r="G36" s="502"/>
      <c r="H36" s="8"/>
    </row>
    <row r="37" spans="1:8" s="7" customFormat="1" ht="27" customHeight="1">
      <c r="A37" s="500" t="s">
        <v>933</v>
      </c>
      <c r="B37" s="501"/>
      <c r="C37" s="501"/>
      <c r="D37" s="501"/>
      <c r="E37" s="501"/>
      <c r="F37" s="501"/>
      <c r="G37" s="502"/>
      <c r="H37" s="8"/>
    </row>
    <row r="38" spans="1:8" s="7" customFormat="1" ht="27" customHeight="1">
      <c r="A38" s="500"/>
      <c r="B38" s="501"/>
      <c r="C38" s="501"/>
      <c r="D38" s="501"/>
      <c r="E38" s="501"/>
      <c r="F38" s="501"/>
      <c r="G38" s="502"/>
      <c r="H38" s="8"/>
    </row>
    <row r="39" spans="1:8" s="7" customFormat="1" ht="27" customHeight="1">
      <c r="A39" s="500"/>
      <c r="B39" s="501"/>
      <c r="C39" s="501"/>
      <c r="D39" s="501"/>
      <c r="E39" s="501"/>
      <c r="F39" s="501"/>
      <c r="G39" s="502"/>
      <c r="H39" s="8"/>
    </row>
    <row r="40" spans="1:8" s="7" customFormat="1" ht="27" customHeight="1">
      <c r="A40" s="500"/>
      <c r="B40" s="501"/>
      <c r="C40" s="501"/>
      <c r="D40" s="501"/>
      <c r="E40" s="501"/>
      <c r="F40" s="501"/>
      <c r="G40" s="502"/>
      <c r="H40" s="8"/>
    </row>
    <row r="41" spans="1:8" s="7" customFormat="1" ht="27" customHeight="1">
      <c r="A41" s="500" t="s">
        <v>934</v>
      </c>
      <c r="B41" s="501"/>
      <c r="C41" s="501"/>
      <c r="D41" s="501"/>
      <c r="E41" s="501"/>
      <c r="F41" s="501"/>
      <c r="G41" s="502"/>
      <c r="H41" s="8"/>
    </row>
    <row r="42" spans="1:8" s="7" customFormat="1" ht="27" customHeight="1">
      <c r="A42" s="500"/>
      <c r="B42" s="501"/>
      <c r="C42" s="501"/>
      <c r="D42" s="501"/>
      <c r="E42" s="501"/>
      <c r="F42" s="501"/>
      <c r="G42" s="502"/>
      <c r="H42" s="8"/>
    </row>
    <row r="43" spans="1:8" s="7" customFormat="1" ht="27" customHeight="1">
      <c r="A43" s="500"/>
      <c r="B43" s="501"/>
      <c r="C43" s="501"/>
      <c r="D43" s="501"/>
      <c r="E43" s="501"/>
      <c r="F43" s="501"/>
      <c r="G43" s="502"/>
      <c r="H43" s="8"/>
    </row>
    <row r="44" spans="1:8" s="7" customFormat="1" ht="27" customHeight="1">
      <c r="A44" s="500"/>
      <c r="B44" s="501"/>
      <c r="C44" s="501"/>
      <c r="D44" s="501"/>
      <c r="E44" s="501"/>
      <c r="F44" s="501"/>
      <c r="G44" s="502"/>
      <c r="H44" s="8"/>
    </row>
    <row r="45" spans="1:8" s="7" customFormat="1" ht="27" customHeight="1">
      <c r="A45" s="500" t="s">
        <v>935</v>
      </c>
      <c r="B45" s="501"/>
      <c r="C45" s="501"/>
      <c r="D45" s="501"/>
      <c r="E45" s="501"/>
      <c r="F45" s="501"/>
      <c r="G45" s="502"/>
      <c r="H45" s="8"/>
    </row>
    <row r="46" spans="1:8" s="7" customFormat="1" ht="27" customHeight="1">
      <c r="A46" s="500"/>
      <c r="B46" s="501"/>
      <c r="C46" s="501"/>
      <c r="D46" s="501"/>
      <c r="E46" s="501"/>
      <c r="F46" s="501"/>
      <c r="G46" s="502"/>
      <c r="H46" s="8"/>
    </row>
    <row r="47" spans="1:8" s="7" customFormat="1" ht="27" customHeight="1">
      <c r="A47" s="500"/>
      <c r="B47" s="501"/>
      <c r="C47" s="501"/>
      <c r="D47" s="501"/>
      <c r="E47" s="501"/>
      <c r="F47" s="501"/>
      <c r="G47" s="502"/>
      <c r="H47" s="8"/>
    </row>
    <row r="48" spans="1:8" s="7" customFormat="1" ht="27" customHeight="1">
      <c r="A48" s="500" t="s">
        <v>936</v>
      </c>
      <c r="B48" s="501"/>
      <c r="C48" s="501"/>
      <c r="D48" s="501"/>
      <c r="E48" s="501"/>
      <c r="F48" s="501"/>
      <c r="G48" s="502"/>
      <c r="H48" s="8"/>
    </row>
    <row r="49" spans="1:8" s="7" customFormat="1" ht="27" customHeight="1">
      <c r="A49" s="500" t="s">
        <v>937</v>
      </c>
      <c r="B49" s="501"/>
      <c r="C49" s="501"/>
      <c r="D49" s="501"/>
      <c r="E49" s="501"/>
      <c r="F49" s="501"/>
      <c r="G49" s="502"/>
      <c r="H49" s="8"/>
    </row>
    <row r="50" spans="1:8" s="7" customFormat="1" ht="27" customHeight="1">
      <c r="A50" s="500"/>
      <c r="B50" s="501"/>
      <c r="C50" s="501"/>
      <c r="D50" s="501"/>
      <c r="E50" s="501"/>
      <c r="F50" s="501"/>
      <c r="G50" s="502"/>
      <c r="H50" s="8"/>
    </row>
    <row r="51" spans="1:8" s="7" customFormat="1" ht="27" customHeight="1">
      <c r="A51" s="500" t="s">
        <v>938</v>
      </c>
      <c r="B51" s="501"/>
      <c r="C51" s="501"/>
      <c r="D51" s="501"/>
      <c r="E51" s="501"/>
      <c r="F51" s="501"/>
      <c r="G51" s="502"/>
      <c r="H51" s="8"/>
    </row>
    <row r="52" spans="1:8" s="7" customFormat="1" ht="27" customHeight="1">
      <c r="A52" s="500"/>
      <c r="B52" s="501"/>
      <c r="C52" s="501"/>
      <c r="D52" s="501"/>
      <c r="E52" s="501"/>
      <c r="F52" s="501"/>
      <c r="G52" s="502"/>
      <c r="H52" s="8"/>
    </row>
    <row r="53" spans="1:8" s="7" customFormat="1" ht="27" customHeight="1">
      <c r="A53" s="500" t="s">
        <v>939</v>
      </c>
      <c r="B53" s="501"/>
      <c r="C53" s="501"/>
      <c r="D53" s="501"/>
      <c r="E53" s="501"/>
      <c r="F53" s="501"/>
      <c r="G53" s="502"/>
      <c r="H53" s="8"/>
    </row>
    <row r="54" spans="1:8" s="7" customFormat="1" ht="27" customHeight="1">
      <c r="A54" s="500"/>
      <c r="B54" s="501"/>
      <c r="C54" s="501"/>
      <c r="D54" s="501"/>
      <c r="E54" s="501"/>
      <c r="F54" s="501"/>
      <c r="G54" s="502"/>
      <c r="H54" s="8"/>
    </row>
    <row r="55" spans="1:8" s="7" customFormat="1" ht="27" customHeight="1">
      <c r="A55" s="500" t="s">
        <v>940</v>
      </c>
      <c r="B55" s="501"/>
      <c r="C55" s="501"/>
      <c r="D55" s="501"/>
      <c r="E55" s="501"/>
      <c r="F55" s="501"/>
      <c r="G55" s="502"/>
      <c r="H55" s="8"/>
    </row>
    <row r="56" spans="1:8" s="7" customFormat="1" ht="27" customHeight="1">
      <c r="A56" s="500"/>
      <c r="B56" s="501"/>
      <c r="C56" s="501"/>
      <c r="D56" s="501"/>
      <c r="E56" s="501"/>
      <c r="F56" s="501"/>
      <c r="G56" s="502"/>
      <c r="H56" s="8"/>
    </row>
    <row r="57" spans="1:8" s="7" customFormat="1" ht="27" customHeight="1">
      <c r="A57" s="500"/>
      <c r="B57" s="501"/>
      <c r="C57" s="501"/>
      <c r="D57" s="501"/>
      <c r="E57" s="501"/>
      <c r="F57" s="501"/>
      <c r="G57" s="502"/>
      <c r="H57" s="8"/>
    </row>
    <row r="58" spans="1:8" s="7" customFormat="1" ht="27" customHeight="1">
      <c r="A58" s="500"/>
      <c r="B58" s="501"/>
      <c r="C58" s="501"/>
      <c r="D58" s="501"/>
      <c r="E58" s="501"/>
      <c r="F58" s="501"/>
      <c r="G58" s="502"/>
      <c r="H58" s="8"/>
    </row>
    <row r="59" spans="1:8" s="7" customFormat="1" ht="27" customHeight="1">
      <c r="A59" s="500"/>
      <c r="B59" s="501"/>
      <c r="C59" s="501"/>
      <c r="D59" s="501"/>
      <c r="E59" s="501"/>
      <c r="F59" s="501"/>
      <c r="G59" s="502"/>
      <c r="H59" s="8"/>
    </row>
    <row r="60" spans="1:8" s="7" customFormat="1" ht="27" customHeight="1">
      <c r="A60" s="500" t="s">
        <v>941</v>
      </c>
      <c r="B60" s="501"/>
      <c r="C60" s="501"/>
      <c r="D60" s="501"/>
      <c r="E60" s="501"/>
      <c r="F60" s="501"/>
      <c r="G60" s="502"/>
      <c r="H60" s="8"/>
    </row>
    <row r="61" spans="1:8" s="7" customFormat="1" ht="27" customHeight="1">
      <c r="A61" s="500" t="s">
        <v>942</v>
      </c>
      <c r="B61" s="501"/>
      <c r="C61" s="501"/>
      <c r="D61" s="501"/>
      <c r="E61" s="501"/>
      <c r="F61" s="501"/>
      <c r="G61" s="502"/>
      <c r="H61" s="8"/>
    </row>
    <row r="62" spans="1:8" s="7" customFormat="1" ht="27" customHeight="1">
      <c r="A62" s="500"/>
      <c r="B62" s="501"/>
      <c r="C62" s="501"/>
      <c r="D62" s="501"/>
      <c r="E62" s="501"/>
      <c r="F62" s="501"/>
      <c r="G62" s="502"/>
      <c r="H62" s="8"/>
    </row>
    <row r="63" spans="1:8" s="7" customFormat="1" ht="27" customHeight="1">
      <c r="A63" s="500" t="s">
        <v>943</v>
      </c>
      <c r="B63" s="501"/>
      <c r="C63" s="501"/>
      <c r="D63" s="501"/>
      <c r="E63" s="501"/>
      <c r="F63" s="501"/>
      <c r="G63" s="502"/>
      <c r="H63" s="8"/>
    </row>
    <row r="64" spans="1:8" s="7" customFormat="1" ht="27" customHeight="1">
      <c r="A64" s="500"/>
      <c r="B64" s="501"/>
      <c r="C64" s="501"/>
      <c r="D64" s="501"/>
      <c r="E64" s="501"/>
      <c r="F64" s="501"/>
      <c r="G64" s="502"/>
      <c r="H64" s="8"/>
    </row>
    <row r="65" spans="1:8" s="7" customFormat="1" ht="27" customHeight="1">
      <c r="A65" s="500" t="s">
        <v>944</v>
      </c>
      <c r="B65" s="501"/>
      <c r="C65" s="501"/>
      <c r="D65" s="501"/>
      <c r="E65" s="501"/>
      <c r="F65" s="501"/>
      <c r="G65" s="502"/>
      <c r="H65" s="8"/>
    </row>
    <row r="66" spans="1:8" s="7" customFormat="1" ht="27" customHeight="1">
      <c r="A66" s="500"/>
      <c r="B66" s="501"/>
      <c r="C66" s="501"/>
      <c r="D66" s="501"/>
      <c r="E66" s="501"/>
      <c r="F66" s="501"/>
      <c r="G66" s="502"/>
      <c r="H66" s="8"/>
    </row>
    <row r="67" spans="1:8" s="7" customFormat="1" ht="27" customHeight="1">
      <c r="A67" s="500" t="s">
        <v>945</v>
      </c>
      <c r="B67" s="501"/>
      <c r="C67" s="501"/>
      <c r="D67" s="501"/>
      <c r="E67" s="501"/>
      <c r="F67" s="501"/>
      <c r="G67" s="502"/>
      <c r="H67" s="8"/>
    </row>
    <row r="68" spans="1:8" s="7" customFormat="1" ht="27" customHeight="1">
      <c r="A68" s="500"/>
      <c r="B68" s="501"/>
      <c r="C68" s="501"/>
      <c r="D68" s="501"/>
      <c r="E68" s="501"/>
      <c r="F68" s="501"/>
      <c r="G68" s="502"/>
      <c r="H68" s="8"/>
    </row>
    <row r="69" spans="1:8" s="7" customFormat="1" ht="27" customHeight="1">
      <c r="A69" s="500"/>
      <c r="B69" s="501"/>
      <c r="C69" s="501"/>
      <c r="D69" s="501"/>
      <c r="E69" s="501"/>
      <c r="F69" s="501"/>
      <c r="G69" s="502"/>
      <c r="H69" s="8"/>
    </row>
    <row r="70" spans="1:8" s="7" customFormat="1" ht="27" customHeight="1">
      <c r="A70" s="500"/>
      <c r="B70" s="501"/>
      <c r="C70" s="501"/>
      <c r="D70" s="501"/>
      <c r="E70" s="501"/>
      <c r="F70" s="501"/>
      <c r="G70" s="502"/>
      <c r="H70" s="8"/>
    </row>
    <row r="71" spans="1:8" s="7" customFormat="1" ht="27" customHeight="1">
      <c r="A71" s="500" t="s">
        <v>946</v>
      </c>
      <c r="B71" s="501"/>
      <c r="C71" s="501"/>
      <c r="D71" s="501"/>
      <c r="E71" s="501"/>
      <c r="F71" s="501"/>
      <c r="G71" s="502"/>
      <c r="H71" s="8"/>
    </row>
    <row r="72" spans="1:8" s="7" customFormat="1" ht="27" customHeight="1">
      <c r="A72" s="500"/>
      <c r="B72" s="501"/>
      <c r="C72" s="501"/>
      <c r="D72" s="501"/>
      <c r="E72" s="501"/>
      <c r="F72" s="501"/>
      <c r="G72" s="502"/>
      <c r="H72" s="8"/>
    </row>
    <row r="73" spans="1:8" s="7" customFormat="1" ht="27" customHeight="1">
      <c r="A73" s="500"/>
      <c r="B73" s="501"/>
      <c r="C73" s="501"/>
      <c r="D73" s="501"/>
      <c r="E73" s="501"/>
      <c r="F73" s="501"/>
      <c r="G73" s="502"/>
      <c r="H73" s="8"/>
    </row>
    <row r="74" spans="1:8" s="7" customFormat="1" ht="27" customHeight="1">
      <c r="A74" s="500"/>
      <c r="B74" s="501"/>
      <c r="C74" s="501"/>
      <c r="D74" s="501"/>
      <c r="E74" s="501"/>
      <c r="F74" s="501"/>
      <c r="G74" s="502"/>
      <c r="H74" s="8"/>
    </row>
    <row r="75" spans="1:8" s="7" customFormat="1" ht="27" customHeight="1">
      <c r="A75" s="500" t="s">
        <v>947</v>
      </c>
      <c r="B75" s="501"/>
      <c r="C75" s="501"/>
      <c r="D75" s="501"/>
      <c r="E75" s="501"/>
      <c r="F75" s="501"/>
      <c r="G75" s="502"/>
      <c r="H75" s="8"/>
    </row>
    <row r="76" spans="1:8" s="7" customFormat="1" ht="27" customHeight="1">
      <c r="A76" s="500"/>
      <c r="B76" s="501"/>
      <c r="C76" s="501"/>
      <c r="D76" s="501"/>
      <c r="E76" s="501"/>
      <c r="F76" s="501"/>
      <c r="G76" s="502"/>
      <c r="H76" s="8"/>
    </row>
    <row r="77" spans="1:8" s="7" customFormat="1" ht="27" customHeight="1">
      <c r="A77" s="500"/>
      <c r="B77" s="501"/>
      <c r="C77" s="501"/>
      <c r="D77" s="501"/>
      <c r="E77" s="501"/>
      <c r="F77" s="501"/>
      <c r="G77" s="502"/>
      <c r="H77" s="8"/>
    </row>
    <row r="78" spans="1:8" s="7" customFormat="1" ht="27" customHeight="1">
      <c r="A78" s="500" t="s">
        <v>948</v>
      </c>
      <c r="B78" s="501"/>
      <c r="C78" s="501"/>
      <c r="D78" s="501"/>
      <c r="E78" s="501"/>
      <c r="F78" s="501"/>
      <c r="G78" s="502"/>
      <c r="H78" s="8"/>
    </row>
    <row r="79" spans="1:8" s="7" customFormat="1" ht="27" customHeight="1">
      <c r="A79" s="500" t="s">
        <v>949</v>
      </c>
      <c r="B79" s="501"/>
      <c r="C79" s="501"/>
      <c r="D79" s="501"/>
      <c r="E79" s="501"/>
      <c r="F79" s="501"/>
      <c r="G79" s="502"/>
      <c r="H79" s="8"/>
    </row>
    <row r="80" spans="1:8" s="7" customFormat="1" ht="27" customHeight="1">
      <c r="A80" s="500"/>
      <c r="B80" s="501"/>
      <c r="C80" s="501"/>
      <c r="D80" s="501"/>
      <c r="E80" s="501"/>
      <c r="F80" s="501"/>
      <c r="G80" s="502"/>
      <c r="H80" s="8"/>
    </row>
    <row r="81" spans="1:8" s="7" customFormat="1" ht="27" customHeight="1">
      <c r="A81" s="500" t="s">
        <v>950</v>
      </c>
      <c r="B81" s="501"/>
      <c r="C81" s="501"/>
      <c r="D81" s="501"/>
      <c r="E81" s="501"/>
      <c r="F81" s="501"/>
      <c r="G81" s="502"/>
      <c r="H81" s="8"/>
    </row>
    <row r="82" spans="1:8" s="7" customFormat="1" ht="27" customHeight="1">
      <c r="A82" s="500"/>
      <c r="B82" s="501"/>
      <c r="C82" s="501"/>
      <c r="D82" s="501"/>
      <c r="E82" s="501"/>
      <c r="F82" s="501"/>
      <c r="G82" s="502"/>
      <c r="H82" s="8"/>
    </row>
    <row r="83" spans="1:8" s="7" customFormat="1" ht="27" customHeight="1">
      <c r="A83" s="500" t="s">
        <v>951</v>
      </c>
      <c r="B83" s="501"/>
      <c r="C83" s="501"/>
      <c r="D83" s="501"/>
      <c r="E83" s="501"/>
      <c r="F83" s="501"/>
      <c r="G83" s="502"/>
      <c r="H83" s="8"/>
    </row>
    <row r="84" spans="1:8" ht="27" customHeight="1">
      <c r="A84" s="503"/>
      <c r="B84" s="504"/>
      <c r="C84" s="504"/>
      <c r="D84" s="504"/>
      <c r="E84" s="504"/>
      <c r="F84" s="504"/>
      <c r="G84" s="505"/>
      <c r="H84" s="5"/>
    </row>
    <row r="85" spans="1:8" ht="27" customHeight="1">
      <c r="A85" s="503"/>
      <c r="B85" s="504"/>
      <c r="C85" s="504"/>
      <c r="D85" s="504"/>
      <c r="E85" s="504"/>
      <c r="F85" s="504"/>
      <c r="G85" s="505"/>
      <c r="H85" s="5"/>
    </row>
    <row r="86" spans="1:8" ht="27" customHeight="1">
      <c r="A86" s="5"/>
      <c r="B86" s="5"/>
      <c r="C86" s="5"/>
      <c r="D86" s="5"/>
      <c r="E86" s="5"/>
      <c r="F86" s="5"/>
      <c r="G86" s="5"/>
      <c r="H86" s="5"/>
    </row>
    <row r="87" spans="1:8" ht="27" customHeight="1">
      <c r="A87" s="5"/>
      <c r="B87" s="5"/>
      <c r="C87" s="5"/>
      <c r="D87" s="5"/>
      <c r="E87" s="5"/>
      <c r="F87" s="5"/>
      <c r="G87" s="5"/>
      <c r="H87" s="5"/>
    </row>
    <row r="88" spans="1:8" ht="27" customHeight="1"/>
  </sheetData>
  <sheetProtection algorithmName="SHA-512" hashValue="WlDj3FAHqWiKdnF6eCRLvMVXesQB2Cp5NyJ07WPQ9qfgukY0ZFUl8v2oV3/ymbS6x/QmVTUkVlzNswEupw2c6g==" saltValue="e9q0R2IG1nAdodey+9wi5A==" spinCount="100000" sheet="1" objects="1" scenarios="1"/>
  <mergeCells count="39">
    <mergeCell ref="A14:G14"/>
    <mergeCell ref="A65:G66"/>
    <mergeCell ref="A61:G62"/>
    <mergeCell ref="A17:G18"/>
    <mergeCell ref="A24:G25"/>
    <mergeCell ref="A31:G32"/>
    <mergeCell ref="A33:G34"/>
    <mergeCell ref="A15:G16"/>
    <mergeCell ref="A49:G50"/>
    <mergeCell ref="A51:G52"/>
    <mergeCell ref="A53:G54"/>
    <mergeCell ref="A63:G64"/>
    <mergeCell ref="A35:G36"/>
    <mergeCell ref="A19:G23"/>
    <mergeCell ref="A26:G30"/>
    <mergeCell ref="A60:G60"/>
    <mergeCell ref="A55:G59"/>
    <mergeCell ref="A37:G40"/>
    <mergeCell ref="A41:G44"/>
    <mergeCell ref="A48:G48"/>
    <mergeCell ref="A45:G47"/>
    <mergeCell ref="A81:G82"/>
    <mergeCell ref="A83:G85"/>
    <mergeCell ref="A79:G80"/>
    <mergeCell ref="A67:G70"/>
    <mergeCell ref="A71:G74"/>
    <mergeCell ref="A78:G78"/>
    <mergeCell ref="A75:G77"/>
    <mergeCell ref="A1:G1"/>
    <mergeCell ref="A2:G2"/>
    <mergeCell ref="A13:G13"/>
    <mergeCell ref="B4:G4"/>
    <mergeCell ref="B5:G5"/>
    <mergeCell ref="B6:G6"/>
    <mergeCell ref="B7:G7"/>
    <mergeCell ref="B8:G8"/>
    <mergeCell ref="B9:G9"/>
    <mergeCell ref="B11:G11"/>
    <mergeCell ref="B10:G10"/>
  </mergeCells>
  <pageMargins left="0.7" right="0.7" top="0.75" bottom="0.75" header="0.3" footer="0.3"/>
  <pageSetup scale="2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910F7-66A6-4B3D-A259-57F23E595F2E}">
  <sheetPr codeName="Sheet7">
    <tabColor theme="5"/>
    <pageSetUpPr fitToPage="1"/>
  </sheetPr>
  <dimension ref="A1:H22"/>
  <sheetViews>
    <sheetView zoomScale="85" zoomScaleNormal="85" workbookViewId="0">
      <pane ySplit="1" topLeftCell="A2" activePane="bottomLeft" state="frozen"/>
      <selection pane="bottomLeft" sqref="A1:G1"/>
    </sheetView>
  </sheetViews>
  <sheetFormatPr defaultColWidth="8.81640625" defaultRowHeight="15"/>
  <cols>
    <col min="1" max="1" width="60.6328125" style="2" customWidth="1"/>
    <col min="2" max="2" width="8.81640625" style="2"/>
    <col min="3" max="6" width="20.6328125" style="2" customWidth="1"/>
    <col min="7" max="7" width="16.90625" style="2" customWidth="1"/>
    <col min="8" max="16384" width="8.81640625" style="2"/>
  </cols>
  <sheetData>
    <row r="1" spans="1:8" ht="22.8">
      <c r="A1" s="511" t="s">
        <v>880</v>
      </c>
      <c r="B1" s="511"/>
      <c r="C1" s="511"/>
      <c r="D1" s="511"/>
      <c r="E1" s="511"/>
      <c r="F1" s="511"/>
      <c r="G1" s="511"/>
      <c r="H1" s="5"/>
    </row>
    <row r="2" spans="1:8" ht="17.399999999999999">
      <c r="A2" s="513" t="s">
        <v>645</v>
      </c>
      <c r="B2" s="514"/>
      <c r="C2" s="514"/>
      <c r="D2" s="514"/>
      <c r="E2" s="514"/>
      <c r="F2" s="514"/>
      <c r="G2" s="514"/>
      <c r="H2" s="1"/>
    </row>
    <row r="3" spans="1:8">
      <c r="A3" s="512">
        <v>45344</v>
      </c>
      <c r="B3" s="512"/>
      <c r="C3" s="512"/>
      <c r="D3" s="512"/>
      <c r="E3" s="512"/>
      <c r="F3" s="512"/>
      <c r="G3" s="512"/>
      <c r="H3" s="1"/>
    </row>
    <row r="4" spans="1:8" s="34" customFormat="1" ht="13.2">
      <c r="A4" s="33"/>
      <c r="B4" s="33"/>
      <c r="C4" s="33"/>
      <c r="D4" s="33"/>
      <c r="E4" s="33"/>
      <c r="F4" s="33"/>
      <c r="G4" s="33"/>
      <c r="H4" s="33"/>
    </row>
    <row r="5" spans="1:8" s="35" customFormat="1" ht="22.2" customHeight="1">
      <c r="A5" s="40"/>
      <c r="B5" s="40"/>
      <c r="C5" s="509" t="s">
        <v>101</v>
      </c>
      <c r="D5" s="510"/>
      <c r="E5" s="509" t="s">
        <v>102</v>
      </c>
      <c r="F5" s="510"/>
      <c r="G5" s="40"/>
      <c r="H5" s="40"/>
    </row>
    <row r="6" spans="1:8" s="35" customFormat="1" ht="31.2">
      <c r="A6" s="164" t="s">
        <v>797</v>
      </c>
      <c r="B6" s="165" t="s">
        <v>796</v>
      </c>
      <c r="C6" s="166" t="s">
        <v>798</v>
      </c>
      <c r="D6" s="166" t="s">
        <v>864</v>
      </c>
      <c r="E6" s="166" t="s">
        <v>798</v>
      </c>
      <c r="F6" s="166" t="s">
        <v>864</v>
      </c>
      <c r="G6" s="165" t="s">
        <v>603</v>
      </c>
      <c r="H6" s="40"/>
    </row>
    <row r="7" spans="1:8" s="35" customFormat="1" ht="27" customHeight="1">
      <c r="A7" s="108" t="s">
        <v>398</v>
      </c>
      <c r="B7" s="167">
        <v>103606</v>
      </c>
      <c r="C7" s="168">
        <f>SUMIFS(InputResearch[Biological &amp; Other Life Sci. St. Approp.],InputResearch[Institution Name],A7)</f>
        <v>0</v>
      </c>
      <c r="D7" s="169">
        <f>SUMIFS(InputResearch[Medical St. Approp.],InputResearch[Institution Name],A7)</f>
        <v>0</v>
      </c>
      <c r="E7" s="168">
        <f>SUMIFS(InputResearch[Biological &amp; Other Life Sci. St. C&amp;G],InputResearch[Institution Name],A7)</f>
        <v>0</v>
      </c>
      <c r="F7" s="169">
        <f>SUMIFS(InputResearch[Medical St. C&amp;G],InputResearch[Institution Name],A7)</f>
        <v>0</v>
      </c>
      <c r="G7" s="323">
        <f>SUM(C7:F7)</f>
        <v>0</v>
      </c>
      <c r="H7" s="40"/>
    </row>
    <row r="8" spans="1:8" s="35" customFormat="1" ht="27" customHeight="1">
      <c r="A8" s="108" t="s">
        <v>391</v>
      </c>
      <c r="B8" s="167">
        <v>89</v>
      </c>
      <c r="C8" s="168">
        <f>SUMIFS(InputResearch[Biological &amp; Other Life Sci. St. Approp.],InputResearch[Institution Name],A8)</f>
        <v>2697378</v>
      </c>
      <c r="D8" s="169">
        <f>SUMIFS(InputResearch[Medical St. Approp.],InputResearch[Institution Name],A8)</f>
        <v>18040194</v>
      </c>
      <c r="E8" s="168">
        <f>SUMIFS(InputResearch[Biological &amp; Other Life Sci. St. C&amp;G],InputResearch[Institution Name],A8)</f>
        <v>3547674</v>
      </c>
      <c r="F8" s="169">
        <f>SUMIFS(InputResearch[Medical St. C&amp;G],InputResearch[Institution Name],A8)</f>
        <v>2914762</v>
      </c>
      <c r="G8" s="323">
        <f t="shared" ref="G8:G20" si="0">SUM(C8:F8)</f>
        <v>27200008</v>
      </c>
      <c r="H8" s="40"/>
    </row>
    <row r="9" spans="1:8" s="35" customFormat="1" ht="27" customHeight="1">
      <c r="A9" s="108" t="s">
        <v>393</v>
      </c>
      <c r="B9" s="167">
        <v>412</v>
      </c>
      <c r="C9" s="168">
        <f>SUMIFS(InputResearch[Biological &amp; Other Life Sci. St. Approp.],InputResearch[Institution Name],A9)</f>
        <v>6278849</v>
      </c>
      <c r="D9" s="169">
        <f>SUMIFS(InputResearch[Medical St. Approp.],InputResearch[Institution Name],A9)</f>
        <v>8020345</v>
      </c>
      <c r="E9" s="168">
        <f>SUMIFS(InputResearch[Biological &amp; Other Life Sci. St. C&amp;G],InputResearch[Institution Name],A9)</f>
        <v>772323</v>
      </c>
      <c r="F9" s="169">
        <f>SUMIFS(InputResearch[Medical St. C&amp;G],InputResearch[Institution Name],A9)</f>
        <v>2660281</v>
      </c>
      <c r="G9" s="323">
        <f t="shared" si="0"/>
        <v>17731798</v>
      </c>
      <c r="H9" s="40"/>
    </row>
    <row r="10" spans="1:8" s="35" customFormat="1" ht="27" customHeight="1">
      <c r="A10" s="108" t="s">
        <v>394</v>
      </c>
      <c r="B10" s="167">
        <v>862</v>
      </c>
      <c r="C10" s="168">
        <f>SUMIFS(InputResearch[Biological &amp; Other Life Sci. St. Approp.],InputResearch[Institution Name],A10)</f>
        <v>1983456</v>
      </c>
      <c r="D10" s="169">
        <f>SUMIFS(InputResearch[Medical St. Approp.],InputResearch[Institution Name],A10)</f>
        <v>2166574</v>
      </c>
      <c r="E10" s="168">
        <f>SUMIFS(InputResearch[Biological &amp; Other Life Sci. St. C&amp;G],InputResearch[Institution Name],A10)</f>
        <v>210269</v>
      </c>
      <c r="F10" s="169">
        <f>SUMIFS(InputResearch[Medical St. C&amp;G],InputResearch[Institution Name],A10)</f>
        <v>2813039</v>
      </c>
      <c r="G10" s="323">
        <f t="shared" si="0"/>
        <v>7173338</v>
      </c>
      <c r="H10" s="40"/>
    </row>
    <row r="11" spans="1:8" s="35" customFormat="1" ht="27" customHeight="1">
      <c r="A11" s="108" t="s">
        <v>396</v>
      </c>
      <c r="B11" s="167">
        <v>203658</v>
      </c>
      <c r="C11" s="168">
        <f>SUMIFS(InputResearch[Biological &amp; Other Life Sci. St. Approp.],InputResearch[Institution Name],A11)</f>
        <v>0</v>
      </c>
      <c r="D11" s="169">
        <f>SUMIFS(InputResearch[Medical St. Approp.],InputResearch[Institution Name],A11)</f>
        <v>0</v>
      </c>
      <c r="E11" s="168">
        <f>SUMIFS(InputResearch[Biological &amp; Other Life Sci. St. C&amp;G],InputResearch[Institution Name],A11)</f>
        <v>0</v>
      </c>
      <c r="F11" s="169">
        <f>SUMIFS(InputResearch[Medical St. C&amp;G],InputResearch[Institution Name],A11)</f>
        <v>0</v>
      </c>
      <c r="G11" s="323">
        <f t="shared" si="0"/>
        <v>0</v>
      </c>
      <c r="H11" s="40"/>
    </row>
    <row r="12" spans="1:8" s="35" customFormat="1" ht="27" customHeight="1">
      <c r="A12" s="108" t="s">
        <v>387</v>
      </c>
      <c r="B12" s="167">
        <v>11618</v>
      </c>
      <c r="C12" s="168">
        <f>SUMIFS(InputResearch[Biological &amp; Other Life Sci. St. Approp.],InputResearch[Institution Name],A12)</f>
        <v>0</v>
      </c>
      <c r="D12" s="169">
        <f>SUMIFS(InputResearch[Medical St. Approp.],InputResearch[Institution Name],A12)</f>
        <v>26749100</v>
      </c>
      <c r="E12" s="168">
        <f>SUMIFS(InputResearch[Biological &amp; Other Life Sci. St. C&amp;G],InputResearch[Institution Name],A12)</f>
        <v>3942770</v>
      </c>
      <c r="F12" s="169">
        <f>SUMIFS(InputResearch[Medical St. C&amp;G],InputResearch[Institution Name],A12)</f>
        <v>13344689</v>
      </c>
      <c r="G12" s="323">
        <f t="shared" si="0"/>
        <v>44036559</v>
      </c>
      <c r="H12" s="40"/>
    </row>
    <row r="13" spans="1:8" s="35" customFormat="1" ht="27" customHeight="1">
      <c r="A13" s="108" t="s">
        <v>388</v>
      </c>
      <c r="B13" s="167">
        <v>40</v>
      </c>
      <c r="C13" s="168">
        <f>SUMIFS(InputResearch[Biological &amp; Other Life Sci. St. Approp.],InputResearch[Institution Name],A13)</f>
        <v>0</v>
      </c>
      <c r="D13" s="169">
        <f>SUMIFS(InputResearch[Medical St. Approp.],InputResearch[Institution Name],A13)</f>
        <v>24410243</v>
      </c>
      <c r="E13" s="168">
        <f>SUMIFS(InputResearch[Biological &amp; Other Life Sci. St. C&amp;G],InputResearch[Institution Name],A13)</f>
        <v>0</v>
      </c>
      <c r="F13" s="169">
        <f>SUMIFS(InputResearch[Medical St. C&amp;G],InputResearch[Institution Name],A13)</f>
        <v>13633623</v>
      </c>
      <c r="G13" s="323">
        <f t="shared" si="0"/>
        <v>38043866</v>
      </c>
      <c r="H13" s="40"/>
    </row>
    <row r="14" spans="1:8" s="35" customFormat="1" ht="27" customHeight="1">
      <c r="A14" s="108" t="s">
        <v>390</v>
      </c>
      <c r="B14" s="167">
        <v>42439</v>
      </c>
      <c r="C14" s="168">
        <f>SUMIFS(InputResearch[Biological &amp; Other Life Sci. St. Approp.],InputResearch[Institution Name],A14)</f>
        <v>0</v>
      </c>
      <c r="D14" s="169">
        <f>SUMIFS(InputResearch[Medical St. Approp.],InputResearch[Institution Name],A14)</f>
        <v>1660635</v>
      </c>
      <c r="E14" s="168">
        <f>SUMIFS(InputResearch[Biological &amp; Other Life Sci. St. C&amp;G],InputResearch[Institution Name],A14)</f>
        <v>0</v>
      </c>
      <c r="F14" s="169">
        <f>SUMIFS(InputResearch[Medical St. C&amp;G],InputResearch[Institution Name],A14)</f>
        <v>8628081</v>
      </c>
      <c r="G14" s="323">
        <f t="shared" si="0"/>
        <v>10288716</v>
      </c>
      <c r="H14" s="40"/>
    </row>
    <row r="15" spans="1:8" s="35" customFormat="1" ht="27" customHeight="1">
      <c r="A15" s="108" t="s">
        <v>389</v>
      </c>
      <c r="B15" s="167">
        <v>25554</v>
      </c>
      <c r="C15" s="168">
        <f>SUMIFS(InputResearch[Biological &amp; Other Life Sci. St. Approp.],InputResearch[Institution Name],A15)</f>
        <v>52613376</v>
      </c>
      <c r="D15" s="169">
        <f>SUMIFS(InputResearch[Medical St. Approp.],InputResearch[Institution Name],A15)</f>
        <v>188222411</v>
      </c>
      <c r="E15" s="168">
        <f>SUMIFS(InputResearch[Biological &amp; Other Life Sci. St. C&amp;G],InputResearch[Institution Name],A15)</f>
        <v>16018428</v>
      </c>
      <c r="F15" s="169">
        <f>SUMIFS(InputResearch[Medical St. C&amp;G],InputResearch[Institution Name],A15)</f>
        <v>21995692</v>
      </c>
      <c r="G15" s="323">
        <f t="shared" si="0"/>
        <v>278849907</v>
      </c>
      <c r="H15" s="40"/>
    </row>
    <row r="16" spans="1:8" s="35" customFormat="1" ht="27" customHeight="1">
      <c r="A16" s="108" t="s">
        <v>386</v>
      </c>
      <c r="B16" s="167">
        <v>104952</v>
      </c>
      <c r="C16" s="168">
        <f>SUMIFS(InputResearch[Biological &amp; Other Life Sci. St. Approp.],InputResearch[Institution Name],A16)</f>
        <v>199069</v>
      </c>
      <c r="D16" s="169">
        <f>SUMIFS(InputResearch[Medical St. Approp.],InputResearch[Institution Name],A16)</f>
        <v>102266</v>
      </c>
      <c r="E16" s="168">
        <f>SUMIFS(InputResearch[Biological &amp; Other Life Sci. St. C&amp;G],InputResearch[Institution Name],A16)</f>
        <v>3208654.0000000009</v>
      </c>
      <c r="F16" s="169">
        <f>SUMIFS(InputResearch[Medical St. C&amp;G],InputResearch[Institution Name],A16)</f>
        <v>3918684</v>
      </c>
      <c r="G16" s="323">
        <f t="shared" si="0"/>
        <v>7428673.0000000009</v>
      </c>
      <c r="H16" s="40"/>
    </row>
    <row r="17" spans="1:8" s="35" customFormat="1" ht="27" customHeight="1">
      <c r="A17" s="108" t="s">
        <v>395</v>
      </c>
      <c r="B17" s="167">
        <v>203599</v>
      </c>
      <c r="C17" s="168">
        <f>SUMIFS(InputResearch[Biological &amp; Other Life Sci. St. Approp.],InputResearch[Institution Name],A17)</f>
        <v>0</v>
      </c>
      <c r="D17" s="169">
        <f>SUMIFS(InputResearch[Medical St. Approp.],InputResearch[Institution Name],A17)</f>
        <v>0</v>
      </c>
      <c r="E17" s="168">
        <f>SUMIFS(InputResearch[Biological &amp; Other Life Sci. St. C&amp;G],InputResearch[Institution Name],A17)</f>
        <v>0</v>
      </c>
      <c r="F17" s="169">
        <f>SUMIFS(InputResearch[Medical St. C&amp;G],InputResearch[Institution Name],A17)</f>
        <v>0</v>
      </c>
      <c r="G17" s="323">
        <f t="shared" si="0"/>
        <v>0</v>
      </c>
      <c r="H17" s="40"/>
    </row>
    <row r="18" spans="1:8" s="35" customFormat="1" ht="27" customHeight="1">
      <c r="A18" s="108" t="s">
        <v>385</v>
      </c>
      <c r="B18" s="167">
        <v>30</v>
      </c>
      <c r="C18" s="168">
        <f>SUMIFS(InputResearch[Biological &amp; Other Life Sci. St. Approp.],InputResearch[Institution Name],A18)</f>
        <v>22200152</v>
      </c>
      <c r="D18" s="169">
        <f>SUMIFS(InputResearch[Medical St. Approp.],InputResearch[Institution Name],A18)</f>
        <v>17145589</v>
      </c>
      <c r="E18" s="168">
        <f>SUMIFS(InputResearch[Biological &amp; Other Life Sci. St. C&amp;G],InputResearch[Institution Name],A18)</f>
        <v>16811097</v>
      </c>
      <c r="F18" s="169">
        <f>SUMIFS(InputResearch[Medical St. C&amp;G],InputResearch[Institution Name],A18)</f>
        <v>27182370</v>
      </c>
      <c r="G18" s="323">
        <f t="shared" si="0"/>
        <v>83339208</v>
      </c>
      <c r="H18" s="40"/>
    </row>
    <row r="19" spans="1:8" s="35" customFormat="1" ht="27" customHeight="1">
      <c r="A19" s="108" t="s">
        <v>397</v>
      </c>
      <c r="B19" s="167">
        <v>203652</v>
      </c>
      <c r="C19" s="168">
        <f>SUMIFS(InputResearch[Biological &amp; Other Life Sci. St. Approp.],InputResearch[Institution Name],A19)</f>
        <v>0</v>
      </c>
      <c r="D19" s="169">
        <f>SUMIFS(InputResearch[Medical St. Approp.],InputResearch[Institution Name],A19)</f>
        <v>0</v>
      </c>
      <c r="E19" s="168">
        <f>SUMIFS(InputResearch[Biological &amp; Other Life Sci. St. C&amp;G],InputResearch[Institution Name],A19)</f>
        <v>0</v>
      </c>
      <c r="F19" s="169">
        <f>SUMIFS(InputResearch[Medical St. C&amp;G],InputResearch[Institution Name],A19)</f>
        <v>0</v>
      </c>
      <c r="G19" s="323">
        <f t="shared" si="0"/>
        <v>0</v>
      </c>
      <c r="H19" s="40"/>
    </row>
    <row r="20" spans="1:8" s="35" customFormat="1" ht="27" customHeight="1" thickBot="1">
      <c r="A20" s="108" t="s">
        <v>392</v>
      </c>
      <c r="B20" s="170">
        <v>130</v>
      </c>
      <c r="C20" s="171">
        <f>SUMIFS(InputResearch[Biological &amp; Other Life Sci. St. Approp.],InputResearch[Institution Name],A20)</f>
        <v>1358634</v>
      </c>
      <c r="D20" s="172">
        <f>SUMIFS(InputResearch[Medical St. Approp.],InputResearch[Institution Name],A20)</f>
        <v>1348980</v>
      </c>
      <c r="E20" s="171">
        <f>SUMIFS(InputResearch[Biological &amp; Other Life Sci. St. C&amp;G],InputResearch[Institution Name],A20)</f>
        <v>0</v>
      </c>
      <c r="F20" s="169">
        <f>SUMIFS(InputResearch[Medical St. C&amp;G],InputResearch[Institution Name],A20)</f>
        <v>494790</v>
      </c>
      <c r="G20" s="323">
        <f t="shared" si="0"/>
        <v>3202404</v>
      </c>
      <c r="H20" s="40"/>
    </row>
    <row r="21" spans="1:8" s="35" customFormat="1" ht="27" customHeight="1" thickTop="1">
      <c r="A21" s="173"/>
      <c r="B21" s="174"/>
      <c r="C21" s="321">
        <f>SUM(C7:C20)</f>
        <v>87330914</v>
      </c>
      <c r="D21" s="321">
        <f>SUM(D7:D20)</f>
        <v>287866337</v>
      </c>
      <c r="E21" s="321">
        <f>SUM(E7:E20)</f>
        <v>44511215</v>
      </c>
      <c r="F21" s="321">
        <f>SUM(F7:F20)</f>
        <v>97586011</v>
      </c>
      <c r="G21" s="322">
        <f>SUM(G7:G20)</f>
        <v>517294477</v>
      </c>
      <c r="H21" s="40"/>
    </row>
    <row r="22" spans="1:8">
      <c r="A22" s="1"/>
      <c r="B22" s="1"/>
      <c r="C22" s="1"/>
      <c r="D22" s="1"/>
      <c r="E22" s="1"/>
      <c r="F22" s="1"/>
      <c r="G22" s="1"/>
      <c r="H22" s="1"/>
    </row>
  </sheetData>
  <sheetProtection algorithmName="SHA-512" hashValue="caMEfhNPodnvJSXoCdfOsQ3/7MCbcWis55ElPUdkZMHiEfoea63VieVAAXzjgZ4f0iM4+wSFQq2i+otImliK7w==" saltValue="8k2sDj1zBFB0XncL0Nus4w==" spinCount="100000" sheet="1" objects="1" scenarios="1"/>
  <mergeCells count="5">
    <mergeCell ref="C5:D5"/>
    <mergeCell ref="E5:F5"/>
    <mergeCell ref="A1:G1"/>
    <mergeCell ref="A3:G3"/>
    <mergeCell ref="A2:G2"/>
  </mergeCells>
  <pageMargins left="0.5" right="0.5" top="0.75" bottom="0.75" header="0.5" footer="0.3"/>
  <pageSetup scale="60" orientation="landscape" r:id="rId1"/>
  <headerFooter>
    <oddHeader>&amp;C&amp;18 Healthcare Research for Comptrollers Healthcare Report - FY 2023</oddHeader>
    <oddFooter>&amp;RPrinted on: &amp;D</oddFooter>
  </headerFooter>
  <ignoredErrors>
    <ignoredError sqref="G7:G20" formulaRange="1"/>
  </ignoredErrors>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A5C17-203D-43FA-A015-BC0BEF1ED49D}">
  <sheetPr codeName="Sheet8">
    <tabColor theme="7" tint="0.79998168889431442"/>
  </sheetPr>
  <dimension ref="A1:HR102"/>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9.08984375" defaultRowHeight="15" outlineLevelCol="1"/>
  <cols>
    <col min="1" max="1" width="66" style="37" customWidth="1"/>
    <col min="2" max="2" width="8.90625" style="37" customWidth="1"/>
    <col min="3" max="4" width="11.453125" style="37" customWidth="1"/>
    <col min="5" max="5" width="8.36328125" style="37" customWidth="1"/>
    <col min="6" max="103" width="18.81640625" style="35" customWidth="1"/>
    <col min="104" max="104" width="11.08984375" style="35" customWidth="1"/>
    <col min="105" max="105" width="9.90625" style="35" hidden="1" customWidth="1" outlineLevel="1"/>
    <col min="106" max="106" width="22.08984375" style="35" hidden="1" customWidth="1" outlineLevel="1"/>
    <col min="107" max="107" width="24.1796875" style="35" hidden="1" customWidth="1" outlineLevel="1"/>
    <col min="108" max="108" width="22.6328125" style="35" hidden="1" customWidth="1" outlineLevel="1"/>
    <col min="109" max="109" width="19.453125" style="35" hidden="1" customWidth="1" outlineLevel="1"/>
    <col min="110" max="110" width="19.90625" style="35" hidden="1" customWidth="1" outlineLevel="1"/>
    <col min="111" max="111" width="20.81640625" style="35" customWidth="1" collapsed="1"/>
    <col min="112" max="205" width="18.81640625" style="35" customWidth="1"/>
    <col min="206" max="206" width="34.6328125" style="35" bestFit="1" customWidth="1"/>
    <col min="207" max="216" width="18.81640625" style="35" customWidth="1"/>
    <col min="217" max="218" width="18.81640625" style="139" customWidth="1"/>
    <col min="219" max="219" width="73.6328125" style="139" bestFit="1" customWidth="1"/>
    <col min="220" max="220" width="14.453125" style="35" hidden="1" customWidth="1"/>
    <col min="221" max="221" width="22.1796875" style="35" hidden="1" customWidth="1"/>
    <col min="222" max="223" width="18.6328125" style="35" hidden="1" customWidth="1"/>
    <col min="224" max="224" width="14.6328125" style="35" hidden="1" customWidth="1"/>
    <col min="225" max="225" width="15.1796875" style="35" hidden="1" customWidth="1"/>
    <col min="226" max="226" width="11.90625" style="35" hidden="1" customWidth="1"/>
    <col min="227" max="16384" width="9.08984375" style="35"/>
  </cols>
  <sheetData>
    <row r="1" spans="1:226">
      <c r="A1" s="35" t="s">
        <v>1</v>
      </c>
      <c r="B1" s="37" t="s">
        <v>586</v>
      </c>
      <c r="C1" s="37" t="s">
        <v>587</v>
      </c>
      <c r="D1" s="37" t="s">
        <v>836</v>
      </c>
      <c r="E1" s="37" t="s">
        <v>2</v>
      </c>
      <c r="F1" s="35" t="s">
        <v>589</v>
      </c>
      <c r="G1" s="35" t="s">
        <v>590</v>
      </c>
      <c r="H1" s="35" t="s">
        <v>591</v>
      </c>
      <c r="I1" s="35" t="s">
        <v>592</v>
      </c>
      <c r="J1" s="35" t="s">
        <v>593</v>
      </c>
      <c r="K1" s="35" t="s">
        <v>594</v>
      </c>
      <c r="L1" s="35" t="s">
        <v>595</v>
      </c>
      <c r="M1" s="35" t="s">
        <v>596</v>
      </c>
      <c r="N1" s="35" t="s">
        <v>597</v>
      </c>
      <c r="O1" s="35" t="s">
        <v>440</v>
      </c>
      <c r="P1" s="35" t="s">
        <v>441</v>
      </c>
      <c r="Q1" s="35" t="s">
        <v>442</v>
      </c>
      <c r="R1" s="35" t="s">
        <v>443</v>
      </c>
      <c r="S1" s="35" t="s">
        <v>444</v>
      </c>
      <c r="T1" s="35" t="s">
        <v>445</v>
      </c>
      <c r="U1" s="35" t="s">
        <v>446</v>
      </c>
      <c r="V1" s="35" t="s">
        <v>447</v>
      </c>
      <c r="W1" s="35" t="s">
        <v>448</v>
      </c>
      <c r="X1" s="35" t="s">
        <v>449</v>
      </c>
      <c r="Y1" s="35" t="s">
        <v>450</v>
      </c>
      <c r="Z1" s="35" t="s">
        <v>451</v>
      </c>
      <c r="AA1" s="35" t="s">
        <v>452</v>
      </c>
      <c r="AB1" s="35" t="s">
        <v>453</v>
      </c>
      <c r="AC1" s="35" t="s">
        <v>454</v>
      </c>
      <c r="AD1" s="35" t="s">
        <v>455</v>
      </c>
      <c r="AE1" s="35" t="s">
        <v>456</v>
      </c>
      <c r="AF1" s="35" t="s">
        <v>457</v>
      </c>
      <c r="AG1" s="35" t="s">
        <v>458</v>
      </c>
      <c r="AH1" s="35" t="s">
        <v>459</v>
      </c>
      <c r="AI1" s="35" t="s">
        <v>460</v>
      </c>
      <c r="AJ1" s="35" t="s">
        <v>461</v>
      </c>
      <c r="AK1" s="35" t="s">
        <v>462</v>
      </c>
      <c r="AL1" s="35" t="s">
        <v>463</v>
      </c>
      <c r="AM1" s="35" t="s">
        <v>464</v>
      </c>
      <c r="AN1" s="35" t="s">
        <v>465</v>
      </c>
      <c r="AO1" s="35" t="s">
        <v>466</v>
      </c>
      <c r="AP1" s="35" t="s">
        <v>467</v>
      </c>
      <c r="AQ1" s="35" t="s">
        <v>468</v>
      </c>
      <c r="AR1" s="35" t="s">
        <v>469</v>
      </c>
      <c r="AS1" s="35" t="s">
        <v>470</v>
      </c>
      <c r="AT1" s="35" t="s">
        <v>471</v>
      </c>
      <c r="AU1" s="35" t="s">
        <v>472</v>
      </c>
      <c r="AV1" s="35" t="s">
        <v>473</v>
      </c>
      <c r="AW1" s="35" t="s">
        <v>474</v>
      </c>
      <c r="AX1" s="35" t="s">
        <v>475</v>
      </c>
      <c r="AY1" s="35" t="s">
        <v>476</v>
      </c>
      <c r="AZ1" s="35" t="s">
        <v>607</v>
      </c>
      <c r="BA1" s="35" t="s">
        <v>608</v>
      </c>
      <c r="BB1" s="35" t="s">
        <v>609</v>
      </c>
      <c r="BC1" s="35" t="s">
        <v>610</v>
      </c>
      <c r="BD1" s="35" t="s">
        <v>611</v>
      </c>
      <c r="BE1" s="35" t="s">
        <v>477</v>
      </c>
      <c r="BF1" s="35" t="s">
        <v>478</v>
      </c>
      <c r="BG1" s="35" t="s">
        <v>479</v>
      </c>
      <c r="BH1" s="35" t="s">
        <v>480</v>
      </c>
      <c r="BI1" s="35" t="s">
        <v>481</v>
      </c>
      <c r="BJ1" s="35" t="s">
        <v>482</v>
      </c>
      <c r="BK1" s="35" t="s">
        <v>483</v>
      </c>
      <c r="BL1" s="35" t="s">
        <v>484</v>
      </c>
      <c r="BM1" s="35" t="s">
        <v>485</v>
      </c>
      <c r="BN1" s="35" t="s">
        <v>486</v>
      </c>
      <c r="BO1" s="35" t="s">
        <v>487</v>
      </c>
      <c r="BP1" s="35" t="s">
        <v>488</v>
      </c>
      <c r="BQ1" s="35" t="s">
        <v>489</v>
      </c>
      <c r="BR1" s="35" t="s">
        <v>490</v>
      </c>
      <c r="BS1" s="35" t="s">
        <v>491</v>
      </c>
      <c r="BT1" s="35" t="s">
        <v>492</v>
      </c>
      <c r="BU1" s="35" t="s">
        <v>493</v>
      </c>
      <c r="BV1" s="35" t="s">
        <v>494</v>
      </c>
      <c r="BW1" s="35" t="s">
        <v>612</v>
      </c>
      <c r="BX1" s="35" t="s">
        <v>613</v>
      </c>
      <c r="BY1" s="35" t="s">
        <v>614</v>
      </c>
      <c r="BZ1" s="35" t="s">
        <v>615</v>
      </c>
      <c r="CA1" s="35" t="s">
        <v>616</v>
      </c>
      <c r="CB1" s="35" t="s">
        <v>617</v>
      </c>
      <c r="CC1" s="35" t="s">
        <v>495</v>
      </c>
      <c r="CD1" s="35" t="s">
        <v>496</v>
      </c>
      <c r="CE1" s="35" t="s">
        <v>497</v>
      </c>
      <c r="CF1" s="35" t="s">
        <v>498</v>
      </c>
      <c r="CG1" s="35" t="s">
        <v>499</v>
      </c>
      <c r="CH1" s="35" t="s">
        <v>500</v>
      </c>
      <c r="CI1" s="35" t="s">
        <v>501</v>
      </c>
      <c r="CJ1" s="35" t="s">
        <v>502</v>
      </c>
      <c r="CK1" s="35" t="s">
        <v>503</v>
      </c>
      <c r="CL1" s="35" t="s">
        <v>504</v>
      </c>
      <c r="CM1" s="35" t="s">
        <v>505</v>
      </c>
      <c r="CN1" s="35" t="s">
        <v>506</v>
      </c>
      <c r="CO1" s="35" t="s">
        <v>507</v>
      </c>
      <c r="CP1" s="35" t="s">
        <v>508</v>
      </c>
      <c r="CQ1" s="35" t="s">
        <v>509</v>
      </c>
      <c r="CR1" s="35" t="s">
        <v>510</v>
      </c>
      <c r="CS1" s="35" t="s">
        <v>511</v>
      </c>
      <c r="CT1" s="35" t="s">
        <v>512</v>
      </c>
      <c r="CU1" s="35" t="s">
        <v>513</v>
      </c>
      <c r="CV1" s="35" t="s">
        <v>514</v>
      </c>
      <c r="CW1" s="35" t="s">
        <v>515</v>
      </c>
      <c r="CX1" s="35" t="s">
        <v>516</v>
      </c>
      <c r="CY1" s="35" t="s">
        <v>517</v>
      </c>
      <c r="CZ1" s="35" t="s">
        <v>518</v>
      </c>
      <c r="DA1" s="35" t="s">
        <v>100</v>
      </c>
      <c r="DB1" s="35" t="s">
        <v>101</v>
      </c>
      <c r="DC1" s="35" t="s">
        <v>102</v>
      </c>
      <c r="DD1" s="35" t="s">
        <v>103</v>
      </c>
      <c r="DE1" s="35" t="s">
        <v>809</v>
      </c>
      <c r="DF1" s="35" t="s">
        <v>810</v>
      </c>
      <c r="DG1" s="35" t="s">
        <v>519</v>
      </c>
      <c r="DH1" s="35" t="s">
        <v>520</v>
      </c>
      <c r="DI1" s="35" t="s">
        <v>521</v>
      </c>
      <c r="DJ1" s="35" t="s">
        <v>522</v>
      </c>
      <c r="DK1" s="35" t="s">
        <v>523</v>
      </c>
      <c r="DL1" s="35" t="s">
        <v>524</v>
      </c>
      <c r="DM1" s="35" t="s">
        <v>618</v>
      </c>
      <c r="DN1" s="35" t="s">
        <v>619</v>
      </c>
      <c r="DO1" s="35" t="s">
        <v>620</v>
      </c>
      <c r="DP1" s="35" t="s">
        <v>621</v>
      </c>
      <c r="DQ1" s="35" t="s">
        <v>622</v>
      </c>
      <c r="DR1" s="35" t="s">
        <v>623</v>
      </c>
      <c r="DS1" s="35" t="s">
        <v>525</v>
      </c>
      <c r="DT1" s="35" t="s">
        <v>624</v>
      </c>
      <c r="DU1" s="35" t="s">
        <v>625</v>
      </c>
      <c r="DV1" s="35" t="s">
        <v>626</v>
      </c>
      <c r="DW1" s="35" t="s">
        <v>627</v>
      </c>
      <c r="DX1" s="35" t="s">
        <v>628</v>
      </c>
      <c r="DY1" s="35" t="s">
        <v>526</v>
      </c>
      <c r="DZ1" s="35" t="s">
        <v>527</v>
      </c>
      <c r="EA1" s="35" t="s">
        <v>528</v>
      </c>
      <c r="EB1" s="35" t="s">
        <v>529</v>
      </c>
      <c r="EC1" s="35" t="s">
        <v>530</v>
      </c>
      <c r="ED1" s="35" t="s">
        <v>531</v>
      </c>
      <c r="EE1" s="35" t="s">
        <v>629</v>
      </c>
      <c r="EF1" s="35" t="s">
        <v>630</v>
      </c>
      <c r="EG1" s="35" t="s">
        <v>631</v>
      </c>
      <c r="EH1" s="35" t="s">
        <v>632</v>
      </c>
      <c r="EI1" s="35" t="s">
        <v>633</v>
      </c>
      <c r="EJ1" s="35" t="s">
        <v>634</v>
      </c>
      <c r="EK1" s="35" t="s">
        <v>635</v>
      </c>
      <c r="EL1" s="35" t="s">
        <v>636</v>
      </c>
      <c r="EM1" s="35" t="s">
        <v>637</v>
      </c>
      <c r="EN1" s="35" t="s">
        <v>638</v>
      </c>
      <c r="EO1" s="35" t="s">
        <v>639</v>
      </c>
      <c r="EP1" s="35" t="s">
        <v>640</v>
      </c>
      <c r="EQ1" s="35" t="s">
        <v>532</v>
      </c>
      <c r="ER1" s="35" t="s">
        <v>533</v>
      </c>
      <c r="ES1" s="35" t="s">
        <v>534</v>
      </c>
      <c r="ET1" s="35" t="s">
        <v>535</v>
      </c>
      <c r="EU1" s="35" t="s">
        <v>536</v>
      </c>
      <c r="EV1" s="35" t="s">
        <v>537</v>
      </c>
      <c r="EW1" s="35" t="s">
        <v>538</v>
      </c>
      <c r="EX1" s="35" t="s">
        <v>539</v>
      </c>
      <c r="EY1" s="35" t="s">
        <v>540</v>
      </c>
      <c r="EZ1" s="35" t="s">
        <v>541</v>
      </c>
      <c r="FA1" s="35" t="s">
        <v>542</v>
      </c>
      <c r="FB1" s="35" t="s">
        <v>543</v>
      </c>
      <c r="FC1" s="35" t="s">
        <v>544</v>
      </c>
      <c r="FD1" s="35" t="s">
        <v>545</v>
      </c>
      <c r="FE1" s="35" t="s">
        <v>546</v>
      </c>
      <c r="FF1" s="35" t="s">
        <v>547</v>
      </c>
      <c r="FG1" s="35" t="s">
        <v>548</v>
      </c>
      <c r="FH1" s="35" t="s">
        <v>549</v>
      </c>
      <c r="FI1" s="35" t="s">
        <v>550</v>
      </c>
      <c r="FJ1" s="35" t="s">
        <v>551</v>
      </c>
      <c r="FK1" s="35" t="s">
        <v>552</v>
      </c>
      <c r="FL1" s="35" t="s">
        <v>553</v>
      </c>
      <c r="FM1" s="35" t="s">
        <v>554</v>
      </c>
      <c r="FN1" s="35" t="s">
        <v>555</v>
      </c>
      <c r="FO1" s="35" t="s">
        <v>556</v>
      </c>
      <c r="FP1" s="35" t="s">
        <v>557</v>
      </c>
      <c r="FQ1" s="35" t="s">
        <v>558</v>
      </c>
      <c r="FR1" s="35" t="s">
        <v>559</v>
      </c>
      <c r="FS1" s="35" t="s">
        <v>560</v>
      </c>
      <c r="FT1" s="35" t="s">
        <v>561</v>
      </c>
      <c r="FU1" s="35" t="s">
        <v>562</v>
      </c>
      <c r="FV1" s="35" t="s">
        <v>563</v>
      </c>
      <c r="FW1" s="35" t="s">
        <v>564</v>
      </c>
      <c r="FX1" s="35" t="s">
        <v>565</v>
      </c>
      <c r="FY1" s="35" t="s">
        <v>566</v>
      </c>
      <c r="FZ1" s="35" t="s">
        <v>567</v>
      </c>
      <c r="GA1" s="35" t="s">
        <v>568</v>
      </c>
      <c r="GB1" s="35" t="s">
        <v>569</v>
      </c>
      <c r="GC1" s="35" t="s">
        <v>570</v>
      </c>
      <c r="GD1" s="35" t="s">
        <v>571</v>
      </c>
      <c r="GE1" s="35" t="s">
        <v>572</v>
      </c>
      <c r="GF1" s="35" t="s">
        <v>573</v>
      </c>
      <c r="GG1" s="35" t="s">
        <v>574</v>
      </c>
      <c r="GH1" s="35" t="s">
        <v>575</v>
      </c>
      <c r="GI1" s="35" t="s">
        <v>576</v>
      </c>
      <c r="GJ1" s="35" t="s">
        <v>577</v>
      </c>
      <c r="GK1" s="35" t="s">
        <v>578</v>
      </c>
      <c r="GL1" s="35" t="s">
        <v>579</v>
      </c>
      <c r="GM1" s="35" t="s">
        <v>580</v>
      </c>
      <c r="GN1" s="35" t="s">
        <v>581</v>
      </c>
      <c r="GO1" s="35" t="s">
        <v>582</v>
      </c>
      <c r="GP1" s="35" t="s">
        <v>583</v>
      </c>
      <c r="GQ1" s="35" t="s">
        <v>584</v>
      </c>
      <c r="GR1" s="35" t="s">
        <v>585</v>
      </c>
      <c r="GS1" s="35" t="s">
        <v>3</v>
      </c>
      <c r="GT1" s="35" t="s">
        <v>4</v>
      </c>
      <c r="GU1" s="35" t="s">
        <v>5</v>
      </c>
      <c r="GV1" s="35" t="s">
        <v>104</v>
      </c>
      <c r="GW1" s="35" t="s">
        <v>105</v>
      </c>
      <c r="GX1" s="35" t="s">
        <v>106</v>
      </c>
      <c r="GY1" s="35" t="s">
        <v>6</v>
      </c>
      <c r="GZ1" s="35" t="s">
        <v>7</v>
      </c>
      <c r="HA1" s="35" t="s">
        <v>8</v>
      </c>
      <c r="HB1" s="35" t="s">
        <v>9</v>
      </c>
      <c r="HC1" s="35" t="s">
        <v>10</v>
      </c>
      <c r="HD1" s="35" t="s">
        <v>11</v>
      </c>
      <c r="HE1" s="35" t="s">
        <v>12</v>
      </c>
      <c r="HF1" s="35" t="s">
        <v>13</v>
      </c>
      <c r="HG1" s="35" t="s">
        <v>14</v>
      </c>
      <c r="HH1" s="35" t="s">
        <v>15</v>
      </c>
      <c r="HI1" s="35" t="s">
        <v>16</v>
      </c>
      <c r="HJ1" s="35" t="s">
        <v>17</v>
      </c>
      <c r="HK1" s="35" t="s">
        <v>18</v>
      </c>
      <c r="HL1" s="125" t="s">
        <v>813</v>
      </c>
      <c r="HM1" s="125" t="s">
        <v>814</v>
      </c>
      <c r="HN1" s="125" t="s">
        <v>815</v>
      </c>
      <c r="HO1" s="125" t="s">
        <v>816</v>
      </c>
      <c r="HP1" s="125" t="s">
        <v>817</v>
      </c>
      <c r="HQ1" s="125" t="s">
        <v>818</v>
      </c>
      <c r="HR1" s="125" t="s">
        <v>859</v>
      </c>
    </row>
    <row r="2" spans="1:226" s="130" customFormat="1" ht="15.6">
      <c r="A2" s="126" t="s">
        <v>588</v>
      </c>
      <c r="B2" s="126" t="s">
        <v>873</v>
      </c>
      <c r="C2" s="126">
        <v>0</v>
      </c>
      <c r="D2" s="126"/>
      <c r="E2" s="127"/>
      <c r="F2" s="127" t="s">
        <v>107</v>
      </c>
      <c r="G2" s="127" t="s">
        <v>108</v>
      </c>
      <c r="H2" s="127" t="s">
        <v>109</v>
      </c>
      <c r="I2" s="127" t="s">
        <v>110</v>
      </c>
      <c r="J2" s="127" t="s">
        <v>111</v>
      </c>
      <c r="K2" s="127" t="s">
        <v>112</v>
      </c>
      <c r="L2" s="126" t="s">
        <v>113</v>
      </c>
      <c r="M2" s="126" t="s">
        <v>114</v>
      </c>
      <c r="N2" s="126" t="s">
        <v>115</v>
      </c>
      <c r="O2" s="126" t="s">
        <v>116</v>
      </c>
      <c r="P2" s="126" t="s">
        <v>117</v>
      </c>
      <c r="Q2" s="126" t="s">
        <v>118</v>
      </c>
      <c r="R2" s="126" t="s">
        <v>119</v>
      </c>
      <c r="S2" s="126" t="s">
        <v>120</v>
      </c>
      <c r="T2" s="126" t="s">
        <v>121</v>
      </c>
      <c r="U2" s="126" t="s">
        <v>122</v>
      </c>
      <c r="V2" s="126" t="s">
        <v>123</v>
      </c>
      <c r="W2" s="126" t="s">
        <v>124</v>
      </c>
      <c r="X2" s="126" t="s">
        <v>125</v>
      </c>
      <c r="Y2" s="126" t="s">
        <v>126</v>
      </c>
      <c r="Z2" s="126" t="s">
        <v>127</v>
      </c>
      <c r="AA2" s="126" t="s">
        <v>128</v>
      </c>
      <c r="AB2" s="126" t="s">
        <v>129</v>
      </c>
      <c r="AC2" s="126" t="s">
        <v>130</v>
      </c>
      <c r="AD2" s="126" t="s">
        <v>131</v>
      </c>
      <c r="AE2" s="126" t="s">
        <v>132</v>
      </c>
      <c r="AF2" s="126" t="s">
        <v>133</v>
      </c>
      <c r="AG2" s="126" t="s">
        <v>134</v>
      </c>
      <c r="AH2" s="126" t="s">
        <v>135</v>
      </c>
      <c r="AI2" s="126" t="s">
        <v>136</v>
      </c>
      <c r="AJ2" s="126" t="s">
        <v>137</v>
      </c>
      <c r="AK2" s="126" t="s">
        <v>138</v>
      </c>
      <c r="AL2" s="126" t="s">
        <v>139</v>
      </c>
      <c r="AM2" s="126" t="s">
        <v>140</v>
      </c>
      <c r="AN2" s="126" t="s">
        <v>141</v>
      </c>
      <c r="AO2" s="126" t="s">
        <v>142</v>
      </c>
      <c r="AP2" s="126" t="s">
        <v>143</v>
      </c>
      <c r="AQ2" s="126" t="s">
        <v>144</v>
      </c>
      <c r="AR2" s="126" t="s">
        <v>145</v>
      </c>
      <c r="AS2" s="126" t="s">
        <v>146</v>
      </c>
      <c r="AT2" s="126" t="s">
        <v>147</v>
      </c>
      <c r="AU2" s="126" t="s">
        <v>148</v>
      </c>
      <c r="AV2" s="126" t="s">
        <v>149</v>
      </c>
      <c r="AW2" s="126" t="s">
        <v>150</v>
      </c>
      <c r="AX2" s="126" t="s">
        <v>151</v>
      </c>
      <c r="AY2" s="126" t="s">
        <v>152</v>
      </c>
      <c r="AZ2" s="126" t="s">
        <v>153</v>
      </c>
      <c r="BA2" s="126" t="s">
        <v>154</v>
      </c>
      <c r="BB2" s="126" t="s">
        <v>155</v>
      </c>
      <c r="BC2" s="126" t="s">
        <v>156</v>
      </c>
      <c r="BD2" s="126" t="s">
        <v>157</v>
      </c>
      <c r="BE2" s="126" t="s">
        <v>158</v>
      </c>
      <c r="BF2" s="126" t="s">
        <v>159</v>
      </c>
      <c r="BG2" s="126" t="s">
        <v>160</v>
      </c>
      <c r="BH2" s="126" t="s">
        <v>161</v>
      </c>
      <c r="BI2" s="126" t="s">
        <v>162</v>
      </c>
      <c r="BJ2" s="126" t="s">
        <v>163</v>
      </c>
      <c r="BK2" s="126" t="s">
        <v>164</v>
      </c>
      <c r="BL2" s="126" t="s">
        <v>165</v>
      </c>
      <c r="BM2" s="126" t="s">
        <v>166</v>
      </c>
      <c r="BN2" s="126" t="s">
        <v>167</v>
      </c>
      <c r="BO2" s="126" t="s">
        <v>168</v>
      </c>
      <c r="BP2" s="126" t="s">
        <v>169</v>
      </c>
      <c r="BQ2" s="126" t="s">
        <v>170</v>
      </c>
      <c r="BR2" s="126" t="s">
        <v>171</v>
      </c>
      <c r="BS2" s="126" t="s">
        <v>172</v>
      </c>
      <c r="BT2" s="126" t="s">
        <v>173</v>
      </c>
      <c r="BU2" s="126" t="s">
        <v>174</v>
      </c>
      <c r="BV2" s="126" t="s">
        <v>175</v>
      </c>
      <c r="BW2" s="126" t="s">
        <v>176</v>
      </c>
      <c r="BX2" s="126" t="s">
        <v>177</v>
      </c>
      <c r="BY2" s="126" t="s">
        <v>178</v>
      </c>
      <c r="BZ2" s="126" t="s">
        <v>179</v>
      </c>
      <c r="CA2" s="126" t="s">
        <v>180</v>
      </c>
      <c r="CB2" s="126" t="s">
        <v>181</v>
      </c>
      <c r="CC2" s="126" t="s">
        <v>182</v>
      </c>
      <c r="CD2" s="126" t="s">
        <v>183</v>
      </c>
      <c r="CE2" s="126" t="s">
        <v>184</v>
      </c>
      <c r="CF2" s="126" t="s">
        <v>185</v>
      </c>
      <c r="CG2" s="126" t="s">
        <v>186</v>
      </c>
      <c r="CH2" s="126" t="s">
        <v>187</v>
      </c>
      <c r="CI2" s="126" t="s">
        <v>188</v>
      </c>
      <c r="CJ2" s="126" t="s">
        <v>189</v>
      </c>
      <c r="CK2" s="126" t="s">
        <v>190</v>
      </c>
      <c r="CL2" s="126" t="s">
        <v>191</v>
      </c>
      <c r="CM2" s="126" t="s">
        <v>192</v>
      </c>
      <c r="CN2" s="126" t="s">
        <v>193</v>
      </c>
      <c r="CO2" s="126" t="s">
        <v>194</v>
      </c>
      <c r="CP2" s="126" t="s">
        <v>195</v>
      </c>
      <c r="CQ2" s="126" t="s">
        <v>196</v>
      </c>
      <c r="CR2" s="126" t="s">
        <v>197</v>
      </c>
      <c r="CS2" s="126" t="s">
        <v>198</v>
      </c>
      <c r="CT2" s="126" t="s">
        <v>199</v>
      </c>
      <c r="CU2" s="126" t="s">
        <v>200</v>
      </c>
      <c r="CV2" s="126" t="s">
        <v>201</v>
      </c>
      <c r="CW2" s="126" t="s">
        <v>202</v>
      </c>
      <c r="CX2" s="126" t="s">
        <v>203</v>
      </c>
      <c r="CY2" s="126" t="s">
        <v>204</v>
      </c>
      <c r="CZ2" s="126" t="s">
        <v>205</v>
      </c>
      <c r="DA2" s="128" t="s">
        <v>206</v>
      </c>
      <c r="DB2" s="128" t="s">
        <v>207</v>
      </c>
      <c r="DC2" s="128" t="s">
        <v>208</v>
      </c>
      <c r="DD2" s="128" t="s">
        <v>209</v>
      </c>
      <c r="DE2" s="128" t="s">
        <v>210</v>
      </c>
      <c r="DF2" s="128" t="s">
        <v>211</v>
      </c>
      <c r="DG2" s="126" t="s">
        <v>212</v>
      </c>
      <c r="DH2" s="126" t="s">
        <v>213</v>
      </c>
      <c r="DI2" s="126" t="s">
        <v>214</v>
      </c>
      <c r="DJ2" s="126" t="s">
        <v>215</v>
      </c>
      <c r="DK2" s="126" t="s">
        <v>216</v>
      </c>
      <c r="DL2" s="126" t="s">
        <v>217</v>
      </c>
      <c r="DM2" s="126" t="s">
        <v>218</v>
      </c>
      <c r="DN2" s="126" t="s">
        <v>219</v>
      </c>
      <c r="DO2" s="126" t="s">
        <v>220</v>
      </c>
      <c r="DP2" s="126" t="s">
        <v>221</v>
      </c>
      <c r="DQ2" s="126" t="s">
        <v>222</v>
      </c>
      <c r="DR2" s="126" t="s">
        <v>223</v>
      </c>
      <c r="DS2" s="126" t="s">
        <v>399</v>
      </c>
      <c r="DT2" s="126" t="s">
        <v>400</v>
      </c>
      <c r="DU2" s="126" t="s">
        <v>401</v>
      </c>
      <c r="DV2" s="126" t="s">
        <v>402</v>
      </c>
      <c r="DW2" s="126" t="s">
        <v>403</v>
      </c>
      <c r="DX2" s="126" t="s">
        <v>404</v>
      </c>
      <c r="DY2" s="126" t="s">
        <v>224</v>
      </c>
      <c r="DZ2" s="126" t="s">
        <v>225</v>
      </c>
      <c r="EA2" s="126" t="s">
        <v>226</v>
      </c>
      <c r="EB2" s="126" t="s">
        <v>227</v>
      </c>
      <c r="EC2" s="126" t="s">
        <v>228</v>
      </c>
      <c r="ED2" s="126" t="s">
        <v>229</v>
      </c>
      <c r="EE2" s="126" t="s">
        <v>230</v>
      </c>
      <c r="EF2" s="126" t="s">
        <v>231</v>
      </c>
      <c r="EG2" s="126" t="s">
        <v>232</v>
      </c>
      <c r="EH2" s="126" t="s">
        <v>233</v>
      </c>
      <c r="EI2" s="126" t="s">
        <v>234</v>
      </c>
      <c r="EJ2" s="126" t="s">
        <v>235</v>
      </c>
      <c r="EK2" s="126" t="s">
        <v>405</v>
      </c>
      <c r="EL2" s="126" t="s">
        <v>406</v>
      </c>
      <c r="EM2" s="126" t="s">
        <v>407</v>
      </c>
      <c r="EN2" s="126" t="s">
        <v>408</v>
      </c>
      <c r="EO2" s="126" t="s">
        <v>409</v>
      </c>
      <c r="EP2" s="126" t="s">
        <v>410</v>
      </c>
      <c r="EQ2" s="126" t="s">
        <v>236</v>
      </c>
      <c r="ER2" s="126" t="s">
        <v>237</v>
      </c>
      <c r="ES2" s="126" t="s">
        <v>238</v>
      </c>
      <c r="ET2" s="126" t="s">
        <v>239</v>
      </c>
      <c r="EU2" s="126" t="s">
        <v>240</v>
      </c>
      <c r="EV2" s="126" t="s">
        <v>241</v>
      </c>
      <c r="EW2" s="126" t="s">
        <v>411</v>
      </c>
      <c r="EX2" s="126" t="s">
        <v>412</v>
      </c>
      <c r="EY2" s="126" t="s">
        <v>413</v>
      </c>
      <c r="EZ2" s="126" t="s">
        <v>414</v>
      </c>
      <c r="FA2" s="126" t="s">
        <v>415</v>
      </c>
      <c r="FB2" s="126" t="s">
        <v>416</v>
      </c>
      <c r="FC2" s="126" t="s">
        <v>242</v>
      </c>
      <c r="FD2" s="126" t="s">
        <v>243</v>
      </c>
      <c r="FE2" s="126" t="s">
        <v>244</v>
      </c>
      <c r="FF2" s="126" t="s">
        <v>245</v>
      </c>
      <c r="FG2" s="126" t="s">
        <v>246</v>
      </c>
      <c r="FH2" s="126" t="s">
        <v>247</v>
      </c>
      <c r="FI2" s="126" t="s">
        <v>417</v>
      </c>
      <c r="FJ2" s="126" t="s">
        <v>418</v>
      </c>
      <c r="FK2" s="126" t="s">
        <v>419</v>
      </c>
      <c r="FL2" s="126" t="s">
        <v>420</v>
      </c>
      <c r="FM2" s="126" t="s">
        <v>421</v>
      </c>
      <c r="FN2" s="126" t="s">
        <v>422</v>
      </c>
      <c r="FO2" s="126" t="s">
        <v>248</v>
      </c>
      <c r="FP2" s="126" t="s">
        <v>249</v>
      </c>
      <c r="FQ2" s="126" t="s">
        <v>250</v>
      </c>
      <c r="FR2" s="126" t="s">
        <v>251</v>
      </c>
      <c r="FS2" s="126" t="s">
        <v>252</v>
      </c>
      <c r="FT2" s="126" t="s">
        <v>253</v>
      </c>
      <c r="FU2" s="126" t="s">
        <v>254</v>
      </c>
      <c r="FV2" s="126" t="s">
        <v>255</v>
      </c>
      <c r="FW2" s="126" t="s">
        <v>256</v>
      </c>
      <c r="FX2" s="126" t="s">
        <v>257</v>
      </c>
      <c r="FY2" s="126" t="s">
        <v>258</v>
      </c>
      <c r="FZ2" s="126" t="s">
        <v>259</v>
      </c>
      <c r="GA2" s="126" t="s">
        <v>260</v>
      </c>
      <c r="GB2" s="126" t="s">
        <v>261</v>
      </c>
      <c r="GC2" s="126" t="s">
        <v>262</v>
      </c>
      <c r="GD2" s="126" t="s">
        <v>263</v>
      </c>
      <c r="GE2" s="126" t="s">
        <v>264</v>
      </c>
      <c r="GF2" s="126" t="s">
        <v>265</v>
      </c>
      <c r="GG2" s="126" t="s">
        <v>266</v>
      </c>
      <c r="GH2" s="126" t="s">
        <v>267</v>
      </c>
      <c r="GI2" s="126" t="s">
        <v>268</v>
      </c>
      <c r="GJ2" s="126" t="s">
        <v>269</v>
      </c>
      <c r="GK2" s="126" t="s">
        <v>270</v>
      </c>
      <c r="GL2" s="126" t="s">
        <v>271</v>
      </c>
      <c r="GM2" s="126" t="s">
        <v>272</v>
      </c>
      <c r="GN2" s="126" t="s">
        <v>273</v>
      </c>
      <c r="GO2" s="126" t="s">
        <v>274</v>
      </c>
      <c r="GP2" s="126" t="s">
        <v>275</v>
      </c>
      <c r="GQ2" s="126" t="s">
        <v>276</v>
      </c>
      <c r="GR2" s="126" t="s">
        <v>277</v>
      </c>
      <c r="GS2" s="126" t="s">
        <v>278</v>
      </c>
      <c r="GT2" s="126" t="s">
        <v>279</v>
      </c>
      <c r="GU2" s="126" t="s">
        <v>280</v>
      </c>
      <c r="GV2" s="126" t="s">
        <v>281</v>
      </c>
      <c r="GW2" s="126" t="s">
        <v>282</v>
      </c>
      <c r="GX2" s="126" t="s">
        <v>283</v>
      </c>
      <c r="GY2" s="126" t="s">
        <v>284</v>
      </c>
      <c r="GZ2" s="126" t="s">
        <v>285</v>
      </c>
      <c r="HA2" s="126" t="s">
        <v>286</v>
      </c>
      <c r="HB2" s="126" t="s">
        <v>287</v>
      </c>
      <c r="HC2" s="126" t="s">
        <v>288</v>
      </c>
      <c r="HD2" s="126" t="s">
        <v>289</v>
      </c>
      <c r="HE2" s="126" t="s">
        <v>290</v>
      </c>
      <c r="HF2" s="126" t="s">
        <v>291</v>
      </c>
      <c r="HG2" s="126" t="s">
        <v>292</v>
      </c>
      <c r="HH2" s="126" t="s">
        <v>293</v>
      </c>
      <c r="HI2" s="129" t="s">
        <v>294</v>
      </c>
      <c r="HJ2" s="129" t="s">
        <v>295</v>
      </c>
      <c r="HK2" s="129" t="s">
        <v>296</v>
      </c>
      <c r="HL2" s="129" t="s">
        <v>819</v>
      </c>
      <c r="HM2" s="129" t="s">
        <v>820</v>
      </c>
      <c r="HN2" s="129" t="s">
        <v>821</v>
      </c>
      <c r="HO2" s="129" t="s">
        <v>822</v>
      </c>
      <c r="HP2" s="129" t="s">
        <v>823</v>
      </c>
      <c r="HQ2" s="129" t="s">
        <v>824</v>
      </c>
      <c r="HR2" s="129" t="s">
        <v>858</v>
      </c>
    </row>
    <row r="3" spans="1:226">
      <c r="A3" s="35" t="s">
        <v>305</v>
      </c>
      <c r="B3" s="37" t="s">
        <v>703</v>
      </c>
      <c r="D3" s="37" t="s">
        <v>835</v>
      </c>
      <c r="E3" s="103">
        <v>3537</v>
      </c>
      <c r="F3" s="136">
        <v>0</v>
      </c>
      <c r="G3" s="136">
        <v>0</v>
      </c>
      <c r="H3" s="136">
        <v>5963753</v>
      </c>
      <c r="I3" s="136">
        <v>1448826</v>
      </c>
      <c r="J3" s="136">
        <v>0</v>
      </c>
      <c r="K3" s="136">
        <v>0</v>
      </c>
      <c r="L3" s="136">
        <v>0</v>
      </c>
      <c r="M3" s="136">
        <v>0</v>
      </c>
      <c r="N3" s="136">
        <v>0</v>
      </c>
      <c r="O3" s="136">
        <v>0</v>
      </c>
      <c r="P3" s="136">
        <v>0</v>
      </c>
      <c r="Q3" s="136">
        <v>0</v>
      </c>
      <c r="R3" s="136">
        <v>0</v>
      </c>
      <c r="S3" s="136">
        <v>0</v>
      </c>
      <c r="T3" s="136">
        <v>0</v>
      </c>
      <c r="U3" s="136">
        <v>0</v>
      </c>
      <c r="V3" s="136">
        <v>0</v>
      </c>
      <c r="W3" s="136">
        <v>0</v>
      </c>
      <c r="X3" s="136">
        <v>34540</v>
      </c>
      <c r="Y3" s="136">
        <v>146356</v>
      </c>
      <c r="Z3" s="136">
        <v>88765</v>
      </c>
      <c r="AA3" s="136">
        <v>0</v>
      </c>
      <c r="AB3" s="136">
        <v>0</v>
      </c>
      <c r="AC3" s="136">
        <v>0</v>
      </c>
      <c r="AD3" s="136">
        <v>0</v>
      </c>
      <c r="AE3" s="136">
        <v>0</v>
      </c>
      <c r="AF3" s="136">
        <v>0</v>
      </c>
      <c r="AG3" s="136">
        <v>0</v>
      </c>
      <c r="AH3" s="136">
        <v>0</v>
      </c>
      <c r="AI3" s="136">
        <v>0</v>
      </c>
      <c r="AJ3" s="136">
        <v>0</v>
      </c>
      <c r="AK3" s="136">
        <v>0</v>
      </c>
      <c r="AL3" s="136">
        <v>0</v>
      </c>
      <c r="AM3" s="136">
        <v>0</v>
      </c>
      <c r="AN3" s="136">
        <v>0</v>
      </c>
      <c r="AO3" s="136">
        <v>0</v>
      </c>
      <c r="AP3" s="136">
        <v>0</v>
      </c>
      <c r="AQ3" s="136">
        <v>0</v>
      </c>
      <c r="AR3" s="136">
        <v>0</v>
      </c>
      <c r="AS3" s="136">
        <v>0</v>
      </c>
      <c r="AT3" s="136">
        <v>0</v>
      </c>
      <c r="AU3" s="136">
        <v>0</v>
      </c>
      <c r="AV3" s="136">
        <v>9480</v>
      </c>
      <c r="AW3" s="136">
        <v>0</v>
      </c>
      <c r="AX3" s="136">
        <v>0</v>
      </c>
      <c r="AY3" s="136">
        <v>0</v>
      </c>
      <c r="AZ3" s="136">
        <v>0</v>
      </c>
      <c r="BA3" s="136">
        <v>0</v>
      </c>
      <c r="BB3" s="136">
        <v>0</v>
      </c>
      <c r="BC3" s="136">
        <v>0</v>
      </c>
      <c r="BD3" s="136">
        <v>0</v>
      </c>
      <c r="BE3" s="136">
        <v>670926</v>
      </c>
      <c r="BF3" s="136">
        <v>0</v>
      </c>
      <c r="BG3" s="136">
        <v>0</v>
      </c>
      <c r="BH3" s="136">
        <v>16392</v>
      </c>
      <c r="BI3" s="136">
        <v>6186560</v>
      </c>
      <c r="BJ3" s="136">
        <v>9950</v>
      </c>
      <c r="BK3" s="136">
        <v>0</v>
      </c>
      <c r="BL3" s="136">
        <v>0</v>
      </c>
      <c r="BM3" s="136">
        <v>0</v>
      </c>
      <c r="BN3" s="136">
        <v>8298</v>
      </c>
      <c r="BO3" s="136">
        <v>0</v>
      </c>
      <c r="BP3" s="136">
        <v>0</v>
      </c>
      <c r="BQ3" s="136">
        <v>0</v>
      </c>
      <c r="BR3" s="136">
        <v>0</v>
      </c>
      <c r="BS3" s="136">
        <v>0</v>
      </c>
      <c r="BT3" s="136">
        <v>9156</v>
      </c>
      <c r="BU3" s="136">
        <v>0</v>
      </c>
      <c r="BV3" s="136">
        <v>0</v>
      </c>
      <c r="BW3" s="136">
        <v>0</v>
      </c>
      <c r="BX3" s="136">
        <v>0</v>
      </c>
      <c r="BY3" s="136">
        <v>0</v>
      </c>
      <c r="BZ3" s="136">
        <v>33913</v>
      </c>
      <c r="CA3" s="136">
        <v>0</v>
      </c>
      <c r="CB3" s="136">
        <v>0</v>
      </c>
      <c r="CC3" s="136">
        <v>93720</v>
      </c>
      <c r="CD3" s="136">
        <v>0</v>
      </c>
      <c r="CE3" s="136">
        <v>0</v>
      </c>
      <c r="CF3" s="136">
        <v>29815</v>
      </c>
      <c r="CG3" s="136">
        <v>0</v>
      </c>
      <c r="CH3" s="136">
        <v>23812</v>
      </c>
      <c r="CI3" s="136">
        <v>0</v>
      </c>
      <c r="CJ3" s="136">
        <v>0</v>
      </c>
      <c r="CK3" s="136">
        <v>0</v>
      </c>
      <c r="CL3" s="136">
        <v>0</v>
      </c>
      <c r="CM3" s="136">
        <v>0</v>
      </c>
      <c r="CN3" s="136">
        <v>0</v>
      </c>
      <c r="CO3" s="136">
        <v>0</v>
      </c>
      <c r="CP3" s="136">
        <v>0</v>
      </c>
      <c r="CQ3" s="136">
        <v>0</v>
      </c>
      <c r="CR3" s="136">
        <v>0</v>
      </c>
      <c r="CS3" s="136">
        <v>0</v>
      </c>
      <c r="CT3" s="136">
        <v>0</v>
      </c>
      <c r="CU3" s="136">
        <v>0</v>
      </c>
      <c r="CV3" s="136">
        <v>0</v>
      </c>
      <c r="CW3" s="136">
        <v>0</v>
      </c>
      <c r="CX3" s="136">
        <v>0</v>
      </c>
      <c r="CY3" s="136">
        <v>0</v>
      </c>
      <c r="CZ3" s="136">
        <v>0</v>
      </c>
      <c r="DA3" s="136"/>
      <c r="DB3" s="136"/>
      <c r="DC3" s="136"/>
      <c r="DD3" s="136"/>
      <c r="DE3" s="136"/>
      <c r="DF3" s="136"/>
      <c r="DG3" s="136">
        <v>0</v>
      </c>
      <c r="DH3" s="136">
        <v>0</v>
      </c>
      <c r="DI3" s="136">
        <v>0</v>
      </c>
      <c r="DJ3" s="136">
        <v>50896</v>
      </c>
      <c r="DK3" s="136">
        <v>0</v>
      </c>
      <c r="DL3" s="136">
        <v>0</v>
      </c>
      <c r="DM3" s="136">
        <v>0</v>
      </c>
      <c r="DN3" s="136">
        <v>0</v>
      </c>
      <c r="DO3" s="136">
        <v>0</v>
      </c>
      <c r="DP3" s="136">
        <v>0</v>
      </c>
      <c r="DQ3" s="136">
        <v>0</v>
      </c>
      <c r="DR3" s="136">
        <v>0</v>
      </c>
      <c r="DS3" s="136"/>
      <c r="DT3" s="136"/>
      <c r="DU3" s="136"/>
      <c r="DV3" s="136"/>
      <c r="DW3" s="136"/>
      <c r="DX3" s="136"/>
      <c r="DY3" s="136">
        <v>0</v>
      </c>
      <c r="DZ3" s="136">
        <v>0</v>
      </c>
      <c r="EA3" s="136">
        <v>0</v>
      </c>
      <c r="EB3" s="136">
        <v>0</v>
      </c>
      <c r="EC3" s="136">
        <v>0</v>
      </c>
      <c r="ED3" s="136">
        <v>0</v>
      </c>
      <c r="EE3" s="136">
        <v>0</v>
      </c>
      <c r="EF3" s="136">
        <v>0</v>
      </c>
      <c r="EG3" s="136">
        <v>0</v>
      </c>
      <c r="EH3" s="136">
        <v>0</v>
      </c>
      <c r="EI3" s="136">
        <v>0</v>
      </c>
      <c r="EJ3" s="136">
        <v>0</v>
      </c>
      <c r="EK3" s="136"/>
      <c r="EL3" s="136"/>
      <c r="EM3" s="136"/>
      <c r="EN3" s="136"/>
      <c r="EO3" s="136"/>
      <c r="EP3" s="136"/>
      <c r="EQ3" s="136">
        <v>0</v>
      </c>
      <c r="ER3" s="136">
        <v>0</v>
      </c>
      <c r="ES3" s="136">
        <v>0</v>
      </c>
      <c r="ET3" s="136">
        <v>0</v>
      </c>
      <c r="EU3" s="136">
        <v>0</v>
      </c>
      <c r="EV3" s="136">
        <v>0</v>
      </c>
      <c r="EW3" s="136"/>
      <c r="EX3" s="136"/>
      <c r="EY3" s="136"/>
      <c r="EZ3" s="136"/>
      <c r="FA3" s="136"/>
      <c r="FB3" s="136"/>
      <c r="FC3" s="136">
        <v>0</v>
      </c>
      <c r="FD3" s="136">
        <v>0</v>
      </c>
      <c r="FE3" s="136">
        <v>0</v>
      </c>
      <c r="FF3" s="136">
        <v>0</v>
      </c>
      <c r="FG3" s="136">
        <v>0</v>
      </c>
      <c r="FH3" s="136">
        <v>0</v>
      </c>
      <c r="FI3" s="136"/>
      <c r="FJ3" s="136"/>
      <c r="FK3" s="136"/>
      <c r="FL3" s="136"/>
      <c r="FM3" s="136"/>
      <c r="FN3" s="136"/>
      <c r="FO3" s="136">
        <v>0</v>
      </c>
      <c r="FP3" s="136">
        <v>0</v>
      </c>
      <c r="FQ3" s="136">
        <v>0</v>
      </c>
      <c r="FR3" s="136">
        <v>0</v>
      </c>
      <c r="FS3" s="136">
        <v>0</v>
      </c>
      <c r="FT3" s="136">
        <v>0</v>
      </c>
      <c r="FU3" s="136">
        <v>0</v>
      </c>
      <c r="FV3" s="136">
        <v>0</v>
      </c>
      <c r="FW3" s="136">
        <v>0</v>
      </c>
      <c r="FX3" s="136">
        <v>0</v>
      </c>
      <c r="FY3" s="136">
        <v>0</v>
      </c>
      <c r="FZ3" s="136">
        <v>0</v>
      </c>
      <c r="GA3" s="136">
        <v>0</v>
      </c>
      <c r="GB3" s="136">
        <v>0</v>
      </c>
      <c r="GC3" s="136">
        <v>0</v>
      </c>
      <c r="GD3" s="136">
        <v>0</v>
      </c>
      <c r="GE3" s="136">
        <v>0</v>
      </c>
      <c r="GF3" s="136">
        <v>0</v>
      </c>
      <c r="GG3" s="136">
        <v>0</v>
      </c>
      <c r="GH3" s="136">
        <v>0</v>
      </c>
      <c r="GI3" s="136">
        <v>0</v>
      </c>
      <c r="GJ3" s="136">
        <v>0</v>
      </c>
      <c r="GK3" s="136">
        <v>0</v>
      </c>
      <c r="GL3" s="136">
        <v>0</v>
      </c>
      <c r="GM3" s="136">
        <v>0</v>
      </c>
      <c r="GN3" s="136">
        <v>0</v>
      </c>
      <c r="GO3" s="136">
        <v>0</v>
      </c>
      <c r="GP3" s="136">
        <v>0</v>
      </c>
      <c r="GQ3" s="136">
        <v>0</v>
      </c>
      <c r="GR3" s="136">
        <v>0</v>
      </c>
      <c r="GS3" s="136">
        <v>0</v>
      </c>
      <c r="GT3" s="136">
        <v>0</v>
      </c>
      <c r="GU3" s="136">
        <v>0</v>
      </c>
      <c r="GW3" s="137"/>
      <c r="GY3" s="136">
        <v>5963753</v>
      </c>
      <c r="GZ3" s="136" t="s">
        <v>439</v>
      </c>
      <c r="HA3" s="136" t="s">
        <v>439</v>
      </c>
      <c r="HB3" s="136" t="s">
        <v>439</v>
      </c>
      <c r="HC3" s="136" t="s">
        <v>439</v>
      </c>
      <c r="HD3" s="136" t="s">
        <v>439</v>
      </c>
      <c r="HE3" s="136" t="s">
        <v>439</v>
      </c>
      <c r="HF3" s="136" t="s">
        <v>439</v>
      </c>
      <c r="HG3" s="136" t="s">
        <v>439</v>
      </c>
      <c r="HH3" s="136" t="s">
        <v>439</v>
      </c>
      <c r="HI3" s="35" t="s">
        <v>439</v>
      </c>
      <c r="HJ3" s="35" t="s">
        <v>439</v>
      </c>
      <c r="HK3" s="35" t="s">
        <v>439</v>
      </c>
      <c r="HL3"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764646</v>
      </c>
      <c r="HM3"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3"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3"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141594</v>
      </c>
      <c r="HP3"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6332916</v>
      </c>
      <c r="HQ3"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122527</v>
      </c>
      <c r="HR3"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5963753</v>
      </c>
    </row>
    <row r="4" spans="1:226">
      <c r="A4" s="35" t="s">
        <v>47</v>
      </c>
      <c r="B4" s="37" t="s">
        <v>19</v>
      </c>
      <c r="C4" s="37">
        <v>320</v>
      </c>
      <c r="D4" s="37" t="s">
        <v>835</v>
      </c>
      <c r="E4" s="103">
        <v>3541</v>
      </c>
      <c r="F4" s="136">
        <v>117594</v>
      </c>
      <c r="G4" s="136">
        <v>0</v>
      </c>
      <c r="H4" s="136">
        <v>760508</v>
      </c>
      <c r="I4" s="136">
        <v>42677</v>
      </c>
      <c r="J4" s="136">
        <v>130945</v>
      </c>
      <c r="K4" s="136">
        <v>0</v>
      </c>
      <c r="L4" s="136">
        <v>0</v>
      </c>
      <c r="M4" s="136">
        <v>23789</v>
      </c>
      <c r="N4" s="136">
        <v>0</v>
      </c>
      <c r="O4" s="136">
        <v>9406</v>
      </c>
      <c r="P4" s="136">
        <v>333736</v>
      </c>
      <c r="Q4" s="136">
        <v>0</v>
      </c>
      <c r="R4" s="136">
        <v>0</v>
      </c>
      <c r="S4" s="136">
        <v>26679</v>
      </c>
      <c r="T4" s="136">
        <v>28479</v>
      </c>
      <c r="U4" s="136">
        <v>27824</v>
      </c>
      <c r="V4" s="136">
        <v>41350</v>
      </c>
      <c r="W4" s="136">
        <v>58492</v>
      </c>
      <c r="X4" s="136">
        <v>0</v>
      </c>
      <c r="Y4" s="136">
        <v>0</v>
      </c>
      <c r="Z4" s="136">
        <v>2210</v>
      </c>
      <c r="AA4" s="136">
        <v>0</v>
      </c>
      <c r="AB4" s="136">
        <v>0</v>
      </c>
      <c r="AC4" s="136">
        <v>0</v>
      </c>
      <c r="AD4" s="136">
        <v>0</v>
      </c>
      <c r="AE4" s="136">
        <v>0</v>
      </c>
      <c r="AF4" s="136">
        <v>0</v>
      </c>
      <c r="AG4" s="136">
        <v>0</v>
      </c>
      <c r="AH4" s="136">
        <v>13438</v>
      </c>
      <c r="AI4" s="136">
        <v>0</v>
      </c>
      <c r="AJ4" s="136">
        <v>0</v>
      </c>
      <c r="AK4" s="136">
        <v>0</v>
      </c>
      <c r="AL4" s="136">
        <v>0</v>
      </c>
      <c r="AM4" s="136">
        <v>0</v>
      </c>
      <c r="AN4" s="136">
        <v>0</v>
      </c>
      <c r="AO4" s="136">
        <v>0</v>
      </c>
      <c r="AP4" s="136">
        <v>0</v>
      </c>
      <c r="AQ4" s="136">
        <v>0</v>
      </c>
      <c r="AR4" s="136">
        <v>0</v>
      </c>
      <c r="AS4" s="136">
        <v>0</v>
      </c>
      <c r="AT4" s="136">
        <v>0</v>
      </c>
      <c r="AU4" s="136">
        <v>0</v>
      </c>
      <c r="AV4" s="136">
        <v>0</v>
      </c>
      <c r="AW4" s="136">
        <v>0</v>
      </c>
      <c r="AX4" s="136">
        <v>0</v>
      </c>
      <c r="AY4" s="136">
        <v>0</v>
      </c>
      <c r="AZ4" s="136">
        <v>0</v>
      </c>
      <c r="BA4" s="136">
        <v>0</v>
      </c>
      <c r="BB4" s="136">
        <v>0</v>
      </c>
      <c r="BC4" s="136">
        <v>0</v>
      </c>
      <c r="BD4" s="136">
        <v>0</v>
      </c>
      <c r="BE4" s="136">
        <v>33073</v>
      </c>
      <c r="BF4" s="136">
        <v>37052</v>
      </c>
      <c r="BG4" s="136">
        <v>0</v>
      </c>
      <c r="BH4" s="136">
        <v>0</v>
      </c>
      <c r="BI4" s="136">
        <v>0</v>
      </c>
      <c r="BJ4" s="136">
        <v>115189</v>
      </c>
      <c r="BK4" s="136">
        <v>0</v>
      </c>
      <c r="BL4" s="136">
        <v>15685</v>
      </c>
      <c r="BM4" s="136">
        <v>0</v>
      </c>
      <c r="BN4" s="136">
        <v>0</v>
      </c>
      <c r="BO4" s="136">
        <v>0</v>
      </c>
      <c r="BP4" s="136">
        <v>13744</v>
      </c>
      <c r="BQ4" s="136">
        <v>0</v>
      </c>
      <c r="BR4" s="136">
        <v>17829</v>
      </c>
      <c r="BS4" s="136">
        <v>0</v>
      </c>
      <c r="BT4" s="136">
        <v>0</v>
      </c>
      <c r="BU4" s="136">
        <v>0</v>
      </c>
      <c r="BV4" s="136">
        <v>9250</v>
      </c>
      <c r="BW4" s="136">
        <v>0</v>
      </c>
      <c r="BX4" s="136">
        <v>0</v>
      </c>
      <c r="BY4" s="136">
        <v>0</v>
      </c>
      <c r="BZ4" s="136">
        <v>0</v>
      </c>
      <c r="CA4" s="136">
        <v>0</v>
      </c>
      <c r="CB4" s="136">
        <v>0</v>
      </c>
      <c r="CC4" s="136">
        <v>0</v>
      </c>
      <c r="CD4" s="136">
        <v>0</v>
      </c>
      <c r="CE4" s="136">
        <v>0</v>
      </c>
      <c r="CF4" s="136">
        <v>0</v>
      </c>
      <c r="CG4" s="136">
        <v>0</v>
      </c>
      <c r="CH4" s="136">
        <v>7748</v>
      </c>
      <c r="CI4" s="136">
        <v>0</v>
      </c>
      <c r="CJ4" s="136">
        <v>0</v>
      </c>
      <c r="CK4" s="136">
        <v>0</v>
      </c>
      <c r="CL4" s="136">
        <v>0</v>
      </c>
      <c r="CM4" s="136">
        <v>0</v>
      </c>
      <c r="CN4" s="136">
        <v>0</v>
      </c>
      <c r="CO4" s="136">
        <v>131107</v>
      </c>
      <c r="CP4" s="136">
        <v>10855</v>
      </c>
      <c r="CQ4" s="136">
        <v>0</v>
      </c>
      <c r="CR4" s="136">
        <v>0</v>
      </c>
      <c r="CS4" s="136">
        <v>0</v>
      </c>
      <c r="CT4" s="136">
        <v>0</v>
      </c>
      <c r="CU4" s="136">
        <v>0</v>
      </c>
      <c r="CV4" s="136">
        <v>0</v>
      </c>
      <c r="CW4" s="136">
        <v>0</v>
      </c>
      <c r="CX4" s="136">
        <v>0</v>
      </c>
      <c r="CY4" s="136">
        <v>0</v>
      </c>
      <c r="CZ4" s="136">
        <v>984</v>
      </c>
      <c r="DA4" s="136"/>
      <c r="DB4" s="136"/>
      <c r="DC4" s="136"/>
      <c r="DD4" s="136"/>
      <c r="DE4" s="136"/>
      <c r="DF4" s="136"/>
      <c r="DG4" s="136">
        <v>0</v>
      </c>
      <c r="DH4" s="136">
        <v>0</v>
      </c>
      <c r="DI4" s="136">
        <v>0</v>
      </c>
      <c r="DJ4" s="136">
        <v>0</v>
      </c>
      <c r="DK4" s="136">
        <v>0</v>
      </c>
      <c r="DL4" s="136">
        <v>0</v>
      </c>
      <c r="DM4" s="136">
        <v>0</v>
      </c>
      <c r="DN4" s="136">
        <v>0</v>
      </c>
      <c r="DO4" s="136">
        <v>0</v>
      </c>
      <c r="DP4" s="136">
        <v>0</v>
      </c>
      <c r="DQ4" s="136">
        <v>0</v>
      </c>
      <c r="DR4" s="136">
        <v>0</v>
      </c>
      <c r="DS4" s="136"/>
      <c r="DT4" s="136"/>
      <c r="DU4" s="136"/>
      <c r="DV4" s="136"/>
      <c r="DW4" s="136"/>
      <c r="DX4" s="136"/>
      <c r="DY4" s="136">
        <v>0</v>
      </c>
      <c r="DZ4" s="136">
        <v>0</v>
      </c>
      <c r="EA4" s="136">
        <v>0</v>
      </c>
      <c r="EB4" s="136">
        <v>0</v>
      </c>
      <c r="EC4" s="136">
        <v>0</v>
      </c>
      <c r="ED4" s="136">
        <v>0</v>
      </c>
      <c r="EE4" s="136">
        <v>0</v>
      </c>
      <c r="EF4" s="136">
        <v>0</v>
      </c>
      <c r="EG4" s="136">
        <v>0</v>
      </c>
      <c r="EH4" s="136">
        <v>0</v>
      </c>
      <c r="EI4" s="136">
        <v>0</v>
      </c>
      <c r="EJ4" s="136">
        <v>0</v>
      </c>
      <c r="EK4" s="136"/>
      <c r="EL4" s="136"/>
      <c r="EM4" s="136"/>
      <c r="EN4" s="136"/>
      <c r="EO4" s="136"/>
      <c r="EP4" s="136"/>
      <c r="EQ4" s="136">
        <v>0</v>
      </c>
      <c r="ER4" s="136">
        <v>0</v>
      </c>
      <c r="ES4" s="136">
        <v>0</v>
      </c>
      <c r="ET4" s="136">
        <v>0</v>
      </c>
      <c r="EU4" s="136">
        <v>0</v>
      </c>
      <c r="EV4" s="136">
        <v>0</v>
      </c>
      <c r="EW4" s="136"/>
      <c r="EX4" s="136"/>
      <c r="EY4" s="136"/>
      <c r="EZ4" s="136"/>
      <c r="FA4" s="136"/>
      <c r="FB4" s="136"/>
      <c r="FC4" s="136">
        <v>0</v>
      </c>
      <c r="FD4" s="136">
        <v>0</v>
      </c>
      <c r="FE4" s="136">
        <v>0</v>
      </c>
      <c r="FF4" s="136">
        <v>0</v>
      </c>
      <c r="FG4" s="136">
        <v>0</v>
      </c>
      <c r="FH4" s="136">
        <v>0</v>
      </c>
      <c r="FI4" s="136"/>
      <c r="FJ4" s="136"/>
      <c r="FK4" s="136"/>
      <c r="FL4" s="136"/>
      <c r="FM4" s="136"/>
      <c r="FN4" s="136"/>
      <c r="FO4" s="136">
        <v>0</v>
      </c>
      <c r="FP4" s="136">
        <v>0</v>
      </c>
      <c r="FQ4" s="136">
        <v>0</v>
      </c>
      <c r="FR4" s="136">
        <v>0</v>
      </c>
      <c r="FS4" s="136">
        <v>0</v>
      </c>
      <c r="FT4" s="136">
        <v>0</v>
      </c>
      <c r="FU4" s="136">
        <v>0</v>
      </c>
      <c r="FV4" s="136">
        <v>0</v>
      </c>
      <c r="FW4" s="136">
        <v>0</v>
      </c>
      <c r="FX4" s="136">
        <v>0</v>
      </c>
      <c r="FY4" s="136">
        <v>0</v>
      </c>
      <c r="FZ4" s="136">
        <v>0</v>
      </c>
      <c r="GA4" s="136">
        <v>0</v>
      </c>
      <c r="GB4" s="136">
        <v>0</v>
      </c>
      <c r="GC4" s="136">
        <v>0</v>
      </c>
      <c r="GD4" s="136">
        <v>0</v>
      </c>
      <c r="GE4" s="136">
        <v>0</v>
      </c>
      <c r="GF4" s="136">
        <v>0</v>
      </c>
      <c r="GG4" s="136">
        <v>0</v>
      </c>
      <c r="GH4" s="136">
        <v>0</v>
      </c>
      <c r="GI4" s="136">
        <v>0</v>
      </c>
      <c r="GJ4" s="136">
        <v>0</v>
      </c>
      <c r="GK4" s="136">
        <v>0</v>
      </c>
      <c r="GL4" s="136">
        <v>0</v>
      </c>
      <c r="GM4" s="136">
        <v>0</v>
      </c>
      <c r="GN4" s="136">
        <v>0</v>
      </c>
      <c r="GO4" s="136">
        <v>0</v>
      </c>
      <c r="GP4" s="136">
        <v>0</v>
      </c>
      <c r="GQ4" s="136">
        <v>0</v>
      </c>
      <c r="GR4" s="136">
        <v>0</v>
      </c>
      <c r="GS4" s="136">
        <v>46456471</v>
      </c>
      <c r="GT4" s="136">
        <v>1009047</v>
      </c>
      <c r="GU4" s="136">
        <v>116251315</v>
      </c>
      <c r="GV4" s="35" t="s">
        <v>361</v>
      </c>
      <c r="GW4" s="137">
        <v>3259422014</v>
      </c>
      <c r="GX4" s="35" t="s">
        <v>362</v>
      </c>
      <c r="GY4" s="136">
        <v>878102</v>
      </c>
      <c r="GZ4" s="136">
        <v>-534219</v>
      </c>
      <c r="HA4" s="136">
        <v>96690</v>
      </c>
      <c r="HB4" s="136">
        <v>-122999</v>
      </c>
      <c r="HC4" s="136">
        <v>0</v>
      </c>
      <c r="HD4" s="136">
        <v>0</v>
      </c>
      <c r="HE4" s="136">
        <v>0</v>
      </c>
      <c r="HF4" s="136">
        <v>0</v>
      </c>
      <c r="HG4" s="136">
        <v>0</v>
      </c>
      <c r="HH4" s="136">
        <v>0</v>
      </c>
      <c r="HI4" s="35" t="s">
        <v>439</v>
      </c>
      <c r="HJ4" s="35" t="s">
        <v>439</v>
      </c>
      <c r="HK4" s="35" t="s">
        <v>439</v>
      </c>
      <c r="HL4"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201410</v>
      </c>
      <c r="HM4"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469945</v>
      </c>
      <c r="HN4"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58492</v>
      </c>
      <c r="HO4"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4"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26679</v>
      </c>
      <c r="HQ4"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177604</v>
      </c>
      <c r="HR4"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317574</v>
      </c>
    </row>
    <row r="5" spans="1:226">
      <c r="A5" s="35" t="s">
        <v>297</v>
      </c>
      <c r="B5" s="37" t="s">
        <v>703</v>
      </c>
      <c r="D5" s="37" t="s">
        <v>835</v>
      </c>
      <c r="E5" s="103">
        <v>3543</v>
      </c>
      <c r="F5" s="136">
        <v>0</v>
      </c>
      <c r="G5" s="136">
        <v>0</v>
      </c>
      <c r="H5" s="136">
        <v>383478</v>
      </c>
      <c r="I5" s="136">
        <v>0</v>
      </c>
      <c r="J5" s="136">
        <v>0</v>
      </c>
      <c r="K5" s="136">
        <v>0</v>
      </c>
      <c r="L5" s="136">
        <v>0</v>
      </c>
      <c r="M5" s="136">
        <v>0</v>
      </c>
      <c r="N5" s="136">
        <v>0</v>
      </c>
      <c r="O5" s="136">
        <v>0</v>
      </c>
      <c r="P5" s="136">
        <v>0</v>
      </c>
      <c r="Q5" s="136">
        <v>0</v>
      </c>
      <c r="R5" s="136">
        <v>0</v>
      </c>
      <c r="S5" s="136">
        <v>0</v>
      </c>
      <c r="T5" s="136">
        <v>0</v>
      </c>
      <c r="U5" s="136">
        <v>92823</v>
      </c>
      <c r="V5" s="136">
        <v>0</v>
      </c>
      <c r="W5" s="136">
        <v>0</v>
      </c>
      <c r="X5" s="136">
        <v>1966</v>
      </c>
      <c r="Y5" s="136">
        <v>0</v>
      </c>
      <c r="Z5" s="136">
        <v>77973</v>
      </c>
      <c r="AA5" s="136">
        <v>0</v>
      </c>
      <c r="AB5" s="136">
        <v>0</v>
      </c>
      <c r="AC5" s="136">
        <v>0</v>
      </c>
      <c r="AD5" s="136">
        <v>0</v>
      </c>
      <c r="AE5" s="136">
        <v>0</v>
      </c>
      <c r="AF5" s="136">
        <v>0</v>
      </c>
      <c r="AG5" s="136">
        <v>0</v>
      </c>
      <c r="AH5" s="136">
        <v>0</v>
      </c>
      <c r="AI5" s="136">
        <v>0</v>
      </c>
      <c r="AJ5" s="136">
        <v>0</v>
      </c>
      <c r="AK5" s="136">
        <v>0</v>
      </c>
      <c r="AL5" s="136">
        <v>0</v>
      </c>
      <c r="AM5" s="136">
        <v>0</v>
      </c>
      <c r="AN5" s="136">
        <v>0</v>
      </c>
      <c r="AO5" s="136">
        <v>0</v>
      </c>
      <c r="AP5" s="136">
        <v>0</v>
      </c>
      <c r="AQ5" s="136">
        <v>0</v>
      </c>
      <c r="AR5" s="136">
        <v>0</v>
      </c>
      <c r="AS5" s="136">
        <v>0</v>
      </c>
      <c r="AT5" s="136">
        <v>0</v>
      </c>
      <c r="AU5" s="136">
        <v>0</v>
      </c>
      <c r="AV5" s="136">
        <v>0</v>
      </c>
      <c r="AW5" s="136">
        <v>0</v>
      </c>
      <c r="AX5" s="136">
        <v>0</v>
      </c>
      <c r="AY5" s="136">
        <v>0</v>
      </c>
      <c r="AZ5" s="136">
        <v>0</v>
      </c>
      <c r="BA5" s="136">
        <v>0</v>
      </c>
      <c r="BB5" s="136">
        <v>0</v>
      </c>
      <c r="BC5" s="136">
        <v>0</v>
      </c>
      <c r="BD5" s="136">
        <v>0</v>
      </c>
      <c r="BE5" s="136">
        <v>14751</v>
      </c>
      <c r="BF5" s="136">
        <v>0</v>
      </c>
      <c r="BG5" s="136">
        <v>0</v>
      </c>
      <c r="BH5" s="136">
        <v>90940</v>
      </c>
      <c r="BI5" s="136">
        <v>0</v>
      </c>
      <c r="BJ5" s="136">
        <v>59893</v>
      </c>
      <c r="BK5" s="136">
        <v>0</v>
      </c>
      <c r="BL5" s="136">
        <v>0</v>
      </c>
      <c r="BM5" s="136">
        <v>0</v>
      </c>
      <c r="BN5" s="136">
        <v>0</v>
      </c>
      <c r="BO5" s="136">
        <v>0</v>
      </c>
      <c r="BP5" s="136">
        <v>0</v>
      </c>
      <c r="BQ5" s="136">
        <v>0</v>
      </c>
      <c r="BR5" s="136">
        <v>0</v>
      </c>
      <c r="BS5" s="136">
        <v>0</v>
      </c>
      <c r="BT5" s="136">
        <v>0</v>
      </c>
      <c r="BU5" s="136">
        <v>0</v>
      </c>
      <c r="BV5" s="136">
        <v>45132</v>
      </c>
      <c r="BW5" s="136">
        <v>0</v>
      </c>
      <c r="BX5" s="136">
        <v>0</v>
      </c>
      <c r="BY5" s="136">
        <v>0</v>
      </c>
      <c r="BZ5" s="136">
        <v>0</v>
      </c>
      <c r="CA5" s="136">
        <v>0</v>
      </c>
      <c r="CB5" s="136">
        <v>0</v>
      </c>
      <c r="CC5" s="136">
        <v>0</v>
      </c>
      <c r="CD5" s="136">
        <v>0</v>
      </c>
      <c r="CE5" s="136">
        <v>0</v>
      </c>
      <c r="CF5" s="136">
        <v>0</v>
      </c>
      <c r="CG5" s="136">
        <v>0</v>
      </c>
      <c r="CH5" s="136">
        <v>0</v>
      </c>
      <c r="CI5" s="136">
        <v>0</v>
      </c>
      <c r="CJ5" s="136">
        <v>0</v>
      </c>
      <c r="CK5" s="136">
        <v>0</v>
      </c>
      <c r="CL5" s="136">
        <v>0</v>
      </c>
      <c r="CM5" s="136">
        <v>0</v>
      </c>
      <c r="CN5" s="136">
        <v>0</v>
      </c>
      <c r="CO5" s="136">
        <v>0</v>
      </c>
      <c r="CP5" s="136">
        <v>0</v>
      </c>
      <c r="CQ5" s="136">
        <v>0</v>
      </c>
      <c r="CR5" s="136">
        <v>0</v>
      </c>
      <c r="CS5" s="136">
        <v>0</v>
      </c>
      <c r="CT5" s="136">
        <v>0</v>
      </c>
      <c r="CU5" s="136">
        <v>0</v>
      </c>
      <c r="CV5" s="136">
        <v>0</v>
      </c>
      <c r="CW5" s="136">
        <v>0</v>
      </c>
      <c r="CX5" s="136">
        <v>0</v>
      </c>
      <c r="CY5" s="136">
        <v>0</v>
      </c>
      <c r="CZ5" s="136">
        <v>0</v>
      </c>
      <c r="DA5" s="136"/>
      <c r="DB5" s="136"/>
      <c r="DC5" s="136"/>
      <c r="DD5" s="136"/>
      <c r="DE5" s="136"/>
      <c r="DF5" s="136"/>
      <c r="DG5" s="136">
        <v>0</v>
      </c>
      <c r="DH5" s="136">
        <v>0</v>
      </c>
      <c r="DI5" s="136">
        <v>0</v>
      </c>
      <c r="DJ5" s="136">
        <v>0</v>
      </c>
      <c r="DK5" s="136">
        <v>0</v>
      </c>
      <c r="DL5" s="136">
        <v>0</v>
      </c>
      <c r="DM5" s="136">
        <v>0</v>
      </c>
      <c r="DN5" s="136">
        <v>0</v>
      </c>
      <c r="DO5" s="136">
        <v>0</v>
      </c>
      <c r="DP5" s="136">
        <v>0</v>
      </c>
      <c r="DQ5" s="136">
        <v>0</v>
      </c>
      <c r="DR5" s="136">
        <v>0</v>
      </c>
      <c r="DS5" s="136"/>
      <c r="DT5" s="136"/>
      <c r="DU5" s="136"/>
      <c r="DV5" s="136"/>
      <c r="DW5" s="136"/>
      <c r="DX5" s="136"/>
      <c r="DY5" s="136">
        <v>0</v>
      </c>
      <c r="DZ5" s="136">
        <v>0</v>
      </c>
      <c r="EA5" s="136">
        <v>0</v>
      </c>
      <c r="EB5" s="136">
        <v>0</v>
      </c>
      <c r="EC5" s="136">
        <v>0</v>
      </c>
      <c r="ED5" s="136">
        <v>0</v>
      </c>
      <c r="EE5" s="136">
        <v>0</v>
      </c>
      <c r="EF5" s="136">
        <v>0</v>
      </c>
      <c r="EG5" s="136">
        <v>0</v>
      </c>
      <c r="EH5" s="136">
        <v>0</v>
      </c>
      <c r="EI5" s="136">
        <v>0</v>
      </c>
      <c r="EJ5" s="136">
        <v>0</v>
      </c>
      <c r="EK5" s="136"/>
      <c r="EL5" s="136"/>
      <c r="EM5" s="136"/>
      <c r="EN5" s="136"/>
      <c r="EO5" s="136"/>
      <c r="EP5" s="136"/>
      <c r="EQ5" s="136">
        <v>0</v>
      </c>
      <c r="ER5" s="136">
        <v>0</v>
      </c>
      <c r="ES5" s="136">
        <v>0</v>
      </c>
      <c r="ET5" s="136">
        <v>0</v>
      </c>
      <c r="EU5" s="136">
        <v>0</v>
      </c>
      <c r="EV5" s="136">
        <v>0</v>
      </c>
      <c r="EW5" s="136"/>
      <c r="EX5" s="136"/>
      <c r="EY5" s="136"/>
      <c r="EZ5" s="136"/>
      <c r="FA5" s="136"/>
      <c r="FB5" s="136"/>
      <c r="FC5" s="136">
        <v>0</v>
      </c>
      <c r="FD5" s="136">
        <v>0</v>
      </c>
      <c r="FE5" s="136">
        <v>0</v>
      </c>
      <c r="FF5" s="136">
        <v>0</v>
      </c>
      <c r="FG5" s="136">
        <v>0</v>
      </c>
      <c r="FH5" s="136">
        <v>0</v>
      </c>
      <c r="FI5" s="136"/>
      <c r="FJ5" s="136"/>
      <c r="FK5" s="136"/>
      <c r="FL5" s="136"/>
      <c r="FM5" s="136"/>
      <c r="FN5" s="136"/>
      <c r="FO5" s="136">
        <v>0</v>
      </c>
      <c r="FP5" s="136">
        <v>0</v>
      </c>
      <c r="FQ5" s="136">
        <v>0</v>
      </c>
      <c r="FR5" s="136">
        <v>0</v>
      </c>
      <c r="FS5" s="136">
        <v>0</v>
      </c>
      <c r="FT5" s="136">
        <v>0</v>
      </c>
      <c r="FU5" s="136">
        <v>0</v>
      </c>
      <c r="FV5" s="136">
        <v>0</v>
      </c>
      <c r="FW5" s="136">
        <v>0</v>
      </c>
      <c r="FX5" s="136">
        <v>0</v>
      </c>
      <c r="FY5" s="136">
        <v>0</v>
      </c>
      <c r="FZ5" s="136">
        <v>0</v>
      </c>
      <c r="GA5" s="136">
        <v>0</v>
      </c>
      <c r="GB5" s="136">
        <v>0</v>
      </c>
      <c r="GC5" s="136">
        <v>0</v>
      </c>
      <c r="GD5" s="136">
        <v>0</v>
      </c>
      <c r="GE5" s="136">
        <v>0</v>
      </c>
      <c r="GF5" s="136">
        <v>0</v>
      </c>
      <c r="GG5" s="136">
        <v>0</v>
      </c>
      <c r="GH5" s="136">
        <v>0</v>
      </c>
      <c r="GI5" s="136">
        <v>0</v>
      </c>
      <c r="GJ5" s="136">
        <v>0</v>
      </c>
      <c r="GK5" s="136">
        <v>0</v>
      </c>
      <c r="GL5" s="136">
        <v>0</v>
      </c>
      <c r="GM5" s="136">
        <v>0</v>
      </c>
      <c r="GN5" s="136">
        <v>0</v>
      </c>
      <c r="GO5" s="136">
        <v>0</v>
      </c>
      <c r="GP5" s="136">
        <v>0</v>
      </c>
      <c r="GQ5" s="136">
        <v>0</v>
      </c>
      <c r="GR5" s="136">
        <v>0</v>
      </c>
      <c r="GS5" s="136">
        <v>0</v>
      </c>
      <c r="GT5" s="136">
        <v>0</v>
      </c>
      <c r="GU5" s="136">
        <v>0</v>
      </c>
      <c r="GW5" s="137"/>
      <c r="GY5" s="136">
        <v>383478</v>
      </c>
      <c r="GZ5" s="136" t="s">
        <v>439</v>
      </c>
      <c r="HA5" s="136" t="s">
        <v>439</v>
      </c>
      <c r="HB5" s="136" t="s">
        <v>439</v>
      </c>
      <c r="HC5" s="136" t="s">
        <v>439</v>
      </c>
      <c r="HD5" s="136" t="s">
        <v>439</v>
      </c>
      <c r="HE5" s="136" t="s">
        <v>439</v>
      </c>
      <c r="HF5" s="136" t="s">
        <v>439</v>
      </c>
      <c r="HG5" s="136" t="s">
        <v>439</v>
      </c>
      <c r="HH5" s="136" t="s">
        <v>439</v>
      </c>
      <c r="HI5" s="35" t="s">
        <v>439</v>
      </c>
      <c r="HJ5" s="35" t="s">
        <v>439</v>
      </c>
      <c r="HK5" s="35" t="s">
        <v>439</v>
      </c>
      <c r="HL5"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107574</v>
      </c>
      <c r="HM5"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5"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5"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92906</v>
      </c>
      <c r="HP5"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5"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182998</v>
      </c>
      <c r="HR5"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383478</v>
      </c>
    </row>
    <row r="6" spans="1:226">
      <c r="A6" s="35" t="s">
        <v>306</v>
      </c>
      <c r="B6" s="37" t="s">
        <v>703</v>
      </c>
      <c r="D6" s="37" t="s">
        <v>835</v>
      </c>
      <c r="E6" s="103">
        <v>3545</v>
      </c>
      <c r="F6" s="136">
        <v>8457136</v>
      </c>
      <c r="G6" s="136">
        <v>0</v>
      </c>
      <c r="H6" s="136">
        <v>64941599</v>
      </c>
      <c r="I6" s="136">
        <v>5327759</v>
      </c>
      <c r="J6" s="136">
        <v>6786131</v>
      </c>
      <c r="K6" s="136">
        <v>0</v>
      </c>
      <c r="L6" s="136">
        <v>0</v>
      </c>
      <c r="M6" s="136">
        <v>4642450</v>
      </c>
      <c r="N6" s="136">
        <v>3396859</v>
      </c>
      <c r="O6" s="136">
        <v>211471</v>
      </c>
      <c r="P6" s="136">
        <v>0</v>
      </c>
      <c r="Q6" s="136">
        <v>0</v>
      </c>
      <c r="R6" s="136">
        <v>2113</v>
      </c>
      <c r="S6" s="136">
        <v>0</v>
      </c>
      <c r="T6" s="136">
        <v>0</v>
      </c>
      <c r="U6" s="136">
        <v>3446712</v>
      </c>
      <c r="V6" s="136">
        <v>0</v>
      </c>
      <c r="W6" s="136">
        <v>1142710</v>
      </c>
      <c r="X6" s="136">
        <v>2516728</v>
      </c>
      <c r="Y6" s="136">
        <v>0</v>
      </c>
      <c r="Z6" s="136">
        <v>272399</v>
      </c>
      <c r="AA6" s="136">
        <v>1417137</v>
      </c>
      <c r="AB6" s="136">
        <v>0</v>
      </c>
      <c r="AC6" s="136">
        <v>49099</v>
      </c>
      <c r="AD6" s="136">
        <v>1202276</v>
      </c>
      <c r="AE6" s="136">
        <v>150541</v>
      </c>
      <c r="AF6" s="136">
        <v>0</v>
      </c>
      <c r="AG6" s="136">
        <v>2814088</v>
      </c>
      <c r="AH6" s="136">
        <v>0</v>
      </c>
      <c r="AI6" s="136">
        <v>98685</v>
      </c>
      <c r="AJ6" s="136">
        <v>5279999</v>
      </c>
      <c r="AK6" s="136">
        <v>2833189</v>
      </c>
      <c r="AL6" s="136">
        <v>131344</v>
      </c>
      <c r="AM6" s="136">
        <v>985037</v>
      </c>
      <c r="AN6" s="136">
        <v>0</v>
      </c>
      <c r="AO6" s="136">
        <v>845142</v>
      </c>
      <c r="AP6" s="136">
        <v>2005060</v>
      </c>
      <c r="AQ6" s="136">
        <v>19497</v>
      </c>
      <c r="AR6" s="136">
        <v>166932</v>
      </c>
      <c r="AS6" s="136">
        <v>642381</v>
      </c>
      <c r="AT6" s="136">
        <v>0</v>
      </c>
      <c r="AU6" s="136">
        <v>0</v>
      </c>
      <c r="AV6" s="136">
        <v>934810</v>
      </c>
      <c r="AW6" s="136">
        <v>0</v>
      </c>
      <c r="AX6" s="136">
        <v>20757</v>
      </c>
      <c r="AY6" s="136">
        <v>1329260</v>
      </c>
      <c r="AZ6" s="136">
        <v>0</v>
      </c>
      <c r="BA6" s="136">
        <v>0</v>
      </c>
      <c r="BB6" s="136">
        <v>4216078</v>
      </c>
      <c r="BC6" s="136">
        <v>45362</v>
      </c>
      <c r="BD6" s="136">
        <v>109705</v>
      </c>
      <c r="BE6" s="136">
        <v>4451797</v>
      </c>
      <c r="BF6" s="136">
        <v>0</v>
      </c>
      <c r="BG6" s="136">
        <v>154832</v>
      </c>
      <c r="BH6" s="136">
        <v>5574540</v>
      </c>
      <c r="BI6" s="136">
        <v>134302</v>
      </c>
      <c r="BJ6" s="136">
        <v>610096</v>
      </c>
      <c r="BK6" s="136">
        <v>1123399</v>
      </c>
      <c r="BL6" s="136">
        <v>0</v>
      </c>
      <c r="BM6" s="136">
        <v>264486</v>
      </c>
      <c r="BN6" s="136">
        <v>2385835</v>
      </c>
      <c r="BO6" s="136">
        <v>0</v>
      </c>
      <c r="BP6" s="136">
        <v>1471899</v>
      </c>
      <c r="BQ6" s="136">
        <v>1195782</v>
      </c>
      <c r="BR6" s="136">
        <v>0</v>
      </c>
      <c r="BS6" s="136">
        <v>0</v>
      </c>
      <c r="BT6" s="136">
        <v>1517273</v>
      </c>
      <c r="BU6" s="136">
        <v>10605</v>
      </c>
      <c r="BV6" s="136">
        <v>731314</v>
      </c>
      <c r="BW6" s="136">
        <v>0</v>
      </c>
      <c r="BX6" s="136">
        <v>0</v>
      </c>
      <c r="BY6" s="136">
        <v>0</v>
      </c>
      <c r="BZ6" s="136">
        <v>4334789</v>
      </c>
      <c r="CA6" s="136">
        <v>0</v>
      </c>
      <c r="CB6" s="136">
        <v>0</v>
      </c>
      <c r="CC6" s="136">
        <v>57519</v>
      </c>
      <c r="CD6" s="136">
        <v>0</v>
      </c>
      <c r="CE6" s="136">
        <v>0</v>
      </c>
      <c r="CF6" s="136">
        <v>3548511</v>
      </c>
      <c r="CG6" s="136">
        <v>0</v>
      </c>
      <c r="CH6" s="136">
        <v>8897131</v>
      </c>
      <c r="CI6" s="136">
        <v>0</v>
      </c>
      <c r="CJ6" s="136">
        <v>0</v>
      </c>
      <c r="CK6" s="136">
        <v>0</v>
      </c>
      <c r="CL6" s="136">
        <v>3830710</v>
      </c>
      <c r="CM6" s="136">
        <v>6666</v>
      </c>
      <c r="CN6" s="136">
        <v>0</v>
      </c>
      <c r="CO6" s="136">
        <v>230153</v>
      </c>
      <c r="CP6" s="136">
        <v>0</v>
      </c>
      <c r="CQ6" s="136">
        <v>126497</v>
      </c>
      <c r="CR6" s="136">
        <v>1095087</v>
      </c>
      <c r="CS6" s="136">
        <v>0</v>
      </c>
      <c r="CT6" s="136">
        <v>115657</v>
      </c>
      <c r="CU6" s="136">
        <v>0</v>
      </c>
      <c r="CV6" s="136">
        <v>0</v>
      </c>
      <c r="CW6" s="136">
        <v>0</v>
      </c>
      <c r="CX6" s="136">
        <v>0</v>
      </c>
      <c r="CY6" s="136">
        <v>0</v>
      </c>
      <c r="CZ6" s="136">
        <v>0</v>
      </c>
      <c r="DA6" s="136"/>
      <c r="DB6" s="136"/>
      <c r="DC6" s="136"/>
      <c r="DD6" s="136"/>
      <c r="DE6" s="136"/>
      <c r="DF6" s="136"/>
      <c r="DG6" s="136">
        <v>16012</v>
      </c>
      <c r="DH6" s="136">
        <v>0</v>
      </c>
      <c r="DI6" s="136">
        <v>140288</v>
      </c>
      <c r="DJ6" s="136">
        <v>1629706</v>
      </c>
      <c r="DK6" s="136">
        <v>259939</v>
      </c>
      <c r="DL6" s="136">
        <v>252152</v>
      </c>
      <c r="DM6" s="136">
        <v>620819</v>
      </c>
      <c r="DN6" s="136">
        <v>0</v>
      </c>
      <c r="DO6" s="136">
        <v>0</v>
      </c>
      <c r="DP6" s="136" t="s">
        <v>307</v>
      </c>
      <c r="DQ6" s="136">
        <v>2423607</v>
      </c>
      <c r="DR6" s="136">
        <v>0</v>
      </c>
      <c r="DS6" s="136"/>
      <c r="DT6" s="136"/>
      <c r="DU6" s="136"/>
      <c r="DV6" s="136"/>
      <c r="DW6" s="136"/>
      <c r="DX6" s="136"/>
      <c r="DY6" s="136">
        <v>564677</v>
      </c>
      <c r="DZ6" s="136">
        <v>0</v>
      </c>
      <c r="EA6" s="136">
        <v>764658</v>
      </c>
      <c r="EB6" s="136">
        <v>4584</v>
      </c>
      <c r="EC6" s="136">
        <v>0</v>
      </c>
      <c r="ED6" s="136">
        <v>0</v>
      </c>
      <c r="EE6" s="136">
        <v>673563</v>
      </c>
      <c r="EF6" s="136">
        <v>0</v>
      </c>
      <c r="EG6" s="136">
        <v>631569</v>
      </c>
      <c r="EH6" s="136">
        <v>862988</v>
      </c>
      <c r="EI6" s="136">
        <v>0</v>
      </c>
      <c r="EJ6" s="136">
        <v>85192</v>
      </c>
      <c r="EK6" s="136"/>
      <c r="EL6" s="136"/>
      <c r="EM6" s="136"/>
      <c r="EN6" s="136"/>
      <c r="EO6" s="136"/>
      <c r="EP6" s="136"/>
      <c r="EQ6" s="136">
        <v>1487334</v>
      </c>
      <c r="ER6" s="136">
        <v>0</v>
      </c>
      <c r="ES6" s="136">
        <v>0</v>
      </c>
      <c r="ET6" s="136">
        <v>87338</v>
      </c>
      <c r="EU6" s="136">
        <v>0</v>
      </c>
      <c r="EV6" s="136">
        <v>37468</v>
      </c>
      <c r="EW6" s="136"/>
      <c r="EX6" s="136"/>
      <c r="EY6" s="136"/>
      <c r="EZ6" s="136"/>
      <c r="FA6" s="136"/>
      <c r="FB6" s="136"/>
      <c r="FC6" s="136">
        <v>137965</v>
      </c>
      <c r="FD6" s="136">
        <v>0</v>
      </c>
      <c r="FE6" s="136">
        <v>0</v>
      </c>
      <c r="FF6" s="136" t="s">
        <v>307</v>
      </c>
      <c r="FG6" s="136">
        <v>0</v>
      </c>
      <c r="FH6" s="136">
        <v>0</v>
      </c>
      <c r="FI6" s="136"/>
      <c r="FJ6" s="136"/>
      <c r="FK6" s="136"/>
      <c r="FL6" s="136"/>
      <c r="FM6" s="136"/>
      <c r="FN6" s="136"/>
      <c r="FO6" s="136">
        <v>653365</v>
      </c>
      <c r="FP6" s="136">
        <v>0</v>
      </c>
      <c r="FQ6" s="136">
        <v>727925</v>
      </c>
      <c r="FR6" s="136">
        <v>51411</v>
      </c>
      <c r="FS6" s="136">
        <v>2397780</v>
      </c>
      <c r="FT6" s="136">
        <v>0</v>
      </c>
      <c r="FU6" s="136">
        <v>1340059</v>
      </c>
      <c r="FV6" s="136">
        <v>0</v>
      </c>
      <c r="FW6" s="136">
        <v>0</v>
      </c>
      <c r="FX6" s="136" t="s">
        <v>307</v>
      </c>
      <c r="FY6" s="136">
        <v>127627</v>
      </c>
      <c r="FZ6" s="136">
        <v>0</v>
      </c>
      <c r="GA6" s="136">
        <v>594209</v>
      </c>
      <c r="GB6" s="136">
        <v>0</v>
      </c>
      <c r="GC6" s="136">
        <v>49099</v>
      </c>
      <c r="GD6" s="136">
        <v>88686</v>
      </c>
      <c r="GE6" s="136">
        <v>16800</v>
      </c>
      <c r="GF6" s="136">
        <v>140782</v>
      </c>
      <c r="GG6" s="136">
        <v>0</v>
      </c>
      <c r="GH6" s="136">
        <v>0</v>
      </c>
      <c r="GI6" s="136">
        <v>0</v>
      </c>
      <c r="GJ6" s="136" t="s">
        <v>307</v>
      </c>
      <c r="GK6" s="136">
        <v>0</v>
      </c>
      <c r="GL6" s="136">
        <v>0</v>
      </c>
      <c r="GM6" s="136">
        <v>0</v>
      </c>
      <c r="GN6" s="136">
        <v>0</v>
      </c>
      <c r="GO6" s="136">
        <v>0</v>
      </c>
      <c r="GP6" s="136" t="s">
        <v>307</v>
      </c>
      <c r="GQ6" s="136">
        <v>0</v>
      </c>
      <c r="GR6" s="136">
        <v>0</v>
      </c>
      <c r="GS6" s="136">
        <v>0</v>
      </c>
      <c r="GT6" s="136">
        <v>0</v>
      </c>
      <c r="GU6" s="136">
        <v>0</v>
      </c>
      <c r="GW6" s="137"/>
      <c r="GY6" s="136">
        <v>73398735</v>
      </c>
      <c r="GZ6" s="136" t="s">
        <v>439</v>
      </c>
      <c r="HA6" s="136" t="s">
        <v>439</v>
      </c>
      <c r="HB6" s="136" t="s">
        <v>439</v>
      </c>
      <c r="HC6" s="136" t="s">
        <v>439</v>
      </c>
      <c r="HD6" s="136" t="s">
        <v>439</v>
      </c>
      <c r="HE6" s="136" t="s">
        <v>439</v>
      </c>
      <c r="HF6" s="136" t="s">
        <v>439</v>
      </c>
      <c r="HG6" s="136" t="s">
        <v>439</v>
      </c>
      <c r="HH6" s="136" t="s">
        <v>439</v>
      </c>
      <c r="HI6" s="35" t="s">
        <v>439</v>
      </c>
      <c r="HJ6" s="35" t="s">
        <v>439</v>
      </c>
      <c r="HK6" s="35" t="s">
        <v>439</v>
      </c>
      <c r="HL6"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17920748</v>
      </c>
      <c r="HM6"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6"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2821739</v>
      </c>
      <c r="HO6"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38459821</v>
      </c>
      <c r="HP6"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3460101</v>
      </c>
      <c r="HQ6"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12779386</v>
      </c>
      <c r="HR6"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73398735</v>
      </c>
    </row>
    <row r="7" spans="1:226">
      <c r="A7" s="35" t="s">
        <v>690</v>
      </c>
      <c r="B7" s="37" t="s">
        <v>703</v>
      </c>
      <c r="D7" s="37" t="s">
        <v>835</v>
      </c>
      <c r="E7" s="103">
        <v>3564</v>
      </c>
      <c r="F7" s="136">
        <v>0</v>
      </c>
      <c r="G7" s="136">
        <v>0</v>
      </c>
      <c r="H7" s="136">
        <v>10734</v>
      </c>
      <c r="I7" s="136">
        <v>0</v>
      </c>
      <c r="J7" s="136">
        <v>0</v>
      </c>
      <c r="K7" s="136">
        <v>0</v>
      </c>
      <c r="L7" s="136">
        <v>0</v>
      </c>
      <c r="M7" s="136">
        <v>0</v>
      </c>
      <c r="N7" s="136">
        <v>0</v>
      </c>
      <c r="O7" s="136">
        <v>0</v>
      </c>
      <c r="P7" s="136">
        <v>0</v>
      </c>
      <c r="Q7" s="136">
        <v>0</v>
      </c>
      <c r="R7" s="136">
        <v>0</v>
      </c>
      <c r="S7" s="136">
        <v>0</v>
      </c>
      <c r="T7" s="136">
        <v>0</v>
      </c>
      <c r="U7" s="136">
        <v>0</v>
      </c>
      <c r="V7" s="136">
        <v>0</v>
      </c>
      <c r="W7" s="136">
        <v>0</v>
      </c>
      <c r="X7" s="136">
        <v>0</v>
      </c>
      <c r="Y7" s="136">
        <v>0</v>
      </c>
      <c r="Z7" s="136">
        <v>0</v>
      </c>
      <c r="AA7" s="136">
        <v>0</v>
      </c>
      <c r="AB7" s="136">
        <v>0</v>
      </c>
      <c r="AC7" s="136">
        <v>0</v>
      </c>
      <c r="AD7" s="136">
        <v>0</v>
      </c>
      <c r="AE7" s="136">
        <v>0</v>
      </c>
      <c r="AF7" s="136">
        <v>0</v>
      </c>
      <c r="AG7" s="136">
        <v>0</v>
      </c>
      <c r="AH7" s="136">
        <v>0</v>
      </c>
      <c r="AI7" s="136">
        <v>0</v>
      </c>
      <c r="AJ7" s="136">
        <v>0</v>
      </c>
      <c r="AK7" s="136">
        <v>0</v>
      </c>
      <c r="AL7" s="136">
        <v>0</v>
      </c>
      <c r="AM7" s="136">
        <v>0</v>
      </c>
      <c r="AN7" s="136">
        <v>0</v>
      </c>
      <c r="AO7" s="136">
        <v>0</v>
      </c>
      <c r="AP7" s="136">
        <v>0</v>
      </c>
      <c r="AQ7" s="136">
        <v>0</v>
      </c>
      <c r="AR7" s="136">
        <v>0</v>
      </c>
      <c r="AS7" s="136">
        <v>0</v>
      </c>
      <c r="AT7" s="136">
        <v>0</v>
      </c>
      <c r="AU7" s="136">
        <v>0</v>
      </c>
      <c r="AV7" s="136">
        <v>0</v>
      </c>
      <c r="AW7" s="136">
        <v>0</v>
      </c>
      <c r="AX7" s="136">
        <v>0</v>
      </c>
      <c r="AY7" s="136">
        <v>0</v>
      </c>
      <c r="AZ7" s="136">
        <v>0</v>
      </c>
      <c r="BA7" s="136">
        <v>0</v>
      </c>
      <c r="BB7" s="136">
        <v>0</v>
      </c>
      <c r="BC7" s="136">
        <v>0</v>
      </c>
      <c r="BD7" s="136">
        <v>0</v>
      </c>
      <c r="BE7" s="136">
        <v>0</v>
      </c>
      <c r="BF7" s="136">
        <v>0</v>
      </c>
      <c r="BG7" s="136">
        <v>0</v>
      </c>
      <c r="BH7" s="136">
        <v>0</v>
      </c>
      <c r="BI7" s="136">
        <v>0</v>
      </c>
      <c r="BJ7" s="136">
        <v>10734</v>
      </c>
      <c r="BK7" s="136">
        <v>0</v>
      </c>
      <c r="BL7" s="136">
        <v>0</v>
      </c>
      <c r="BM7" s="136">
        <v>0</v>
      </c>
      <c r="BN7" s="136">
        <v>0</v>
      </c>
      <c r="BO7" s="136">
        <v>0</v>
      </c>
      <c r="BP7" s="136">
        <v>0</v>
      </c>
      <c r="BQ7" s="136">
        <v>0</v>
      </c>
      <c r="BR7" s="136">
        <v>0</v>
      </c>
      <c r="BS7" s="136">
        <v>0</v>
      </c>
      <c r="BT7" s="136">
        <v>0</v>
      </c>
      <c r="BU7" s="136">
        <v>0</v>
      </c>
      <c r="BV7" s="136">
        <v>0</v>
      </c>
      <c r="BW7" s="136">
        <v>0</v>
      </c>
      <c r="BX7" s="136">
        <v>0</v>
      </c>
      <c r="BY7" s="136">
        <v>0</v>
      </c>
      <c r="BZ7" s="136">
        <v>0</v>
      </c>
      <c r="CA7" s="136">
        <v>0</v>
      </c>
      <c r="CB7" s="136">
        <v>0</v>
      </c>
      <c r="CC7" s="136">
        <v>0</v>
      </c>
      <c r="CD7" s="136">
        <v>0</v>
      </c>
      <c r="CE7" s="136">
        <v>0</v>
      </c>
      <c r="CF7" s="136">
        <v>0</v>
      </c>
      <c r="CG7" s="136">
        <v>0</v>
      </c>
      <c r="CH7" s="136">
        <v>0</v>
      </c>
      <c r="CI7" s="136">
        <v>0</v>
      </c>
      <c r="CJ7" s="136">
        <v>0</v>
      </c>
      <c r="CK7" s="136">
        <v>0</v>
      </c>
      <c r="CL7" s="136">
        <v>0</v>
      </c>
      <c r="CM7" s="136">
        <v>0</v>
      </c>
      <c r="CN7" s="136">
        <v>0</v>
      </c>
      <c r="CO7" s="136">
        <v>0</v>
      </c>
      <c r="CP7" s="136">
        <v>0</v>
      </c>
      <c r="CQ7" s="136">
        <v>0</v>
      </c>
      <c r="CR7" s="136">
        <v>0</v>
      </c>
      <c r="CS7" s="136">
        <v>0</v>
      </c>
      <c r="CT7" s="136">
        <v>0</v>
      </c>
      <c r="CU7" s="136">
        <v>0</v>
      </c>
      <c r="CV7" s="136">
        <v>0</v>
      </c>
      <c r="CW7" s="136">
        <v>0</v>
      </c>
      <c r="CX7" s="136">
        <v>0</v>
      </c>
      <c r="CY7" s="136">
        <v>0</v>
      </c>
      <c r="CZ7" s="136">
        <v>0</v>
      </c>
      <c r="DA7" s="136"/>
      <c r="DB7" s="136"/>
      <c r="DC7" s="136"/>
      <c r="DD7" s="136"/>
      <c r="DE7" s="136"/>
      <c r="DF7" s="136"/>
      <c r="DG7" s="136">
        <v>0</v>
      </c>
      <c r="DH7" s="136">
        <v>0</v>
      </c>
      <c r="DI7" s="136">
        <v>0</v>
      </c>
      <c r="DJ7" s="136">
        <v>0</v>
      </c>
      <c r="DK7" s="136">
        <v>0</v>
      </c>
      <c r="DL7" s="136">
        <v>0</v>
      </c>
      <c r="DM7" s="136">
        <v>0</v>
      </c>
      <c r="DN7" s="136">
        <v>0</v>
      </c>
      <c r="DO7" s="136">
        <v>0</v>
      </c>
      <c r="DP7" s="136">
        <v>0</v>
      </c>
      <c r="DQ7" s="136">
        <v>0</v>
      </c>
      <c r="DR7" s="136">
        <v>0</v>
      </c>
      <c r="DS7" s="136"/>
      <c r="DT7" s="136"/>
      <c r="DU7" s="136"/>
      <c r="DV7" s="136"/>
      <c r="DW7" s="136"/>
      <c r="DX7" s="136"/>
      <c r="DY7" s="136">
        <v>0</v>
      </c>
      <c r="DZ7" s="136">
        <v>0</v>
      </c>
      <c r="EA7" s="136">
        <v>0</v>
      </c>
      <c r="EB7" s="136">
        <v>0</v>
      </c>
      <c r="EC7" s="136">
        <v>0</v>
      </c>
      <c r="ED7" s="136">
        <v>0</v>
      </c>
      <c r="EE7" s="136">
        <v>0</v>
      </c>
      <c r="EF7" s="136">
        <v>0</v>
      </c>
      <c r="EG7" s="136">
        <v>0</v>
      </c>
      <c r="EH7" s="136">
        <v>0</v>
      </c>
      <c r="EI7" s="136">
        <v>0</v>
      </c>
      <c r="EJ7" s="136">
        <v>0</v>
      </c>
      <c r="EK7" s="136"/>
      <c r="EL7" s="136"/>
      <c r="EM7" s="136"/>
      <c r="EN7" s="136"/>
      <c r="EO7" s="136"/>
      <c r="EP7" s="136"/>
      <c r="EQ7" s="136">
        <v>0</v>
      </c>
      <c r="ER7" s="136">
        <v>0</v>
      </c>
      <c r="ES7" s="136">
        <v>0</v>
      </c>
      <c r="ET7" s="136">
        <v>0</v>
      </c>
      <c r="EU7" s="136">
        <v>0</v>
      </c>
      <c r="EV7" s="136">
        <v>0</v>
      </c>
      <c r="EW7" s="136"/>
      <c r="EX7" s="136"/>
      <c r="EY7" s="136"/>
      <c r="EZ7" s="136"/>
      <c r="FA7" s="136"/>
      <c r="FB7" s="136"/>
      <c r="FC7" s="136">
        <v>0</v>
      </c>
      <c r="FD7" s="136">
        <v>0</v>
      </c>
      <c r="FE7" s="136">
        <v>0</v>
      </c>
      <c r="FF7" s="136">
        <v>0</v>
      </c>
      <c r="FG7" s="136">
        <v>0</v>
      </c>
      <c r="FH7" s="136">
        <v>0</v>
      </c>
      <c r="FI7" s="136"/>
      <c r="FJ7" s="136"/>
      <c r="FK7" s="136"/>
      <c r="FL7" s="136"/>
      <c r="FM7" s="136"/>
      <c r="FN7" s="136"/>
      <c r="FO7" s="136">
        <v>0</v>
      </c>
      <c r="FP7" s="136">
        <v>0</v>
      </c>
      <c r="FQ7" s="136">
        <v>0</v>
      </c>
      <c r="FR7" s="136">
        <v>0</v>
      </c>
      <c r="FS7" s="136">
        <v>0</v>
      </c>
      <c r="FT7" s="136">
        <v>0</v>
      </c>
      <c r="FU7" s="136">
        <v>0</v>
      </c>
      <c r="FV7" s="136">
        <v>0</v>
      </c>
      <c r="FW7" s="136">
        <v>0</v>
      </c>
      <c r="FX7" s="136">
        <v>0</v>
      </c>
      <c r="FY7" s="136">
        <v>0</v>
      </c>
      <c r="FZ7" s="136">
        <v>0</v>
      </c>
      <c r="GA7" s="136">
        <v>0</v>
      </c>
      <c r="GB7" s="136">
        <v>0</v>
      </c>
      <c r="GC7" s="136">
        <v>0</v>
      </c>
      <c r="GD7" s="136">
        <v>0</v>
      </c>
      <c r="GE7" s="136">
        <v>0</v>
      </c>
      <c r="GF7" s="136">
        <v>0</v>
      </c>
      <c r="GG7" s="136">
        <v>0</v>
      </c>
      <c r="GH7" s="136">
        <v>0</v>
      </c>
      <c r="GI7" s="136">
        <v>0</v>
      </c>
      <c r="GJ7" s="136">
        <v>0</v>
      </c>
      <c r="GK7" s="136">
        <v>0</v>
      </c>
      <c r="GL7" s="136">
        <v>0</v>
      </c>
      <c r="GM7" s="136">
        <v>0</v>
      </c>
      <c r="GN7" s="136">
        <v>0</v>
      </c>
      <c r="GO7" s="136">
        <v>0</v>
      </c>
      <c r="GP7" s="136">
        <v>0</v>
      </c>
      <c r="GQ7" s="136">
        <v>0</v>
      </c>
      <c r="GR7" s="136">
        <v>0</v>
      </c>
      <c r="GS7" s="136">
        <v>0</v>
      </c>
      <c r="GT7" s="136">
        <v>0</v>
      </c>
      <c r="GU7" s="136">
        <v>0</v>
      </c>
      <c r="GW7" s="137"/>
      <c r="GY7" s="136">
        <v>10734</v>
      </c>
      <c r="GZ7" s="136" t="s">
        <v>439</v>
      </c>
      <c r="HA7" s="136" t="s">
        <v>439</v>
      </c>
      <c r="HB7" s="136" t="s">
        <v>439</v>
      </c>
      <c r="HC7" s="136" t="s">
        <v>439</v>
      </c>
      <c r="HD7" s="136" t="s">
        <v>439</v>
      </c>
      <c r="HE7" s="136" t="s">
        <v>439</v>
      </c>
      <c r="HF7" s="136" t="s">
        <v>439</v>
      </c>
      <c r="HG7" s="136" t="s">
        <v>439</v>
      </c>
      <c r="HH7" s="136" t="s">
        <v>439</v>
      </c>
      <c r="HI7" s="35" t="s">
        <v>439</v>
      </c>
      <c r="HJ7" s="35" t="s">
        <v>439</v>
      </c>
      <c r="HK7" s="35" t="s">
        <v>439</v>
      </c>
      <c r="HL7"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7"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7"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7"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7"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7"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10734</v>
      </c>
      <c r="HR7"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10734</v>
      </c>
    </row>
    <row r="8" spans="1:226">
      <c r="A8" s="35" t="s">
        <v>308</v>
      </c>
      <c r="B8" s="37" t="s">
        <v>703</v>
      </c>
      <c r="D8" s="37" t="s">
        <v>835</v>
      </c>
      <c r="E8" s="103">
        <v>3577</v>
      </c>
      <c r="F8" s="136">
        <v>0</v>
      </c>
      <c r="G8" s="136">
        <v>0</v>
      </c>
      <c r="H8" s="136">
        <v>0</v>
      </c>
      <c r="I8" s="136">
        <v>0</v>
      </c>
      <c r="J8" s="136">
        <v>0</v>
      </c>
      <c r="K8" s="136">
        <v>0</v>
      </c>
      <c r="L8" s="136">
        <v>300000</v>
      </c>
      <c r="M8" s="136">
        <v>300000</v>
      </c>
      <c r="N8" s="136">
        <v>0</v>
      </c>
      <c r="O8" s="136">
        <v>0</v>
      </c>
      <c r="P8" s="136">
        <v>0</v>
      </c>
      <c r="Q8" s="136">
        <v>0</v>
      </c>
      <c r="R8" s="136">
        <v>0</v>
      </c>
      <c r="S8" s="136">
        <v>0</v>
      </c>
      <c r="T8" s="136">
        <v>0</v>
      </c>
      <c r="U8" s="136">
        <v>0</v>
      </c>
      <c r="V8" s="136">
        <v>0</v>
      </c>
      <c r="W8" s="136">
        <v>0</v>
      </c>
      <c r="X8" s="136">
        <v>0</v>
      </c>
      <c r="Y8" s="136">
        <v>0</v>
      </c>
      <c r="Z8" s="136">
        <v>0</v>
      </c>
      <c r="AA8" s="136">
        <v>100000</v>
      </c>
      <c r="AB8" s="136">
        <v>0</v>
      </c>
      <c r="AC8" s="136">
        <v>0</v>
      </c>
      <c r="AD8" s="136">
        <v>0</v>
      </c>
      <c r="AE8" s="136">
        <v>0</v>
      </c>
      <c r="AF8" s="136">
        <v>0</v>
      </c>
      <c r="AG8" s="136">
        <v>0</v>
      </c>
      <c r="AH8" s="136">
        <v>0</v>
      </c>
      <c r="AI8" s="136">
        <v>0</v>
      </c>
      <c r="AJ8" s="136">
        <v>0</v>
      </c>
      <c r="AK8" s="136">
        <v>0</v>
      </c>
      <c r="AL8" s="136">
        <v>0</v>
      </c>
      <c r="AM8" s="136">
        <v>200000</v>
      </c>
      <c r="AN8" s="136">
        <v>0</v>
      </c>
      <c r="AO8" s="136">
        <v>0</v>
      </c>
      <c r="AP8" s="136">
        <v>0</v>
      </c>
      <c r="AQ8" s="136">
        <v>0</v>
      </c>
      <c r="AR8" s="136">
        <v>0</v>
      </c>
      <c r="AS8" s="136">
        <v>0</v>
      </c>
      <c r="AT8" s="136">
        <v>0</v>
      </c>
      <c r="AU8" s="136">
        <v>0</v>
      </c>
      <c r="AV8" s="136">
        <v>0</v>
      </c>
      <c r="AW8" s="136">
        <v>0</v>
      </c>
      <c r="AX8" s="136">
        <v>0</v>
      </c>
      <c r="AY8" s="136">
        <v>0</v>
      </c>
      <c r="AZ8" s="136">
        <v>0</v>
      </c>
      <c r="BA8" s="136">
        <v>0</v>
      </c>
      <c r="BB8" s="136">
        <v>0</v>
      </c>
      <c r="BC8" s="136">
        <v>0</v>
      </c>
      <c r="BD8" s="136">
        <v>0</v>
      </c>
      <c r="BE8" s="136">
        <v>0</v>
      </c>
      <c r="BF8" s="136">
        <v>0</v>
      </c>
      <c r="BG8" s="136">
        <v>0</v>
      </c>
      <c r="BH8" s="136">
        <v>0</v>
      </c>
      <c r="BI8" s="136">
        <v>0</v>
      </c>
      <c r="BJ8" s="136">
        <v>0</v>
      </c>
      <c r="BK8" s="136">
        <v>0</v>
      </c>
      <c r="BL8" s="136">
        <v>0</v>
      </c>
      <c r="BM8" s="136">
        <v>0</v>
      </c>
      <c r="BN8" s="136">
        <v>0</v>
      </c>
      <c r="BO8" s="136">
        <v>0</v>
      </c>
      <c r="BP8" s="136">
        <v>0</v>
      </c>
      <c r="BQ8" s="136">
        <v>0</v>
      </c>
      <c r="BR8" s="136">
        <v>0</v>
      </c>
      <c r="BS8" s="136">
        <v>0</v>
      </c>
      <c r="BT8" s="136">
        <v>0</v>
      </c>
      <c r="BU8" s="136">
        <v>0</v>
      </c>
      <c r="BV8" s="136">
        <v>0</v>
      </c>
      <c r="BW8" s="136">
        <v>0</v>
      </c>
      <c r="BX8" s="136">
        <v>0</v>
      </c>
      <c r="BY8" s="136">
        <v>0</v>
      </c>
      <c r="BZ8" s="136">
        <v>0</v>
      </c>
      <c r="CA8" s="136">
        <v>0</v>
      </c>
      <c r="CB8" s="136">
        <v>0</v>
      </c>
      <c r="CC8" s="136">
        <v>0</v>
      </c>
      <c r="CD8" s="136">
        <v>0</v>
      </c>
      <c r="CE8" s="136">
        <v>0</v>
      </c>
      <c r="CF8" s="136">
        <v>0</v>
      </c>
      <c r="CG8" s="136">
        <v>0</v>
      </c>
      <c r="CH8" s="136">
        <v>0</v>
      </c>
      <c r="CI8" s="136">
        <v>0</v>
      </c>
      <c r="CJ8" s="136">
        <v>0</v>
      </c>
      <c r="CK8" s="136">
        <v>0</v>
      </c>
      <c r="CL8" s="136">
        <v>0</v>
      </c>
      <c r="CM8" s="136">
        <v>0</v>
      </c>
      <c r="CN8" s="136">
        <v>0</v>
      </c>
      <c r="CO8" s="136">
        <v>0</v>
      </c>
      <c r="CP8" s="136">
        <v>0</v>
      </c>
      <c r="CQ8" s="136">
        <v>0</v>
      </c>
      <c r="CR8" s="136">
        <v>0</v>
      </c>
      <c r="CS8" s="136">
        <v>0</v>
      </c>
      <c r="CT8" s="136">
        <v>0</v>
      </c>
      <c r="CU8" s="136">
        <v>0</v>
      </c>
      <c r="CV8" s="136">
        <v>0</v>
      </c>
      <c r="CW8" s="136">
        <v>0</v>
      </c>
      <c r="CX8" s="136">
        <v>0</v>
      </c>
      <c r="CY8" s="136">
        <v>0</v>
      </c>
      <c r="CZ8" s="136">
        <v>0</v>
      </c>
      <c r="DA8" s="136"/>
      <c r="DB8" s="136"/>
      <c r="DC8" s="136"/>
      <c r="DD8" s="136"/>
      <c r="DE8" s="136"/>
      <c r="DF8" s="136"/>
      <c r="DG8" s="136">
        <v>0</v>
      </c>
      <c r="DH8" s="136">
        <v>0</v>
      </c>
      <c r="DI8" s="136">
        <v>0</v>
      </c>
      <c r="DJ8" s="136">
        <v>0</v>
      </c>
      <c r="DK8" s="136">
        <v>0</v>
      </c>
      <c r="DL8" s="136">
        <v>0</v>
      </c>
      <c r="DM8" s="136">
        <v>0</v>
      </c>
      <c r="DN8" s="136">
        <v>0</v>
      </c>
      <c r="DO8" s="136">
        <v>0</v>
      </c>
      <c r="DP8" s="136">
        <v>0</v>
      </c>
      <c r="DQ8" s="136">
        <v>0</v>
      </c>
      <c r="DR8" s="136">
        <v>0</v>
      </c>
      <c r="DS8" s="136"/>
      <c r="DT8" s="136"/>
      <c r="DU8" s="136"/>
      <c r="DV8" s="136"/>
      <c r="DW8" s="136"/>
      <c r="DX8" s="136"/>
      <c r="DY8" s="136">
        <v>0</v>
      </c>
      <c r="DZ8" s="136">
        <v>0</v>
      </c>
      <c r="EA8" s="136">
        <v>0</v>
      </c>
      <c r="EB8" s="136">
        <v>0</v>
      </c>
      <c r="EC8" s="136">
        <v>0</v>
      </c>
      <c r="ED8" s="136">
        <v>0</v>
      </c>
      <c r="EE8" s="136">
        <v>0</v>
      </c>
      <c r="EF8" s="136">
        <v>0</v>
      </c>
      <c r="EG8" s="136">
        <v>0</v>
      </c>
      <c r="EH8" s="136">
        <v>0</v>
      </c>
      <c r="EI8" s="136">
        <v>0</v>
      </c>
      <c r="EJ8" s="136">
        <v>0</v>
      </c>
      <c r="EK8" s="136"/>
      <c r="EL8" s="136"/>
      <c r="EM8" s="136"/>
      <c r="EN8" s="136"/>
      <c r="EO8" s="136"/>
      <c r="EP8" s="136"/>
      <c r="EQ8" s="136">
        <v>0</v>
      </c>
      <c r="ER8" s="136">
        <v>0</v>
      </c>
      <c r="ES8" s="136">
        <v>0</v>
      </c>
      <c r="ET8" s="136">
        <v>0</v>
      </c>
      <c r="EU8" s="136">
        <v>0</v>
      </c>
      <c r="EV8" s="136">
        <v>0</v>
      </c>
      <c r="EW8" s="136"/>
      <c r="EX8" s="136"/>
      <c r="EY8" s="136"/>
      <c r="EZ8" s="136"/>
      <c r="FA8" s="136"/>
      <c r="FB8" s="136"/>
      <c r="FC8" s="136">
        <v>0</v>
      </c>
      <c r="FD8" s="136">
        <v>0</v>
      </c>
      <c r="FE8" s="136">
        <v>0</v>
      </c>
      <c r="FF8" s="136">
        <v>0</v>
      </c>
      <c r="FG8" s="136">
        <v>0</v>
      </c>
      <c r="FH8" s="136">
        <v>0</v>
      </c>
      <c r="FI8" s="136"/>
      <c r="FJ8" s="136"/>
      <c r="FK8" s="136"/>
      <c r="FL8" s="136"/>
      <c r="FM8" s="136"/>
      <c r="FN8" s="136"/>
      <c r="FO8" s="136">
        <v>0</v>
      </c>
      <c r="FP8" s="136">
        <v>0</v>
      </c>
      <c r="FQ8" s="136">
        <v>0</v>
      </c>
      <c r="FR8" s="136">
        <v>0</v>
      </c>
      <c r="FS8" s="136">
        <v>0</v>
      </c>
      <c r="FT8" s="136">
        <v>0</v>
      </c>
      <c r="FU8" s="136">
        <v>0</v>
      </c>
      <c r="FV8" s="136">
        <v>0</v>
      </c>
      <c r="FW8" s="136">
        <v>0</v>
      </c>
      <c r="FX8" s="136">
        <v>0</v>
      </c>
      <c r="FY8" s="136">
        <v>0</v>
      </c>
      <c r="FZ8" s="136">
        <v>0</v>
      </c>
      <c r="GA8" s="136">
        <v>0</v>
      </c>
      <c r="GB8" s="136">
        <v>0</v>
      </c>
      <c r="GC8" s="136">
        <v>0</v>
      </c>
      <c r="GD8" s="136">
        <v>0</v>
      </c>
      <c r="GE8" s="136">
        <v>0</v>
      </c>
      <c r="GF8" s="136">
        <v>0</v>
      </c>
      <c r="GG8" s="136">
        <v>0</v>
      </c>
      <c r="GH8" s="136">
        <v>0</v>
      </c>
      <c r="GI8" s="136">
        <v>0</v>
      </c>
      <c r="GJ8" s="136">
        <v>0</v>
      </c>
      <c r="GK8" s="136">
        <v>0</v>
      </c>
      <c r="GL8" s="136">
        <v>0</v>
      </c>
      <c r="GM8" s="136">
        <v>0</v>
      </c>
      <c r="GN8" s="136">
        <v>0</v>
      </c>
      <c r="GO8" s="136">
        <v>0</v>
      </c>
      <c r="GP8" s="136">
        <v>0</v>
      </c>
      <c r="GQ8" s="136">
        <v>0</v>
      </c>
      <c r="GR8" s="136">
        <v>0</v>
      </c>
      <c r="GS8" s="136">
        <v>0</v>
      </c>
      <c r="GT8" s="136">
        <v>0</v>
      </c>
      <c r="GU8" s="136">
        <v>0</v>
      </c>
      <c r="GW8" s="137"/>
      <c r="GY8" s="136">
        <v>0</v>
      </c>
      <c r="GZ8" s="136" t="s">
        <v>439</v>
      </c>
      <c r="HA8" s="136" t="s">
        <v>439</v>
      </c>
      <c r="HB8" s="136" t="s">
        <v>439</v>
      </c>
      <c r="HC8" s="136" t="s">
        <v>439</v>
      </c>
      <c r="HD8" s="136" t="s">
        <v>439</v>
      </c>
      <c r="HE8" s="136" t="s">
        <v>439</v>
      </c>
      <c r="HF8" s="136" t="s">
        <v>439</v>
      </c>
      <c r="HG8" s="136" t="s">
        <v>439</v>
      </c>
      <c r="HH8" s="136" t="s">
        <v>439</v>
      </c>
      <c r="HI8" s="35" t="s">
        <v>439</v>
      </c>
      <c r="HJ8" s="35" t="s">
        <v>439</v>
      </c>
      <c r="HK8" s="35" t="s">
        <v>439</v>
      </c>
      <c r="HL8"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300000</v>
      </c>
      <c r="HM8"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8"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8"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8"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8"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8"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9" spans="1:226">
      <c r="A9" s="35" t="s">
        <v>63</v>
      </c>
      <c r="B9" s="37" t="s">
        <v>62</v>
      </c>
      <c r="C9" s="37">
        <v>490</v>
      </c>
      <c r="D9" s="37" t="s">
        <v>835</v>
      </c>
      <c r="E9" s="103">
        <v>36273</v>
      </c>
      <c r="F9" s="136">
        <v>0</v>
      </c>
      <c r="G9" s="136">
        <v>0</v>
      </c>
      <c r="H9" s="136">
        <v>0</v>
      </c>
      <c r="I9" s="136">
        <v>0</v>
      </c>
      <c r="J9" s="136">
        <v>0</v>
      </c>
      <c r="K9" s="136">
        <v>0</v>
      </c>
      <c r="L9" s="136">
        <v>0</v>
      </c>
      <c r="M9" s="136">
        <v>0</v>
      </c>
      <c r="N9" s="136">
        <v>0</v>
      </c>
      <c r="O9" s="136">
        <v>0</v>
      </c>
      <c r="P9" s="136">
        <v>0</v>
      </c>
      <c r="Q9" s="136">
        <v>0</v>
      </c>
      <c r="R9" s="136">
        <v>0</v>
      </c>
      <c r="S9" s="136">
        <v>0</v>
      </c>
      <c r="T9" s="136">
        <v>0</v>
      </c>
      <c r="U9" s="136">
        <v>0</v>
      </c>
      <c r="V9" s="136">
        <v>0</v>
      </c>
      <c r="W9" s="136">
        <v>0</v>
      </c>
      <c r="X9" s="136">
        <v>0</v>
      </c>
      <c r="Y9" s="136">
        <v>0</v>
      </c>
      <c r="Z9" s="136">
        <v>0</v>
      </c>
      <c r="AA9" s="136">
        <v>0</v>
      </c>
      <c r="AB9" s="136">
        <v>0</v>
      </c>
      <c r="AC9" s="136">
        <v>0</v>
      </c>
      <c r="AD9" s="136">
        <v>0</v>
      </c>
      <c r="AE9" s="136">
        <v>0</v>
      </c>
      <c r="AF9" s="136">
        <v>0</v>
      </c>
      <c r="AG9" s="136">
        <v>0</v>
      </c>
      <c r="AH9" s="136">
        <v>0</v>
      </c>
      <c r="AI9" s="136">
        <v>0</v>
      </c>
      <c r="AJ9" s="136">
        <v>0</v>
      </c>
      <c r="AK9" s="136">
        <v>0</v>
      </c>
      <c r="AL9" s="136">
        <v>0</v>
      </c>
      <c r="AM9" s="136">
        <v>0</v>
      </c>
      <c r="AN9" s="136">
        <v>0</v>
      </c>
      <c r="AO9" s="136">
        <v>0</v>
      </c>
      <c r="AP9" s="136">
        <v>0</v>
      </c>
      <c r="AQ9" s="136">
        <v>0</v>
      </c>
      <c r="AR9" s="136">
        <v>0</v>
      </c>
      <c r="AS9" s="136">
        <v>0</v>
      </c>
      <c r="AT9" s="136">
        <v>0</v>
      </c>
      <c r="AU9" s="136">
        <v>0</v>
      </c>
      <c r="AV9" s="136">
        <v>0</v>
      </c>
      <c r="AW9" s="136">
        <v>0</v>
      </c>
      <c r="AX9" s="136">
        <v>0</v>
      </c>
      <c r="AY9" s="136">
        <v>0</v>
      </c>
      <c r="AZ9" s="136">
        <v>0</v>
      </c>
      <c r="BA9" s="136">
        <v>0</v>
      </c>
      <c r="BB9" s="136">
        <v>0</v>
      </c>
      <c r="BC9" s="136">
        <v>0</v>
      </c>
      <c r="BD9" s="136">
        <v>0</v>
      </c>
      <c r="BE9" s="136">
        <v>0</v>
      </c>
      <c r="BF9" s="136">
        <v>0</v>
      </c>
      <c r="BG9" s="136">
        <v>0</v>
      </c>
      <c r="BH9" s="136">
        <v>0</v>
      </c>
      <c r="BI9" s="136">
        <v>0</v>
      </c>
      <c r="BJ9" s="136">
        <v>0</v>
      </c>
      <c r="BK9" s="136">
        <v>0</v>
      </c>
      <c r="BL9" s="136">
        <v>0</v>
      </c>
      <c r="BM9" s="136">
        <v>0</v>
      </c>
      <c r="BN9" s="136">
        <v>0</v>
      </c>
      <c r="BO9" s="136">
        <v>0</v>
      </c>
      <c r="BP9" s="136">
        <v>0</v>
      </c>
      <c r="BQ9" s="136">
        <v>0</v>
      </c>
      <c r="BR9" s="136">
        <v>0</v>
      </c>
      <c r="BS9" s="136">
        <v>0</v>
      </c>
      <c r="BT9" s="136">
        <v>0</v>
      </c>
      <c r="BU9" s="136">
        <v>0</v>
      </c>
      <c r="BV9" s="136">
        <v>0</v>
      </c>
      <c r="BW9" s="136">
        <v>0</v>
      </c>
      <c r="BX9" s="136">
        <v>0</v>
      </c>
      <c r="BY9" s="136">
        <v>0</v>
      </c>
      <c r="BZ9" s="136">
        <v>0</v>
      </c>
      <c r="CA9" s="136">
        <v>0</v>
      </c>
      <c r="CB9" s="136">
        <v>0</v>
      </c>
      <c r="CC9" s="136">
        <v>0</v>
      </c>
      <c r="CD9" s="136">
        <v>0</v>
      </c>
      <c r="CE9" s="136">
        <v>0</v>
      </c>
      <c r="CF9" s="136">
        <v>0</v>
      </c>
      <c r="CG9" s="136">
        <v>0</v>
      </c>
      <c r="CH9" s="136">
        <v>0</v>
      </c>
      <c r="CI9" s="136">
        <v>0</v>
      </c>
      <c r="CJ9" s="136">
        <v>0</v>
      </c>
      <c r="CK9" s="136">
        <v>0</v>
      </c>
      <c r="CL9" s="136">
        <v>0</v>
      </c>
      <c r="CM9" s="136">
        <v>0</v>
      </c>
      <c r="CN9" s="136">
        <v>0</v>
      </c>
      <c r="CO9" s="136">
        <v>0</v>
      </c>
      <c r="CP9" s="136">
        <v>0</v>
      </c>
      <c r="CQ9" s="136">
        <v>0</v>
      </c>
      <c r="CR9" s="136">
        <v>0</v>
      </c>
      <c r="CS9" s="136">
        <v>0</v>
      </c>
      <c r="CT9" s="136">
        <v>0</v>
      </c>
      <c r="CU9" s="136">
        <v>0</v>
      </c>
      <c r="CV9" s="136">
        <v>0</v>
      </c>
      <c r="CW9" s="136">
        <v>0</v>
      </c>
      <c r="CX9" s="136">
        <v>0</v>
      </c>
      <c r="CY9" s="136">
        <v>0</v>
      </c>
      <c r="CZ9" s="136">
        <v>0</v>
      </c>
      <c r="DA9" s="136"/>
      <c r="DB9" s="136"/>
      <c r="DC9" s="136"/>
      <c r="DD9" s="136"/>
      <c r="DE9" s="136"/>
      <c r="DF9" s="136"/>
      <c r="DG9" s="136">
        <v>0</v>
      </c>
      <c r="DH9" s="136">
        <v>0</v>
      </c>
      <c r="DI9" s="136">
        <v>0</v>
      </c>
      <c r="DJ9" s="136">
        <v>0</v>
      </c>
      <c r="DK9" s="136">
        <v>0</v>
      </c>
      <c r="DL9" s="136">
        <v>0</v>
      </c>
      <c r="DM9" s="136">
        <v>0</v>
      </c>
      <c r="DN9" s="136">
        <v>0</v>
      </c>
      <c r="DO9" s="136">
        <v>0</v>
      </c>
      <c r="DP9" s="136">
        <v>0</v>
      </c>
      <c r="DQ9" s="136">
        <v>0</v>
      </c>
      <c r="DR9" s="136">
        <v>0</v>
      </c>
      <c r="DS9" s="136"/>
      <c r="DT9" s="136"/>
      <c r="DU9" s="136"/>
      <c r="DV9" s="136"/>
      <c r="DW9" s="136"/>
      <c r="DX9" s="136"/>
      <c r="DY9" s="136">
        <v>0</v>
      </c>
      <c r="DZ9" s="136">
        <v>0</v>
      </c>
      <c r="EA9" s="136">
        <v>0</v>
      </c>
      <c r="EB9" s="136">
        <v>0</v>
      </c>
      <c r="EC9" s="136">
        <v>0</v>
      </c>
      <c r="ED9" s="136">
        <v>0</v>
      </c>
      <c r="EE9" s="136"/>
      <c r="EF9" s="136"/>
      <c r="EG9" s="136"/>
      <c r="EH9" s="136"/>
      <c r="EI9" s="136"/>
      <c r="EJ9" s="136"/>
      <c r="EK9" s="136"/>
      <c r="EL9" s="136"/>
      <c r="EM9" s="136"/>
      <c r="EN9" s="136"/>
      <c r="EO9" s="136"/>
      <c r="EP9" s="136"/>
      <c r="EQ9" s="136">
        <v>0</v>
      </c>
      <c r="ER9" s="136">
        <v>0</v>
      </c>
      <c r="ES9" s="136">
        <v>0</v>
      </c>
      <c r="ET9" s="136">
        <v>0</v>
      </c>
      <c r="EU9" s="136">
        <v>0</v>
      </c>
      <c r="EV9" s="136">
        <v>0</v>
      </c>
      <c r="EW9" s="136"/>
      <c r="EX9" s="136"/>
      <c r="EY9" s="136"/>
      <c r="EZ9" s="136"/>
      <c r="FA9" s="136"/>
      <c r="FB9" s="136"/>
      <c r="FC9" s="136">
        <v>0</v>
      </c>
      <c r="FD9" s="136">
        <v>0</v>
      </c>
      <c r="FE9" s="136">
        <v>0</v>
      </c>
      <c r="FF9" s="136">
        <v>0</v>
      </c>
      <c r="FG9" s="136">
        <v>0</v>
      </c>
      <c r="FH9" s="136">
        <v>0</v>
      </c>
      <c r="FI9" s="136"/>
      <c r="FJ9" s="136"/>
      <c r="FK9" s="136"/>
      <c r="FL9" s="136"/>
      <c r="FM9" s="136"/>
      <c r="FN9" s="136"/>
      <c r="FO9" s="136">
        <v>0</v>
      </c>
      <c r="FP9" s="136">
        <v>0</v>
      </c>
      <c r="FQ9" s="136">
        <v>0</v>
      </c>
      <c r="FR9" s="136">
        <v>0</v>
      </c>
      <c r="FS9" s="136">
        <v>0</v>
      </c>
      <c r="FT9" s="136">
        <v>0</v>
      </c>
      <c r="FU9" s="136">
        <v>0</v>
      </c>
      <c r="FV9" s="136">
        <v>0</v>
      </c>
      <c r="FW9" s="136">
        <v>0</v>
      </c>
      <c r="FX9" s="136">
        <v>0</v>
      </c>
      <c r="FY9" s="136">
        <v>0</v>
      </c>
      <c r="FZ9" s="136">
        <v>0</v>
      </c>
      <c r="GA9" s="136">
        <v>0</v>
      </c>
      <c r="GB9" s="136">
        <v>0</v>
      </c>
      <c r="GC9" s="136">
        <v>0</v>
      </c>
      <c r="GD9" s="136">
        <v>0</v>
      </c>
      <c r="GE9" s="136">
        <v>0</v>
      </c>
      <c r="GF9" s="136">
        <v>0</v>
      </c>
      <c r="GG9" s="136"/>
      <c r="GH9" s="136"/>
      <c r="GI9" s="136"/>
      <c r="GJ9" s="136"/>
      <c r="GK9" s="136"/>
      <c r="GL9" s="136"/>
      <c r="GM9" s="136"/>
      <c r="GN9" s="136"/>
      <c r="GO9" s="136"/>
      <c r="GP9" s="136"/>
      <c r="GQ9" s="136"/>
      <c r="GR9" s="136"/>
      <c r="GS9" s="136">
        <v>26267241</v>
      </c>
      <c r="GT9" s="136">
        <v>0</v>
      </c>
      <c r="GU9" s="136">
        <v>40976902</v>
      </c>
      <c r="GV9" s="35" t="s">
        <v>73</v>
      </c>
      <c r="GW9" s="137">
        <v>4092475134</v>
      </c>
      <c r="GX9" s="35" t="s">
        <v>74</v>
      </c>
      <c r="GY9" s="136">
        <v>0</v>
      </c>
      <c r="GZ9" s="136" t="s">
        <v>439</v>
      </c>
      <c r="HA9" s="136" t="s">
        <v>439</v>
      </c>
      <c r="HB9" s="136" t="s">
        <v>439</v>
      </c>
      <c r="HC9" s="136" t="s">
        <v>439</v>
      </c>
      <c r="HD9" s="136" t="s">
        <v>439</v>
      </c>
      <c r="HE9" s="136" t="s">
        <v>439</v>
      </c>
      <c r="HF9" s="136" t="s">
        <v>439</v>
      </c>
      <c r="HG9" s="136" t="s">
        <v>439</v>
      </c>
      <c r="HH9" s="136" t="s">
        <v>439</v>
      </c>
      <c r="HI9" s="35" t="s">
        <v>439</v>
      </c>
      <c r="HJ9" s="35" t="s">
        <v>439</v>
      </c>
      <c r="HK9" s="35" t="s">
        <v>439</v>
      </c>
      <c r="HL9"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9"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9"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9"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9"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9"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9"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10" spans="1:226">
      <c r="A10" s="35" t="s">
        <v>64</v>
      </c>
      <c r="B10" s="37" t="s">
        <v>62</v>
      </c>
      <c r="C10" s="37">
        <v>500</v>
      </c>
      <c r="D10" s="37" t="s">
        <v>835</v>
      </c>
      <c r="E10" s="103">
        <v>23582</v>
      </c>
      <c r="F10" s="136">
        <v>0</v>
      </c>
      <c r="G10" s="136">
        <v>0</v>
      </c>
      <c r="H10" s="136">
        <v>0</v>
      </c>
      <c r="I10" s="136">
        <v>0</v>
      </c>
      <c r="J10" s="136">
        <v>0</v>
      </c>
      <c r="K10" s="136">
        <v>0</v>
      </c>
      <c r="L10" s="136">
        <v>0</v>
      </c>
      <c r="M10" s="136">
        <v>0</v>
      </c>
      <c r="N10" s="136">
        <v>0</v>
      </c>
      <c r="O10" s="136">
        <v>0</v>
      </c>
      <c r="P10" s="136">
        <v>0</v>
      </c>
      <c r="Q10" s="136">
        <v>0</v>
      </c>
      <c r="R10" s="136">
        <v>0</v>
      </c>
      <c r="S10" s="136">
        <v>0</v>
      </c>
      <c r="T10" s="136">
        <v>0</v>
      </c>
      <c r="U10" s="136">
        <v>0</v>
      </c>
      <c r="V10" s="136">
        <v>0</v>
      </c>
      <c r="W10" s="136">
        <v>0</v>
      </c>
      <c r="X10" s="136">
        <v>0</v>
      </c>
      <c r="Y10" s="136">
        <v>0</v>
      </c>
      <c r="Z10" s="136">
        <v>0</v>
      </c>
      <c r="AA10" s="136">
        <v>0</v>
      </c>
      <c r="AB10" s="136">
        <v>0</v>
      </c>
      <c r="AC10" s="136">
        <v>0</v>
      </c>
      <c r="AD10" s="136">
        <v>0</v>
      </c>
      <c r="AE10" s="136">
        <v>0</v>
      </c>
      <c r="AF10" s="136">
        <v>0</v>
      </c>
      <c r="AG10" s="136">
        <v>0</v>
      </c>
      <c r="AH10" s="136">
        <v>0</v>
      </c>
      <c r="AI10" s="136">
        <v>0</v>
      </c>
      <c r="AJ10" s="136">
        <v>0</v>
      </c>
      <c r="AK10" s="136">
        <v>0</v>
      </c>
      <c r="AL10" s="136">
        <v>0</v>
      </c>
      <c r="AM10" s="136">
        <v>0</v>
      </c>
      <c r="AN10" s="136">
        <v>0</v>
      </c>
      <c r="AO10" s="136">
        <v>0</v>
      </c>
      <c r="AP10" s="136">
        <v>0</v>
      </c>
      <c r="AQ10" s="136">
        <v>0</v>
      </c>
      <c r="AR10" s="136">
        <v>0</v>
      </c>
      <c r="AS10" s="136">
        <v>0</v>
      </c>
      <c r="AT10" s="136">
        <v>0</v>
      </c>
      <c r="AU10" s="136">
        <v>0</v>
      </c>
      <c r="AV10" s="136">
        <v>0</v>
      </c>
      <c r="AW10" s="136">
        <v>0</v>
      </c>
      <c r="AX10" s="136">
        <v>0</v>
      </c>
      <c r="AY10" s="136">
        <v>0</v>
      </c>
      <c r="AZ10" s="136">
        <v>0</v>
      </c>
      <c r="BA10" s="136">
        <v>0</v>
      </c>
      <c r="BB10" s="136">
        <v>0</v>
      </c>
      <c r="BC10" s="136">
        <v>0</v>
      </c>
      <c r="BD10" s="136">
        <v>0</v>
      </c>
      <c r="BE10" s="136">
        <v>0</v>
      </c>
      <c r="BF10" s="136">
        <v>0</v>
      </c>
      <c r="BG10" s="136">
        <v>0</v>
      </c>
      <c r="BH10" s="136">
        <v>0</v>
      </c>
      <c r="BI10" s="136">
        <v>0</v>
      </c>
      <c r="BJ10" s="136">
        <v>0</v>
      </c>
      <c r="BK10" s="136">
        <v>0</v>
      </c>
      <c r="BL10" s="136">
        <v>0</v>
      </c>
      <c r="BM10" s="136">
        <v>0</v>
      </c>
      <c r="BN10" s="136">
        <v>0</v>
      </c>
      <c r="BO10" s="136">
        <v>0</v>
      </c>
      <c r="BP10" s="136">
        <v>0</v>
      </c>
      <c r="BQ10" s="136">
        <v>0</v>
      </c>
      <c r="BR10" s="136">
        <v>0</v>
      </c>
      <c r="BS10" s="136">
        <v>0</v>
      </c>
      <c r="BT10" s="136">
        <v>0</v>
      </c>
      <c r="BU10" s="136">
        <v>0</v>
      </c>
      <c r="BV10" s="136">
        <v>0</v>
      </c>
      <c r="BW10" s="136">
        <v>0</v>
      </c>
      <c r="BX10" s="136">
        <v>0</v>
      </c>
      <c r="BY10" s="136">
        <v>0</v>
      </c>
      <c r="BZ10" s="136">
        <v>0</v>
      </c>
      <c r="CA10" s="136">
        <v>0</v>
      </c>
      <c r="CB10" s="136">
        <v>0</v>
      </c>
      <c r="CC10" s="136">
        <v>0</v>
      </c>
      <c r="CD10" s="136">
        <v>0</v>
      </c>
      <c r="CE10" s="136">
        <v>0</v>
      </c>
      <c r="CF10" s="136">
        <v>0</v>
      </c>
      <c r="CG10" s="136">
        <v>0</v>
      </c>
      <c r="CH10" s="136">
        <v>0</v>
      </c>
      <c r="CI10" s="136">
        <v>0</v>
      </c>
      <c r="CJ10" s="136">
        <v>0</v>
      </c>
      <c r="CK10" s="136">
        <v>0</v>
      </c>
      <c r="CL10" s="136">
        <v>0</v>
      </c>
      <c r="CM10" s="136">
        <v>0</v>
      </c>
      <c r="CN10" s="136">
        <v>0</v>
      </c>
      <c r="CO10" s="136">
        <v>0</v>
      </c>
      <c r="CP10" s="136">
        <v>0</v>
      </c>
      <c r="CQ10" s="136">
        <v>0</v>
      </c>
      <c r="CR10" s="136">
        <v>0</v>
      </c>
      <c r="CS10" s="136">
        <v>0</v>
      </c>
      <c r="CT10" s="136">
        <v>0</v>
      </c>
      <c r="CU10" s="136">
        <v>0</v>
      </c>
      <c r="CV10" s="136">
        <v>0</v>
      </c>
      <c r="CW10" s="136">
        <v>0</v>
      </c>
      <c r="CX10" s="136">
        <v>0</v>
      </c>
      <c r="CY10" s="136">
        <v>0</v>
      </c>
      <c r="CZ10" s="136">
        <v>0</v>
      </c>
      <c r="DA10" s="136"/>
      <c r="DB10" s="136"/>
      <c r="DC10" s="136"/>
      <c r="DD10" s="136"/>
      <c r="DE10" s="136"/>
      <c r="DF10" s="136"/>
      <c r="DG10" s="136">
        <v>0</v>
      </c>
      <c r="DH10" s="136">
        <v>0</v>
      </c>
      <c r="DI10" s="136">
        <v>0</v>
      </c>
      <c r="DJ10" s="136">
        <v>0</v>
      </c>
      <c r="DK10" s="136">
        <v>0</v>
      </c>
      <c r="DL10" s="136">
        <v>0</v>
      </c>
      <c r="DM10" s="136">
        <v>0</v>
      </c>
      <c r="DN10" s="136">
        <v>0</v>
      </c>
      <c r="DO10" s="136">
        <v>0</v>
      </c>
      <c r="DP10" s="136">
        <v>0</v>
      </c>
      <c r="DQ10" s="136">
        <v>0</v>
      </c>
      <c r="DR10" s="136">
        <v>0</v>
      </c>
      <c r="DS10" s="136"/>
      <c r="DT10" s="136"/>
      <c r="DU10" s="136"/>
      <c r="DV10" s="136"/>
      <c r="DW10" s="136"/>
      <c r="DX10" s="136"/>
      <c r="DY10" s="136">
        <v>0</v>
      </c>
      <c r="DZ10" s="136">
        <v>0</v>
      </c>
      <c r="EA10" s="136">
        <v>0</v>
      </c>
      <c r="EB10" s="136">
        <v>0</v>
      </c>
      <c r="EC10" s="136">
        <v>0</v>
      </c>
      <c r="ED10" s="136">
        <v>0</v>
      </c>
      <c r="EE10" s="136">
        <v>0</v>
      </c>
      <c r="EF10" s="136">
        <v>0</v>
      </c>
      <c r="EG10" s="136">
        <v>0</v>
      </c>
      <c r="EH10" s="136">
        <v>0</v>
      </c>
      <c r="EI10" s="136">
        <v>0</v>
      </c>
      <c r="EJ10" s="136">
        <v>0</v>
      </c>
      <c r="EK10" s="136"/>
      <c r="EL10" s="136"/>
      <c r="EM10" s="136"/>
      <c r="EN10" s="136"/>
      <c r="EO10" s="136"/>
      <c r="EP10" s="136"/>
      <c r="EQ10" s="136">
        <v>0</v>
      </c>
      <c r="ER10" s="136">
        <v>0</v>
      </c>
      <c r="ES10" s="136">
        <v>0</v>
      </c>
      <c r="ET10" s="136">
        <v>0</v>
      </c>
      <c r="EU10" s="136">
        <v>0</v>
      </c>
      <c r="EV10" s="136">
        <v>0</v>
      </c>
      <c r="EW10" s="136"/>
      <c r="EX10" s="136"/>
      <c r="EY10" s="136"/>
      <c r="EZ10" s="136"/>
      <c r="FA10" s="136"/>
      <c r="FB10" s="136"/>
      <c r="FC10" s="136">
        <v>0</v>
      </c>
      <c r="FD10" s="136">
        <v>0</v>
      </c>
      <c r="FE10" s="136">
        <v>0</v>
      </c>
      <c r="FF10" s="136">
        <v>0</v>
      </c>
      <c r="FG10" s="136">
        <v>0</v>
      </c>
      <c r="FH10" s="136">
        <v>0</v>
      </c>
      <c r="FI10" s="136"/>
      <c r="FJ10" s="136"/>
      <c r="FK10" s="136"/>
      <c r="FL10" s="136"/>
      <c r="FM10" s="136"/>
      <c r="FN10" s="136"/>
      <c r="FO10" s="136">
        <v>0</v>
      </c>
      <c r="FP10" s="136">
        <v>0</v>
      </c>
      <c r="FQ10" s="136">
        <v>0</v>
      </c>
      <c r="FR10" s="136">
        <v>0</v>
      </c>
      <c r="FS10" s="136">
        <v>0</v>
      </c>
      <c r="FT10" s="136">
        <v>0</v>
      </c>
      <c r="FU10" s="136">
        <v>0</v>
      </c>
      <c r="FV10" s="136">
        <v>0</v>
      </c>
      <c r="FW10" s="136">
        <v>0</v>
      </c>
      <c r="FX10" s="136">
        <v>0</v>
      </c>
      <c r="FY10" s="136">
        <v>0</v>
      </c>
      <c r="FZ10" s="136">
        <v>0</v>
      </c>
      <c r="GA10" s="136">
        <v>0</v>
      </c>
      <c r="GB10" s="136">
        <v>0</v>
      </c>
      <c r="GC10" s="136">
        <v>0</v>
      </c>
      <c r="GD10" s="136">
        <v>0</v>
      </c>
      <c r="GE10" s="136">
        <v>0</v>
      </c>
      <c r="GF10" s="136">
        <v>0</v>
      </c>
      <c r="GG10" s="136">
        <v>0</v>
      </c>
      <c r="GH10" s="136">
        <v>0</v>
      </c>
      <c r="GI10" s="136">
        <v>0</v>
      </c>
      <c r="GJ10" s="136">
        <v>0</v>
      </c>
      <c r="GK10" s="136">
        <v>0</v>
      </c>
      <c r="GL10" s="136">
        <v>0</v>
      </c>
      <c r="GM10" s="136">
        <v>0</v>
      </c>
      <c r="GN10" s="136">
        <v>0</v>
      </c>
      <c r="GO10" s="136">
        <v>0</v>
      </c>
      <c r="GP10" s="136">
        <v>0</v>
      </c>
      <c r="GQ10" s="136">
        <v>0</v>
      </c>
      <c r="GR10" s="136">
        <v>0</v>
      </c>
      <c r="GS10" s="136">
        <v>22672900</v>
      </c>
      <c r="GT10" s="136">
        <v>0</v>
      </c>
      <c r="GU10" s="136">
        <v>28208811</v>
      </c>
      <c r="GV10" s="35" t="s">
        <v>75</v>
      </c>
      <c r="GW10" s="137">
        <v>4098823356</v>
      </c>
      <c r="GX10" s="35" t="s">
        <v>76</v>
      </c>
      <c r="GY10" s="136">
        <v>0</v>
      </c>
      <c r="GZ10" s="136" t="s">
        <v>439</v>
      </c>
      <c r="HA10" s="136" t="s">
        <v>439</v>
      </c>
      <c r="HB10" s="136" t="s">
        <v>439</v>
      </c>
      <c r="HC10" s="136" t="s">
        <v>439</v>
      </c>
      <c r="HD10" s="136" t="s">
        <v>439</v>
      </c>
      <c r="HE10" s="136" t="s">
        <v>439</v>
      </c>
      <c r="HF10" s="136" t="s">
        <v>439</v>
      </c>
      <c r="HG10" s="136" t="s">
        <v>439</v>
      </c>
      <c r="HH10" s="136" t="s">
        <v>439</v>
      </c>
      <c r="HI10" s="35" t="s">
        <v>439</v>
      </c>
      <c r="HJ10" s="35" t="s">
        <v>439</v>
      </c>
      <c r="HK10" s="35" t="s">
        <v>439</v>
      </c>
      <c r="HL10"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10"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10"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10"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10"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10"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10"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11" spans="1:226">
      <c r="A11" s="35" t="s">
        <v>65</v>
      </c>
      <c r="B11" s="37" t="s">
        <v>62</v>
      </c>
      <c r="C11" s="37">
        <v>510</v>
      </c>
      <c r="D11" s="37" t="s">
        <v>835</v>
      </c>
      <c r="E11" s="103">
        <v>23485</v>
      </c>
      <c r="F11" s="136">
        <v>0</v>
      </c>
      <c r="G11" s="136">
        <v>0</v>
      </c>
      <c r="H11" s="136">
        <v>0</v>
      </c>
      <c r="I11" s="136">
        <v>0</v>
      </c>
      <c r="J11" s="136">
        <v>0</v>
      </c>
      <c r="K11" s="136">
        <v>0</v>
      </c>
      <c r="L11" s="136">
        <v>0</v>
      </c>
      <c r="M11" s="136">
        <v>0</v>
      </c>
      <c r="N11" s="136">
        <v>0</v>
      </c>
      <c r="O11" s="136">
        <v>0</v>
      </c>
      <c r="P11" s="136">
        <v>0</v>
      </c>
      <c r="Q11" s="136">
        <v>0</v>
      </c>
      <c r="R11" s="136">
        <v>0</v>
      </c>
      <c r="S11" s="136">
        <v>0</v>
      </c>
      <c r="T11" s="136">
        <v>0</v>
      </c>
      <c r="U11" s="136">
        <v>0</v>
      </c>
      <c r="V11" s="136">
        <v>0</v>
      </c>
      <c r="W11" s="136">
        <v>0</v>
      </c>
      <c r="X11" s="136">
        <v>0</v>
      </c>
      <c r="Y11" s="136">
        <v>0</v>
      </c>
      <c r="Z11" s="136">
        <v>0</v>
      </c>
      <c r="AA11" s="136">
        <v>0</v>
      </c>
      <c r="AB11" s="136">
        <v>0</v>
      </c>
      <c r="AC11" s="136">
        <v>0</v>
      </c>
      <c r="AD11" s="136">
        <v>0</v>
      </c>
      <c r="AE11" s="136">
        <v>0</v>
      </c>
      <c r="AF11" s="136">
        <v>0</v>
      </c>
      <c r="AG11" s="136">
        <v>0</v>
      </c>
      <c r="AH11" s="136">
        <v>0</v>
      </c>
      <c r="AI11" s="136">
        <v>0</v>
      </c>
      <c r="AJ11" s="136">
        <v>0</v>
      </c>
      <c r="AK11" s="136">
        <v>0</v>
      </c>
      <c r="AL11" s="136">
        <v>0</v>
      </c>
      <c r="AM11" s="136">
        <v>0</v>
      </c>
      <c r="AN11" s="136">
        <v>0</v>
      </c>
      <c r="AO11" s="136">
        <v>0</v>
      </c>
      <c r="AP11" s="136">
        <v>0</v>
      </c>
      <c r="AQ11" s="136">
        <v>0</v>
      </c>
      <c r="AR11" s="136">
        <v>0</v>
      </c>
      <c r="AS11" s="136">
        <v>0</v>
      </c>
      <c r="AT11" s="136">
        <v>0</v>
      </c>
      <c r="AU11" s="136">
        <v>0</v>
      </c>
      <c r="AV11" s="136">
        <v>0</v>
      </c>
      <c r="AW11" s="136">
        <v>0</v>
      </c>
      <c r="AX11" s="136">
        <v>0</v>
      </c>
      <c r="AY11" s="136">
        <v>0</v>
      </c>
      <c r="AZ11" s="136">
        <v>0</v>
      </c>
      <c r="BA11" s="136">
        <v>0</v>
      </c>
      <c r="BB11" s="136">
        <v>0</v>
      </c>
      <c r="BC11" s="136">
        <v>0</v>
      </c>
      <c r="BD11" s="136">
        <v>0</v>
      </c>
      <c r="BE11" s="136">
        <v>0</v>
      </c>
      <c r="BF11" s="136">
        <v>0</v>
      </c>
      <c r="BG11" s="136">
        <v>0</v>
      </c>
      <c r="BH11" s="136">
        <v>0</v>
      </c>
      <c r="BI11" s="136">
        <v>0</v>
      </c>
      <c r="BJ11" s="136">
        <v>0</v>
      </c>
      <c r="BK11" s="136">
        <v>0</v>
      </c>
      <c r="BL11" s="136">
        <v>0</v>
      </c>
      <c r="BM11" s="136">
        <v>0</v>
      </c>
      <c r="BN11" s="136">
        <v>0</v>
      </c>
      <c r="BO11" s="136">
        <v>0</v>
      </c>
      <c r="BP11" s="136">
        <v>0</v>
      </c>
      <c r="BQ11" s="136">
        <v>0</v>
      </c>
      <c r="BR11" s="136">
        <v>0</v>
      </c>
      <c r="BS11" s="136">
        <v>0</v>
      </c>
      <c r="BT11" s="136">
        <v>0</v>
      </c>
      <c r="BU11" s="136">
        <v>0</v>
      </c>
      <c r="BV11" s="136">
        <v>0</v>
      </c>
      <c r="BW11" s="136">
        <v>0</v>
      </c>
      <c r="BX11" s="136">
        <v>0</v>
      </c>
      <c r="BY11" s="136">
        <v>0</v>
      </c>
      <c r="BZ11" s="136">
        <v>0</v>
      </c>
      <c r="CA11" s="136">
        <v>0</v>
      </c>
      <c r="CB11" s="136">
        <v>0</v>
      </c>
      <c r="CC11" s="136">
        <v>0</v>
      </c>
      <c r="CD11" s="136">
        <v>0</v>
      </c>
      <c r="CE11" s="136">
        <v>0</v>
      </c>
      <c r="CF11" s="136">
        <v>0</v>
      </c>
      <c r="CG11" s="136">
        <v>0</v>
      </c>
      <c r="CH11" s="136">
        <v>0</v>
      </c>
      <c r="CI11" s="136">
        <v>0</v>
      </c>
      <c r="CJ11" s="136">
        <v>0</v>
      </c>
      <c r="CK11" s="136">
        <v>0</v>
      </c>
      <c r="CL11" s="136">
        <v>0</v>
      </c>
      <c r="CM11" s="136">
        <v>0</v>
      </c>
      <c r="CN11" s="136">
        <v>0</v>
      </c>
      <c r="CO11" s="136">
        <v>0</v>
      </c>
      <c r="CP11" s="136">
        <v>0</v>
      </c>
      <c r="CQ11" s="136">
        <v>0</v>
      </c>
      <c r="CR11" s="136">
        <v>0</v>
      </c>
      <c r="CS11" s="136">
        <v>0</v>
      </c>
      <c r="CT11" s="136">
        <v>0</v>
      </c>
      <c r="CU11" s="136">
        <v>0</v>
      </c>
      <c r="CV11" s="136">
        <v>0</v>
      </c>
      <c r="CW11" s="136">
        <v>0</v>
      </c>
      <c r="CX11" s="136">
        <v>0</v>
      </c>
      <c r="CY11" s="136">
        <v>0</v>
      </c>
      <c r="CZ11" s="136">
        <v>0</v>
      </c>
      <c r="DA11" s="136"/>
      <c r="DB11" s="136"/>
      <c r="DC11" s="136"/>
      <c r="DD11" s="136"/>
      <c r="DE11" s="136"/>
      <c r="DF11" s="136"/>
      <c r="DG11" s="136">
        <v>0</v>
      </c>
      <c r="DH11" s="136">
        <v>0</v>
      </c>
      <c r="DI11" s="136">
        <v>0</v>
      </c>
      <c r="DJ11" s="136">
        <v>0</v>
      </c>
      <c r="DK11" s="136">
        <v>0</v>
      </c>
      <c r="DL11" s="136">
        <v>0</v>
      </c>
      <c r="DM11" s="136">
        <v>0</v>
      </c>
      <c r="DN11" s="136">
        <v>0</v>
      </c>
      <c r="DO11" s="136">
        <v>0</v>
      </c>
      <c r="DP11" s="136">
        <v>0</v>
      </c>
      <c r="DQ11" s="136">
        <v>0</v>
      </c>
      <c r="DR11" s="136">
        <v>0</v>
      </c>
      <c r="DS11" s="136"/>
      <c r="DT11" s="136"/>
      <c r="DU11" s="136"/>
      <c r="DV11" s="136"/>
      <c r="DW11" s="136"/>
      <c r="DX11" s="136"/>
      <c r="DY11" s="136">
        <v>0</v>
      </c>
      <c r="DZ11" s="136">
        <v>0</v>
      </c>
      <c r="EA11" s="136">
        <v>0</v>
      </c>
      <c r="EB11" s="136">
        <v>0</v>
      </c>
      <c r="EC11" s="136">
        <v>0</v>
      </c>
      <c r="ED11" s="136">
        <v>0</v>
      </c>
      <c r="EE11" s="136">
        <v>0</v>
      </c>
      <c r="EF11" s="136">
        <v>0</v>
      </c>
      <c r="EG11" s="136">
        <v>0</v>
      </c>
      <c r="EH11" s="136">
        <v>0</v>
      </c>
      <c r="EI11" s="136">
        <v>0</v>
      </c>
      <c r="EJ11" s="136">
        <v>0</v>
      </c>
      <c r="EK11" s="136"/>
      <c r="EL11" s="136"/>
      <c r="EM11" s="136"/>
      <c r="EN11" s="136"/>
      <c r="EO11" s="136"/>
      <c r="EP11" s="136"/>
      <c r="EQ11" s="136">
        <v>0</v>
      </c>
      <c r="ER11" s="136">
        <v>0</v>
      </c>
      <c r="ES11" s="136">
        <v>0</v>
      </c>
      <c r="ET11" s="136">
        <v>0</v>
      </c>
      <c r="EU11" s="136">
        <v>0</v>
      </c>
      <c r="EV11" s="136">
        <v>0</v>
      </c>
      <c r="EW11" s="136"/>
      <c r="EX11" s="136"/>
      <c r="EY11" s="136"/>
      <c r="EZ11" s="136"/>
      <c r="FA11" s="136"/>
      <c r="FB11" s="136"/>
      <c r="FC11" s="136">
        <v>0</v>
      </c>
      <c r="FD11" s="136">
        <v>0</v>
      </c>
      <c r="FE11" s="136">
        <v>0</v>
      </c>
      <c r="FF11" s="136">
        <v>0</v>
      </c>
      <c r="FG11" s="136">
        <v>0</v>
      </c>
      <c r="FH11" s="136">
        <v>0</v>
      </c>
      <c r="FI11" s="136"/>
      <c r="FJ11" s="136"/>
      <c r="FK11" s="136"/>
      <c r="FL11" s="136"/>
      <c r="FM11" s="136"/>
      <c r="FN11" s="136"/>
      <c r="FO11" s="136">
        <v>0</v>
      </c>
      <c r="FP11" s="136">
        <v>0</v>
      </c>
      <c r="FQ11" s="136">
        <v>0</v>
      </c>
      <c r="FR11" s="136">
        <v>0</v>
      </c>
      <c r="FS11" s="136">
        <v>0</v>
      </c>
      <c r="FT11" s="136">
        <v>0</v>
      </c>
      <c r="FU11" s="136">
        <v>0</v>
      </c>
      <c r="FV11" s="136">
        <v>0</v>
      </c>
      <c r="FW11" s="136">
        <v>0</v>
      </c>
      <c r="FX11" s="136">
        <v>0</v>
      </c>
      <c r="FY11" s="136">
        <v>0</v>
      </c>
      <c r="FZ11" s="136">
        <v>0</v>
      </c>
      <c r="GA11" s="136">
        <v>0</v>
      </c>
      <c r="GB11" s="136">
        <v>0</v>
      </c>
      <c r="GC11" s="136">
        <v>0</v>
      </c>
      <c r="GD11" s="136">
        <v>0</v>
      </c>
      <c r="GE11" s="136">
        <v>0</v>
      </c>
      <c r="GF11" s="136">
        <v>0</v>
      </c>
      <c r="GG11" s="136">
        <v>0</v>
      </c>
      <c r="GH11" s="136">
        <v>0</v>
      </c>
      <c r="GI11" s="136">
        <v>0</v>
      </c>
      <c r="GJ11" s="136">
        <v>0</v>
      </c>
      <c r="GK11" s="136">
        <v>0</v>
      </c>
      <c r="GL11" s="136">
        <v>0</v>
      </c>
      <c r="GM11" s="136">
        <v>0</v>
      </c>
      <c r="GN11" s="136">
        <v>0</v>
      </c>
      <c r="GO11" s="136">
        <v>0</v>
      </c>
      <c r="GP11" s="136">
        <v>0</v>
      </c>
      <c r="GQ11" s="136">
        <v>0</v>
      </c>
      <c r="GR11" s="136">
        <v>0</v>
      </c>
      <c r="GS11" s="136">
        <v>21990049</v>
      </c>
      <c r="GT11" s="136">
        <v>0</v>
      </c>
      <c r="GU11" s="136">
        <v>36664271</v>
      </c>
      <c r="GV11" s="35" t="s">
        <v>77</v>
      </c>
      <c r="GW11" s="137">
        <v>4099846135</v>
      </c>
      <c r="GX11" s="35" t="s">
        <v>78</v>
      </c>
      <c r="GY11" s="136">
        <v>0</v>
      </c>
      <c r="GZ11" s="136" t="s">
        <v>439</v>
      </c>
      <c r="HA11" s="136" t="s">
        <v>439</v>
      </c>
      <c r="HB11" s="136" t="s">
        <v>439</v>
      </c>
      <c r="HC11" s="136" t="s">
        <v>439</v>
      </c>
      <c r="HD11" s="136" t="s">
        <v>439</v>
      </c>
      <c r="HE11" s="136" t="s">
        <v>439</v>
      </c>
      <c r="HF11" s="136" t="s">
        <v>439</v>
      </c>
      <c r="HG11" s="136" t="s">
        <v>439</v>
      </c>
      <c r="HH11" s="136" t="s">
        <v>439</v>
      </c>
      <c r="HI11" s="35" t="s">
        <v>439</v>
      </c>
      <c r="HJ11" s="35" t="s">
        <v>439</v>
      </c>
      <c r="HK11" s="35" t="s">
        <v>439</v>
      </c>
      <c r="HL11"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11"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11"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11"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11"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11"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11"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12" spans="1:226">
      <c r="A12" s="35" t="s">
        <v>42</v>
      </c>
      <c r="B12" s="37" t="s">
        <v>19</v>
      </c>
      <c r="C12" s="37">
        <v>270</v>
      </c>
      <c r="D12" s="37" t="s">
        <v>835</v>
      </c>
      <c r="E12" s="103">
        <v>3581</v>
      </c>
      <c r="F12" s="136">
        <v>5600202</v>
      </c>
      <c r="G12" s="136">
        <v>0</v>
      </c>
      <c r="H12" s="136">
        <v>2176530</v>
      </c>
      <c r="I12" s="136">
        <v>576638</v>
      </c>
      <c r="J12" s="136">
        <v>379543</v>
      </c>
      <c r="K12" s="136">
        <v>0</v>
      </c>
      <c r="L12" s="136">
        <v>0</v>
      </c>
      <c r="M12" s="136">
        <v>0</v>
      </c>
      <c r="N12" s="136">
        <v>0</v>
      </c>
      <c r="O12" s="136">
        <v>0</v>
      </c>
      <c r="P12" s="136">
        <v>0</v>
      </c>
      <c r="Q12" s="136">
        <v>0</v>
      </c>
      <c r="R12" s="136">
        <v>0</v>
      </c>
      <c r="S12" s="136">
        <v>0</v>
      </c>
      <c r="T12" s="136">
        <v>0</v>
      </c>
      <c r="U12" s="136">
        <v>49937</v>
      </c>
      <c r="V12" s="136">
        <v>0</v>
      </c>
      <c r="W12" s="136">
        <v>2770</v>
      </c>
      <c r="X12" s="136">
        <v>0</v>
      </c>
      <c r="Y12" s="136">
        <v>0</v>
      </c>
      <c r="Z12" s="136">
        <v>13514</v>
      </c>
      <c r="AA12" s="136">
        <v>217164</v>
      </c>
      <c r="AB12" s="136">
        <v>0</v>
      </c>
      <c r="AC12" s="136">
        <v>0</v>
      </c>
      <c r="AD12" s="136">
        <v>0</v>
      </c>
      <c r="AE12" s="136">
        <v>1669</v>
      </c>
      <c r="AF12" s="136">
        <v>0</v>
      </c>
      <c r="AG12" s="136">
        <v>1287606</v>
      </c>
      <c r="AH12" s="136">
        <v>99826</v>
      </c>
      <c r="AI12" s="136">
        <v>64301</v>
      </c>
      <c r="AJ12" s="136">
        <v>13601</v>
      </c>
      <c r="AK12" s="136">
        <v>124372</v>
      </c>
      <c r="AL12" s="136">
        <v>24550</v>
      </c>
      <c r="AM12" s="136">
        <v>0</v>
      </c>
      <c r="AN12" s="136">
        <v>0</v>
      </c>
      <c r="AO12" s="136">
        <v>0</v>
      </c>
      <c r="AP12" s="136">
        <v>0</v>
      </c>
      <c r="AQ12" s="136">
        <v>0</v>
      </c>
      <c r="AR12" s="136">
        <v>0</v>
      </c>
      <c r="AS12" s="136">
        <v>0</v>
      </c>
      <c r="AT12" s="136">
        <v>0</v>
      </c>
      <c r="AU12" s="136">
        <v>0</v>
      </c>
      <c r="AV12" s="136">
        <v>0</v>
      </c>
      <c r="AW12" s="136">
        <v>0</v>
      </c>
      <c r="AX12" s="136">
        <v>0</v>
      </c>
      <c r="AY12" s="136">
        <v>120138</v>
      </c>
      <c r="AZ12" s="136">
        <v>0</v>
      </c>
      <c r="BA12" s="136">
        <v>20449</v>
      </c>
      <c r="BB12" s="136">
        <v>0</v>
      </c>
      <c r="BC12" s="136">
        <v>0</v>
      </c>
      <c r="BD12" s="136">
        <v>0</v>
      </c>
      <c r="BE12" s="136">
        <v>243799</v>
      </c>
      <c r="BF12" s="136">
        <v>21699</v>
      </c>
      <c r="BG12" s="136">
        <v>0</v>
      </c>
      <c r="BH12" s="136">
        <v>0</v>
      </c>
      <c r="BI12" s="136">
        <v>0</v>
      </c>
      <c r="BJ12" s="136">
        <v>78567</v>
      </c>
      <c r="BK12" s="136">
        <v>0</v>
      </c>
      <c r="BL12" s="136">
        <v>0</v>
      </c>
      <c r="BM12" s="136">
        <v>0</v>
      </c>
      <c r="BN12" s="136">
        <v>0</v>
      </c>
      <c r="BO12" s="136">
        <v>0</v>
      </c>
      <c r="BP12" s="136">
        <v>0</v>
      </c>
      <c r="BQ12" s="136">
        <v>10000</v>
      </c>
      <c r="BR12" s="136">
        <v>0</v>
      </c>
      <c r="BS12" s="136">
        <v>0</v>
      </c>
      <c r="BT12" s="136">
        <v>0</v>
      </c>
      <c r="BU12" s="136">
        <v>40197</v>
      </c>
      <c r="BV12" s="136">
        <v>0</v>
      </c>
      <c r="BW12" s="136">
        <v>37560</v>
      </c>
      <c r="BX12" s="136">
        <v>0</v>
      </c>
      <c r="BY12" s="136">
        <v>0</v>
      </c>
      <c r="BZ12" s="136">
        <v>0</v>
      </c>
      <c r="CA12" s="136">
        <v>0</v>
      </c>
      <c r="CB12" s="136">
        <v>0</v>
      </c>
      <c r="CC12" s="136">
        <v>0</v>
      </c>
      <c r="CD12" s="136">
        <v>0</v>
      </c>
      <c r="CE12" s="136">
        <v>4237</v>
      </c>
      <c r="CF12" s="136">
        <v>2900</v>
      </c>
      <c r="CG12" s="136">
        <v>3950</v>
      </c>
      <c r="CH12" s="136">
        <v>0</v>
      </c>
      <c r="CI12" s="136">
        <v>154159</v>
      </c>
      <c r="CJ12" s="136">
        <v>0</v>
      </c>
      <c r="CK12" s="136">
        <v>0</v>
      </c>
      <c r="CL12" s="136">
        <v>0</v>
      </c>
      <c r="CM12" s="136">
        <v>0</v>
      </c>
      <c r="CN12" s="136">
        <v>0</v>
      </c>
      <c r="CO12" s="136">
        <v>20818</v>
      </c>
      <c r="CP12" s="136">
        <v>0</v>
      </c>
      <c r="CQ12" s="136">
        <v>0</v>
      </c>
      <c r="CR12" s="136">
        <v>35870</v>
      </c>
      <c r="CS12" s="136">
        <v>2468</v>
      </c>
      <c r="CT12" s="136">
        <v>0</v>
      </c>
      <c r="CU12" s="136">
        <v>0</v>
      </c>
      <c r="CV12" s="136">
        <v>0</v>
      </c>
      <c r="CW12" s="136">
        <v>0</v>
      </c>
      <c r="CX12" s="136">
        <v>0</v>
      </c>
      <c r="CY12" s="136">
        <v>0</v>
      </c>
      <c r="CZ12" s="136">
        <v>0</v>
      </c>
      <c r="DA12" s="136"/>
      <c r="DB12" s="136"/>
      <c r="DC12" s="136"/>
      <c r="DD12" s="136"/>
      <c r="DE12" s="136"/>
      <c r="DF12" s="136"/>
      <c r="DG12" s="136">
        <v>18132</v>
      </c>
      <c r="DH12" s="136">
        <v>162923</v>
      </c>
      <c r="DI12" s="136">
        <v>0</v>
      </c>
      <c r="DJ12" s="136">
        <v>19191</v>
      </c>
      <c r="DK12" s="136">
        <v>20724</v>
      </c>
      <c r="DL12" s="136">
        <v>215620</v>
      </c>
      <c r="DM12" s="136">
        <v>0</v>
      </c>
      <c r="DN12" s="136">
        <v>0</v>
      </c>
      <c r="DO12" s="136">
        <v>0</v>
      </c>
      <c r="DP12" s="136">
        <v>0</v>
      </c>
      <c r="DQ12" s="136">
        <v>0</v>
      </c>
      <c r="DR12" s="136">
        <v>0</v>
      </c>
      <c r="DS12" s="136"/>
      <c r="DT12" s="136"/>
      <c r="DU12" s="136"/>
      <c r="DV12" s="136"/>
      <c r="DW12" s="136"/>
      <c r="DX12" s="136"/>
      <c r="DY12" s="136">
        <v>0</v>
      </c>
      <c r="DZ12" s="136">
        <v>0</v>
      </c>
      <c r="EA12" s="136">
        <v>0</v>
      </c>
      <c r="EB12" s="136">
        <v>0</v>
      </c>
      <c r="EC12" s="136">
        <v>0</v>
      </c>
      <c r="ED12" s="136">
        <v>0</v>
      </c>
      <c r="EE12" s="136">
        <v>0</v>
      </c>
      <c r="EF12" s="136">
        <v>0</v>
      </c>
      <c r="EG12" s="136">
        <v>0</v>
      </c>
      <c r="EH12" s="136">
        <v>0</v>
      </c>
      <c r="EI12" s="136">
        <v>0</v>
      </c>
      <c r="EJ12" s="136">
        <v>0</v>
      </c>
      <c r="EK12" s="136"/>
      <c r="EL12" s="136"/>
      <c r="EM12" s="136"/>
      <c r="EN12" s="136"/>
      <c r="EO12" s="136"/>
      <c r="EP12" s="136"/>
      <c r="EQ12" s="136">
        <v>0</v>
      </c>
      <c r="ER12" s="136">
        <v>0</v>
      </c>
      <c r="ES12" s="136">
        <v>0</v>
      </c>
      <c r="ET12" s="136">
        <v>0</v>
      </c>
      <c r="EU12" s="136">
        <v>0</v>
      </c>
      <c r="EV12" s="136">
        <v>0</v>
      </c>
      <c r="EW12" s="136"/>
      <c r="EX12" s="136"/>
      <c r="EY12" s="136"/>
      <c r="EZ12" s="136"/>
      <c r="FA12" s="136"/>
      <c r="FB12" s="136"/>
      <c r="FC12" s="136">
        <v>0</v>
      </c>
      <c r="FD12" s="136">
        <v>0</v>
      </c>
      <c r="FE12" s="136">
        <v>0</v>
      </c>
      <c r="FF12" s="136">
        <v>0</v>
      </c>
      <c r="FG12" s="136">
        <v>0</v>
      </c>
      <c r="FH12" s="136">
        <v>0</v>
      </c>
      <c r="FI12" s="136"/>
      <c r="FJ12" s="136"/>
      <c r="FK12" s="136"/>
      <c r="FL12" s="136"/>
      <c r="FM12" s="136"/>
      <c r="FN12" s="136"/>
      <c r="FO12" s="136">
        <v>0</v>
      </c>
      <c r="FP12" s="136">
        <v>0</v>
      </c>
      <c r="FQ12" s="136">
        <v>0</v>
      </c>
      <c r="FR12" s="136">
        <v>0</v>
      </c>
      <c r="FS12" s="136">
        <v>0</v>
      </c>
      <c r="FT12" s="136">
        <v>0</v>
      </c>
      <c r="FU12" s="136">
        <v>0</v>
      </c>
      <c r="FV12" s="136">
        <v>0</v>
      </c>
      <c r="FW12" s="136">
        <v>0</v>
      </c>
      <c r="FX12" s="136">
        <v>0</v>
      </c>
      <c r="FY12" s="136">
        <v>0</v>
      </c>
      <c r="FZ12" s="136">
        <v>0</v>
      </c>
      <c r="GA12" s="136">
        <v>0</v>
      </c>
      <c r="GB12" s="136">
        <v>0</v>
      </c>
      <c r="GC12" s="136">
        <v>0</v>
      </c>
      <c r="GD12" s="136">
        <v>0</v>
      </c>
      <c r="GE12" s="136">
        <v>0</v>
      </c>
      <c r="GF12" s="136">
        <v>0</v>
      </c>
      <c r="GG12" s="136">
        <v>0</v>
      </c>
      <c r="GH12" s="136">
        <v>0</v>
      </c>
      <c r="GI12" s="136">
        <v>0</v>
      </c>
      <c r="GJ12" s="136">
        <v>0</v>
      </c>
      <c r="GK12" s="136">
        <v>0</v>
      </c>
      <c r="GL12" s="136">
        <v>0</v>
      </c>
      <c r="GM12" s="136">
        <v>0</v>
      </c>
      <c r="GN12" s="136">
        <v>0</v>
      </c>
      <c r="GO12" s="136">
        <v>0</v>
      </c>
      <c r="GP12" s="136">
        <v>0</v>
      </c>
      <c r="GQ12" s="136">
        <v>0</v>
      </c>
      <c r="GR12" s="136">
        <v>0</v>
      </c>
      <c r="GS12" s="136">
        <v>94503874</v>
      </c>
      <c r="GT12" s="136">
        <v>7843806</v>
      </c>
      <c r="GU12" s="136">
        <v>195243619</v>
      </c>
      <c r="GV12" s="35" t="s">
        <v>350</v>
      </c>
      <c r="GW12" s="137">
        <v>4098808910</v>
      </c>
      <c r="GX12" s="35" t="s">
        <v>351</v>
      </c>
      <c r="GY12" s="136">
        <v>7776732</v>
      </c>
      <c r="GZ12" s="136">
        <v>-5102913</v>
      </c>
      <c r="HA12" s="136">
        <v>0</v>
      </c>
      <c r="HB12" s="136">
        <v>-576638</v>
      </c>
      <c r="HC12" s="136">
        <v>0</v>
      </c>
      <c r="HD12" s="136">
        <v>0</v>
      </c>
      <c r="HE12" s="136">
        <v>0</v>
      </c>
      <c r="HF12" s="136">
        <v>10000</v>
      </c>
      <c r="HG12" s="136">
        <v>33950</v>
      </c>
      <c r="HH12" s="136">
        <v>69729</v>
      </c>
      <c r="HI12" s="35" t="s">
        <v>379</v>
      </c>
      <c r="HJ12" s="35" t="s">
        <v>380</v>
      </c>
      <c r="HK12" s="35" t="s">
        <v>381</v>
      </c>
      <c r="HL12"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2159313</v>
      </c>
      <c r="HM12"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284448</v>
      </c>
      <c r="HN12"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91757</v>
      </c>
      <c r="HO12"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70503</v>
      </c>
      <c r="HP12"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193380</v>
      </c>
      <c r="HQ12"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332251</v>
      </c>
      <c r="HR12"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2210860</v>
      </c>
    </row>
    <row r="13" spans="1:226">
      <c r="A13" s="35" t="s">
        <v>309</v>
      </c>
      <c r="B13" s="37" t="s">
        <v>703</v>
      </c>
      <c r="D13" s="37" t="s">
        <v>835</v>
      </c>
      <c r="E13" s="103">
        <v>3584</v>
      </c>
      <c r="F13" s="136">
        <v>0</v>
      </c>
      <c r="G13" s="136">
        <v>0</v>
      </c>
      <c r="H13" s="136">
        <v>152190</v>
      </c>
      <c r="I13" s="136">
        <v>23021</v>
      </c>
      <c r="J13" s="136">
        <v>0</v>
      </c>
      <c r="K13" s="136">
        <v>0</v>
      </c>
      <c r="L13" s="136">
        <v>0</v>
      </c>
      <c r="M13" s="136">
        <v>0</v>
      </c>
      <c r="N13" s="136">
        <v>0</v>
      </c>
      <c r="O13" s="136">
        <v>0</v>
      </c>
      <c r="P13" s="136">
        <v>0</v>
      </c>
      <c r="Q13" s="136">
        <v>0</v>
      </c>
      <c r="R13" s="136">
        <v>0</v>
      </c>
      <c r="S13" s="136">
        <v>0</v>
      </c>
      <c r="T13" s="136">
        <v>0</v>
      </c>
      <c r="U13" s="136">
        <v>0</v>
      </c>
      <c r="V13" s="136">
        <v>0</v>
      </c>
      <c r="W13" s="136">
        <v>0</v>
      </c>
      <c r="X13" s="136">
        <v>0</v>
      </c>
      <c r="Y13" s="136">
        <v>0</v>
      </c>
      <c r="Z13" s="136">
        <v>0</v>
      </c>
      <c r="AA13" s="136">
        <v>0</v>
      </c>
      <c r="AB13" s="136">
        <v>0</v>
      </c>
      <c r="AC13" s="136">
        <v>0</v>
      </c>
      <c r="AD13" s="136">
        <v>0</v>
      </c>
      <c r="AE13" s="136">
        <v>0</v>
      </c>
      <c r="AF13" s="136">
        <v>0</v>
      </c>
      <c r="AG13" s="136">
        <v>88222</v>
      </c>
      <c r="AH13" s="136">
        <v>0</v>
      </c>
      <c r="AI13" s="136">
        <v>0</v>
      </c>
      <c r="AJ13" s="136">
        <v>67949</v>
      </c>
      <c r="AK13" s="136">
        <v>15388</v>
      </c>
      <c r="AL13" s="136">
        <v>0</v>
      </c>
      <c r="AM13" s="136">
        <v>0</v>
      </c>
      <c r="AN13" s="136">
        <v>0</v>
      </c>
      <c r="AO13" s="136">
        <v>0</v>
      </c>
      <c r="AP13" s="136">
        <v>0</v>
      </c>
      <c r="AQ13" s="136">
        <v>0</v>
      </c>
      <c r="AR13" s="136">
        <v>0</v>
      </c>
      <c r="AS13" s="136">
        <v>0</v>
      </c>
      <c r="AT13" s="136">
        <v>0</v>
      </c>
      <c r="AU13" s="136">
        <v>0</v>
      </c>
      <c r="AV13" s="136">
        <v>0</v>
      </c>
      <c r="AW13" s="136">
        <v>0</v>
      </c>
      <c r="AX13" s="136">
        <v>0</v>
      </c>
      <c r="AY13" s="136">
        <v>0</v>
      </c>
      <c r="AZ13" s="136">
        <v>0</v>
      </c>
      <c r="BA13" s="136">
        <v>0</v>
      </c>
      <c r="BB13" s="136">
        <v>0</v>
      </c>
      <c r="BC13" s="136">
        <v>0</v>
      </c>
      <c r="BD13" s="136">
        <v>0</v>
      </c>
      <c r="BE13" s="136">
        <v>0</v>
      </c>
      <c r="BF13" s="136">
        <v>0</v>
      </c>
      <c r="BG13" s="136">
        <v>0</v>
      </c>
      <c r="BH13" s="136">
        <v>0</v>
      </c>
      <c r="BI13" s="136">
        <v>0</v>
      </c>
      <c r="BJ13" s="136">
        <v>3377</v>
      </c>
      <c r="BK13" s="136">
        <v>0</v>
      </c>
      <c r="BL13" s="136">
        <v>0</v>
      </c>
      <c r="BM13" s="136">
        <v>0</v>
      </c>
      <c r="BN13" s="136">
        <v>0</v>
      </c>
      <c r="BO13" s="136">
        <v>0</v>
      </c>
      <c r="BP13" s="136">
        <v>0</v>
      </c>
      <c r="BQ13" s="136">
        <v>0</v>
      </c>
      <c r="BR13" s="136">
        <v>0</v>
      </c>
      <c r="BS13" s="136">
        <v>0</v>
      </c>
      <c r="BT13" s="136">
        <v>0</v>
      </c>
      <c r="BU13" s="136">
        <v>0</v>
      </c>
      <c r="BV13" s="136">
        <v>0</v>
      </c>
      <c r="BW13" s="136">
        <v>0</v>
      </c>
      <c r="BX13" s="136">
        <v>0</v>
      </c>
      <c r="BY13" s="136">
        <v>0</v>
      </c>
      <c r="BZ13" s="136">
        <v>0</v>
      </c>
      <c r="CA13" s="136">
        <v>0</v>
      </c>
      <c r="CB13" s="136">
        <v>0</v>
      </c>
      <c r="CC13" s="136">
        <v>0</v>
      </c>
      <c r="CD13" s="136">
        <v>0</v>
      </c>
      <c r="CE13" s="136">
        <v>0</v>
      </c>
      <c r="CF13" s="136">
        <v>275</v>
      </c>
      <c r="CG13" s="136">
        <v>0</v>
      </c>
      <c r="CH13" s="136">
        <v>0</v>
      </c>
      <c r="CI13" s="136">
        <v>0</v>
      </c>
      <c r="CJ13" s="136">
        <v>0</v>
      </c>
      <c r="CK13" s="136">
        <v>0</v>
      </c>
      <c r="CL13" s="136">
        <v>0</v>
      </c>
      <c r="CM13" s="136">
        <v>0</v>
      </c>
      <c r="CN13" s="136">
        <v>0</v>
      </c>
      <c r="CO13" s="136">
        <v>0</v>
      </c>
      <c r="CP13" s="136">
        <v>0</v>
      </c>
      <c r="CQ13" s="136">
        <v>0</v>
      </c>
      <c r="CR13" s="136">
        <v>0</v>
      </c>
      <c r="CS13" s="136">
        <v>0</v>
      </c>
      <c r="CT13" s="136">
        <v>0</v>
      </c>
      <c r="CU13" s="136">
        <v>0</v>
      </c>
      <c r="CV13" s="136">
        <v>0</v>
      </c>
      <c r="CW13" s="136">
        <v>0</v>
      </c>
      <c r="CX13" s="136">
        <v>0</v>
      </c>
      <c r="CY13" s="136">
        <v>0</v>
      </c>
      <c r="CZ13" s="136">
        <v>0</v>
      </c>
      <c r="DA13" s="136"/>
      <c r="DB13" s="136"/>
      <c r="DC13" s="136"/>
      <c r="DD13" s="136"/>
      <c r="DE13" s="136"/>
      <c r="DF13" s="136"/>
      <c r="DG13" s="136">
        <v>0</v>
      </c>
      <c r="DH13" s="136">
        <v>0</v>
      </c>
      <c r="DI13" s="136">
        <v>0</v>
      </c>
      <c r="DJ13" s="136">
        <v>0</v>
      </c>
      <c r="DK13" s="136">
        <v>0</v>
      </c>
      <c r="DL13" s="136">
        <v>0</v>
      </c>
      <c r="DM13" s="136">
        <v>0</v>
      </c>
      <c r="DN13" s="136">
        <v>0</v>
      </c>
      <c r="DO13" s="136">
        <v>0</v>
      </c>
      <c r="DP13" s="136">
        <v>0</v>
      </c>
      <c r="DQ13" s="136">
        <v>0</v>
      </c>
      <c r="DR13" s="136">
        <v>0</v>
      </c>
      <c r="DS13" s="136"/>
      <c r="DT13" s="136"/>
      <c r="DU13" s="136"/>
      <c r="DV13" s="136"/>
      <c r="DW13" s="136"/>
      <c r="DX13" s="136"/>
      <c r="DY13" s="136">
        <v>0</v>
      </c>
      <c r="DZ13" s="136">
        <v>0</v>
      </c>
      <c r="EA13" s="136">
        <v>0</v>
      </c>
      <c r="EB13" s="136">
        <v>0</v>
      </c>
      <c r="EC13" s="136">
        <v>0</v>
      </c>
      <c r="ED13" s="136">
        <v>0</v>
      </c>
      <c r="EE13" s="136">
        <v>0</v>
      </c>
      <c r="EF13" s="136">
        <v>0</v>
      </c>
      <c r="EG13" s="136">
        <v>0</v>
      </c>
      <c r="EH13" s="136">
        <v>0</v>
      </c>
      <c r="EI13" s="136">
        <v>0</v>
      </c>
      <c r="EJ13" s="136">
        <v>0</v>
      </c>
      <c r="EK13" s="136"/>
      <c r="EL13" s="136"/>
      <c r="EM13" s="136"/>
      <c r="EN13" s="136"/>
      <c r="EO13" s="136"/>
      <c r="EP13" s="136"/>
      <c r="EQ13" s="136">
        <v>0</v>
      </c>
      <c r="ER13" s="136">
        <v>0</v>
      </c>
      <c r="ES13" s="136">
        <v>0</v>
      </c>
      <c r="ET13" s="136">
        <v>0</v>
      </c>
      <c r="EU13" s="136">
        <v>0</v>
      </c>
      <c r="EV13" s="136">
        <v>0</v>
      </c>
      <c r="EW13" s="136"/>
      <c r="EX13" s="136"/>
      <c r="EY13" s="136"/>
      <c r="EZ13" s="136"/>
      <c r="FA13" s="136"/>
      <c r="FB13" s="136"/>
      <c r="FC13" s="136">
        <v>0</v>
      </c>
      <c r="FD13" s="136">
        <v>0</v>
      </c>
      <c r="FE13" s="136">
        <v>0</v>
      </c>
      <c r="FF13" s="136">
        <v>0</v>
      </c>
      <c r="FG13" s="136">
        <v>0</v>
      </c>
      <c r="FH13" s="136">
        <v>0</v>
      </c>
      <c r="FI13" s="136"/>
      <c r="FJ13" s="136"/>
      <c r="FK13" s="136"/>
      <c r="FL13" s="136"/>
      <c r="FM13" s="136"/>
      <c r="FN13" s="136"/>
      <c r="FO13" s="136">
        <v>0</v>
      </c>
      <c r="FP13" s="136">
        <v>0</v>
      </c>
      <c r="FQ13" s="136">
        <v>0</v>
      </c>
      <c r="FR13" s="136">
        <v>0</v>
      </c>
      <c r="FS13" s="136">
        <v>0</v>
      </c>
      <c r="FT13" s="136">
        <v>0</v>
      </c>
      <c r="FU13" s="136">
        <v>0</v>
      </c>
      <c r="FV13" s="136">
        <v>0</v>
      </c>
      <c r="FW13" s="136">
        <v>0</v>
      </c>
      <c r="FX13" s="136">
        <v>0</v>
      </c>
      <c r="FY13" s="136">
        <v>0</v>
      </c>
      <c r="FZ13" s="136">
        <v>0</v>
      </c>
      <c r="GA13" s="136">
        <v>0</v>
      </c>
      <c r="GB13" s="136">
        <v>0</v>
      </c>
      <c r="GC13" s="136">
        <v>0</v>
      </c>
      <c r="GD13" s="136">
        <v>0</v>
      </c>
      <c r="GE13" s="136">
        <v>0</v>
      </c>
      <c r="GF13" s="136">
        <v>0</v>
      </c>
      <c r="GG13" s="136">
        <v>0</v>
      </c>
      <c r="GH13" s="136">
        <v>0</v>
      </c>
      <c r="GI13" s="136">
        <v>0</v>
      </c>
      <c r="GJ13" s="136">
        <v>0</v>
      </c>
      <c r="GK13" s="136">
        <v>0</v>
      </c>
      <c r="GL13" s="136">
        <v>0</v>
      </c>
      <c r="GM13" s="136">
        <v>0</v>
      </c>
      <c r="GN13" s="136">
        <v>0</v>
      </c>
      <c r="GO13" s="136">
        <v>0</v>
      </c>
      <c r="GP13" s="136">
        <v>0</v>
      </c>
      <c r="GQ13" s="136">
        <v>0</v>
      </c>
      <c r="GR13" s="136">
        <v>0</v>
      </c>
      <c r="GS13" s="136">
        <v>0</v>
      </c>
      <c r="GT13" s="136">
        <v>0</v>
      </c>
      <c r="GU13" s="136">
        <v>0</v>
      </c>
      <c r="GW13" s="137"/>
      <c r="GY13" s="136">
        <v>152190</v>
      </c>
      <c r="GZ13" s="136" t="s">
        <v>439</v>
      </c>
      <c r="HA13" s="136" t="s">
        <v>439</v>
      </c>
      <c r="HB13" s="136" t="s">
        <v>439</v>
      </c>
      <c r="HC13" s="136" t="s">
        <v>439</v>
      </c>
      <c r="HD13" s="136" t="s">
        <v>439</v>
      </c>
      <c r="HE13" s="136" t="s">
        <v>439</v>
      </c>
      <c r="HF13" s="136" t="s">
        <v>439</v>
      </c>
      <c r="HG13" s="136" t="s">
        <v>439</v>
      </c>
      <c r="HH13" s="136" t="s">
        <v>439</v>
      </c>
      <c r="HI13" s="35" t="s">
        <v>439</v>
      </c>
      <c r="HJ13" s="35" t="s">
        <v>439</v>
      </c>
      <c r="HK13" s="35" t="s">
        <v>439</v>
      </c>
      <c r="HL13"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88222</v>
      </c>
      <c r="HM13"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13"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13"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68224</v>
      </c>
      <c r="HP13"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15388</v>
      </c>
      <c r="HQ13"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3377</v>
      </c>
      <c r="HR13"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152190</v>
      </c>
    </row>
    <row r="14" spans="1:226">
      <c r="A14" s="35" t="s">
        <v>310</v>
      </c>
      <c r="B14" s="37" t="s">
        <v>703</v>
      </c>
      <c r="D14" s="37" t="s">
        <v>835</v>
      </c>
      <c r="E14" s="103">
        <v>3591</v>
      </c>
      <c r="F14" s="136">
        <v>0</v>
      </c>
      <c r="G14" s="136">
        <v>200136</v>
      </c>
      <c r="H14" s="136">
        <v>89419</v>
      </c>
      <c r="I14" s="136">
        <v>0</v>
      </c>
      <c r="J14" s="136">
        <v>0</v>
      </c>
      <c r="K14" s="136">
        <v>0</v>
      </c>
      <c r="L14" s="136">
        <v>0</v>
      </c>
      <c r="M14" s="136">
        <v>0</v>
      </c>
      <c r="N14" s="136">
        <v>0</v>
      </c>
      <c r="O14" s="136">
        <v>0</v>
      </c>
      <c r="P14" s="136">
        <v>0</v>
      </c>
      <c r="Q14" s="136">
        <v>0</v>
      </c>
      <c r="R14" s="136">
        <v>0</v>
      </c>
      <c r="S14" s="136">
        <v>0</v>
      </c>
      <c r="T14" s="136">
        <v>0</v>
      </c>
      <c r="U14" s="136">
        <v>37470</v>
      </c>
      <c r="V14" s="136">
        <v>0</v>
      </c>
      <c r="W14" s="136">
        <v>0</v>
      </c>
      <c r="X14" s="136">
        <v>0</v>
      </c>
      <c r="Y14" s="136">
        <v>0</v>
      </c>
      <c r="Z14" s="136">
        <v>1200</v>
      </c>
      <c r="AA14" s="136">
        <v>0</v>
      </c>
      <c r="AB14" s="136">
        <v>0</v>
      </c>
      <c r="AC14" s="136">
        <v>0</v>
      </c>
      <c r="AD14" s="136">
        <v>0</v>
      </c>
      <c r="AE14" s="136">
        <v>0</v>
      </c>
      <c r="AF14" s="136">
        <v>0</v>
      </c>
      <c r="AG14" s="136">
        <v>0</v>
      </c>
      <c r="AH14" s="136">
        <v>0</v>
      </c>
      <c r="AI14" s="136">
        <v>0</v>
      </c>
      <c r="AJ14" s="136">
        <v>0</v>
      </c>
      <c r="AK14" s="136">
        <v>0</v>
      </c>
      <c r="AL14" s="136">
        <v>0</v>
      </c>
      <c r="AM14" s="136">
        <v>0</v>
      </c>
      <c r="AN14" s="136">
        <v>0</v>
      </c>
      <c r="AO14" s="136">
        <v>0</v>
      </c>
      <c r="AP14" s="136">
        <v>0</v>
      </c>
      <c r="AQ14" s="136">
        <v>0</v>
      </c>
      <c r="AR14" s="136">
        <v>0</v>
      </c>
      <c r="AS14" s="136">
        <v>0</v>
      </c>
      <c r="AT14" s="136">
        <v>0</v>
      </c>
      <c r="AU14" s="136">
        <v>0</v>
      </c>
      <c r="AV14" s="136">
        <v>0</v>
      </c>
      <c r="AW14" s="136">
        <v>0</v>
      </c>
      <c r="AX14" s="136">
        <v>0</v>
      </c>
      <c r="AY14" s="136">
        <v>0</v>
      </c>
      <c r="AZ14" s="136">
        <v>0</v>
      </c>
      <c r="BA14" s="136">
        <v>0</v>
      </c>
      <c r="BB14" s="136">
        <v>0</v>
      </c>
      <c r="BC14" s="136">
        <v>0</v>
      </c>
      <c r="BD14" s="136">
        <v>0</v>
      </c>
      <c r="BE14" s="136">
        <v>0</v>
      </c>
      <c r="BF14" s="136">
        <v>0</v>
      </c>
      <c r="BG14" s="136">
        <v>0</v>
      </c>
      <c r="BH14" s="136">
        <v>0</v>
      </c>
      <c r="BI14" s="136">
        <v>0</v>
      </c>
      <c r="BJ14" s="136">
        <v>50749</v>
      </c>
      <c r="BK14" s="136">
        <v>0</v>
      </c>
      <c r="BL14" s="136">
        <v>0</v>
      </c>
      <c r="BM14" s="136">
        <v>0</v>
      </c>
      <c r="BN14" s="136">
        <v>0</v>
      </c>
      <c r="BO14" s="136">
        <v>0</v>
      </c>
      <c r="BP14" s="136">
        <v>0</v>
      </c>
      <c r="BQ14" s="136">
        <v>0</v>
      </c>
      <c r="BR14" s="136">
        <v>0</v>
      </c>
      <c r="BS14" s="136">
        <v>0</v>
      </c>
      <c r="BT14" s="136">
        <v>0</v>
      </c>
      <c r="BU14" s="136">
        <v>0</v>
      </c>
      <c r="BV14" s="136">
        <v>0</v>
      </c>
      <c r="BW14" s="136">
        <v>0</v>
      </c>
      <c r="BX14" s="136">
        <v>0</v>
      </c>
      <c r="BY14" s="136">
        <v>0</v>
      </c>
      <c r="BZ14" s="136">
        <v>0</v>
      </c>
      <c r="CA14" s="136">
        <v>0</v>
      </c>
      <c r="CB14" s="136">
        <v>0</v>
      </c>
      <c r="CC14" s="136">
        <v>0</v>
      </c>
      <c r="CD14" s="136">
        <v>0</v>
      </c>
      <c r="CE14" s="136">
        <v>0</v>
      </c>
      <c r="CF14" s="136">
        <v>0</v>
      </c>
      <c r="CG14" s="136">
        <v>0</v>
      </c>
      <c r="CH14" s="136">
        <v>0</v>
      </c>
      <c r="CI14" s="136">
        <v>0</v>
      </c>
      <c r="CJ14" s="136">
        <v>0</v>
      </c>
      <c r="CK14" s="136">
        <v>0</v>
      </c>
      <c r="CL14" s="136">
        <v>0</v>
      </c>
      <c r="CM14" s="136">
        <v>0</v>
      </c>
      <c r="CN14" s="136">
        <v>0</v>
      </c>
      <c r="CO14" s="136">
        <v>0</v>
      </c>
      <c r="CP14" s="136">
        <v>0</v>
      </c>
      <c r="CQ14" s="136">
        <v>0</v>
      </c>
      <c r="CR14" s="136">
        <v>0</v>
      </c>
      <c r="CS14" s="136">
        <v>0</v>
      </c>
      <c r="CT14" s="136">
        <v>0</v>
      </c>
      <c r="CU14" s="136">
        <v>0</v>
      </c>
      <c r="CV14" s="136">
        <v>0</v>
      </c>
      <c r="CW14" s="136">
        <v>0</v>
      </c>
      <c r="CX14" s="136">
        <v>0</v>
      </c>
      <c r="CY14" s="136">
        <v>0</v>
      </c>
      <c r="CZ14" s="136">
        <v>0</v>
      </c>
      <c r="DA14" s="136"/>
      <c r="DB14" s="136"/>
      <c r="DC14" s="136"/>
      <c r="DD14" s="136"/>
      <c r="DE14" s="136"/>
      <c r="DF14" s="136"/>
      <c r="DG14" s="136">
        <v>0</v>
      </c>
      <c r="DH14" s="136">
        <v>0</v>
      </c>
      <c r="DI14" s="136">
        <v>0</v>
      </c>
      <c r="DJ14" s="136">
        <v>0</v>
      </c>
      <c r="DK14" s="136">
        <v>0</v>
      </c>
      <c r="DL14" s="136">
        <v>0</v>
      </c>
      <c r="DM14" s="136">
        <v>0</v>
      </c>
      <c r="DN14" s="136">
        <v>0</v>
      </c>
      <c r="DO14" s="136">
        <v>0</v>
      </c>
      <c r="DP14" s="136">
        <v>0</v>
      </c>
      <c r="DQ14" s="136">
        <v>0</v>
      </c>
      <c r="DR14" s="136">
        <v>0</v>
      </c>
      <c r="DS14" s="136"/>
      <c r="DT14" s="136"/>
      <c r="DU14" s="136"/>
      <c r="DV14" s="136"/>
      <c r="DW14" s="136"/>
      <c r="DX14" s="136"/>
      <c r="DY14" s="136">
        <v>0</v>
      </c>
      <c r="DZ14" s="136">
        <v>0</v>
      </c>
      <c r="EA14" s="136">
        <v>0</v>
      </c>
      <c r="EB14" s="136">
        <v>0</v>
      </c>
      <c r="EC14" s="136">
        <v>0</v>
      </c>
      <c r="ED14" s="136">
        <v>0</v>
      </c>
      <c r="EE14" s="136">
        <v>0</v>
      </c>
      <c r="EF14" s="136">
        <v>0</v>
      </c>
      <c r="EG14" s="136">
        <v>0</v>
      </c>
      <c r="EH14" s="136">
        <v>0</v>
      </c>
      <c r="EI14" s="136">
        <v>0</v>
      </c>
      <c r="EJ14" s="136">
        <v>0</v>
      </c>
      <c r="EK14" s="136"/>
      <c r="EL14" s="136"/>
      <c r="EM14" s="136"/>
      <c r="EN14" s="136"/>
      <c r="EO14" s="136"/>
      <c r="EP14" s="136"/>
      <c r="EQ14" s="136">
        <v>0</v>
      </c>
      <c r="ER14" s="136">
        <v>0</v>
      </c>
      <c r="ES14" s="136">
        <v>0</v>
      </c>
      <c r="ET14" s="136">
        <v>0</v>
      </c>
      <c r="EU14" s="136">
        <v>0</v>
      </c>
      <c r="EV14" s="136">
        <v>0</v>
      </c>
      <c r="EW14" s="136"/>
      <c r="EX14" s="136"/>
      <c r="EY14" s="136"/>
      <c r="EZ14" s="136"/>
      <c r="FA14" s="136"/>
      <c r="FB14" s="136"/>
      <c r="FC14" s="136">
        <v>0</v>
      </c>
      <c r="FD14" s="136">
        <v>0</v>
      </c>
      <c r="FE14" s="136">
        <v>0</v>
      </c>
      <c r="FF14" s="136">
        <v>0</v>
      </c>
      <c r="FG14" s="136">
        <v>0</v>
      </c>
      <c r="FH14" s="136">
        <v>0</v>
      </c>
      <c r="FI14" s="136"/>
      <c r="FJ14" s="136"/>
      <c r="FK14" s="136"/>
      <c r="FL14" s="136"/>
      <c r="FM14" s="136"/>
      <c r="FN14" s="136"/>
      <c r="FO14" s="136">
        <v>0</v>
      </c>
      <c r="FP14" s="136">
        <v>0</v>
      </c>
      <c r="FQ14" s="136">
        <v>0</v>
      </c>
      <c r="FR14" s="136">
        <v>0</v>
      </c>
      <c r="FS14" s="136">
        <v>0</v>
      </c>
      <c r="FT14" s="136">
        <v>0</v>
      </c>
      <c r="FU14" s="136">
        <v>0</v>
      </c>
      <c r="FV14" s="136">
        <v>0</v>
      </c>
      <c r="FW14" s="136">
        <v>0</v>
      </c>
      <c r="FX14" s="136">
        <v>0</v>
      </c>
      <c r="FY14" s="136">
        <v>0</v>
      </c>
      <c r="FZ14" s="136">
        <v>0</v>
      </c>
      <c r="GA14" s="136">
        <v>0</v>
      </c>
      <c r="GB14" s="136">
        <v>0</v>
      </c>
      <c r="GC14" s="136">
        <v>0</v>
      </c>
      <c r="GD14" s="136">
        <v>0</v>
      </c>
      <c r="GE14" s="136">
        <v>0</v>
      </c>
      <c r="GF14" s="136">
        <v>0</v>
      </c>
      <c r="GG14" s="136">
        <v>0</v>
      </c>
      <c r="GH14" s="136">
        <v>0</v>
      </c>
      <c r="GI14" s="136">
        <v>0</v>
      </c>
      <c r="GJ14" s="136">
        <v>0</v>
      </c>
      <c r="GK14" s="136">
        <v>0</v>
      </c>
      <c r="GL14" s="136">
        <v>0</v>
      </c>
      <c r="GM14" s="136">
        <v>0</v>
      </c>
      <c r="GN14" s="136">
        <v>0</v>
      </c>
      <c r="GO14" s="136">
        <v>0</v>
      </c>
      <c r="GP14" s="136">
        <v>0</v>
      </c>
      <c r="GQ14" s="136">
        <v>0</v>
      </c>
      <c r="GR14" s="136">
        <v>0</v>
      </c>
      <c r="GS14" s="136">
        <v>0</v>
      </c>
      <c r="GT14" s="136">
        <v>0</v>
      </c>
      <c r="GU14" s="136">
        <v>0</v>
      </c>
      <c r="GW14" s="137"/>
      <c r="GY14" s="136">
        <v>89419</v>
      </c>
      <c r="GZ14" s="136" t="s">
        <v>439</v>
      </c>
      <c r="HA14" s="136" t="s">
        <v>439</v>
      </c>
      <c r="HB14" s="136" t="s">
        <v>439</v>
      </c>
      <c r="HC14" s="136" t="s">
        <v>439</v>
      </c>
      <c r="HD14" s="136" t="s">
        <v>439</v>
      </c>
      <c r="HE14" s="136" t="s">
        <v>439</v>
      </c>
      <c r="HF14" s="136" t="s">
        <v>439</v>
      </c>
      <c r="HG14" s="136" t="s">
        <v>439</v>
      </c>
      <c r="HH14" s="136" t="s">
        <v>439</v>
      </c>
      <c r="HI14" s="35" t="s">
        <v>439</v>
      </c>
      <c r="HJ14" s="35" t="s">
        <v>439</v>
      </c>
      <c r="HK14" s="35" t="s">
        <v>439</v>
      </c>
      <c r="HL14"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37470</v>
      </c>
      <c r="HM14"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14"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14"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14"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14"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51949</v>
      </c>
      <c r="HR14"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89419</v>
      </c>
    </row>
    <row r="15" spans="1:226">
      <c r="A15" s="35" t="s">
        <v>50</v>
      </c>
      <c r="B15" s="37" t="s">
        <v>19</v>
      </c>
      <c r="C15" s="37">
        <v>340</v>
      </c>
      <c r="D15" s="37" t="s">
        <v>835</v>
      </c>
      <c r="E15" s="103">
        <v>3592</v>
      </c>
      <c r="F15" s="136">
        <v>284083</v>
      </c>
      <c r="G15" s="136">
        <v>0</v>
      </c>
      <c r="H15" s="136">
        <v>545837</v>
      </c>
      <c r="I15" s="136">
        <v>54392</v>
      </c>
      <c r="J15" s="136">
        <v>40198</v>
      </c>
      <c r="K15" s="136">
        <v>0</v>
      </c>
      <c r="L15" s="136">
        <v>0</v>
      </c>
      <c r="M15" s="136">
        <v>0</v>
      </c>
      <c r="N15" s="136">
        <v>0</v>
      </c>
      <c r="O15" s="136">
        <v>0</v>
      </c>
      <c r="P15" s="136">
        <v>0</v>
      </c>
      <c r="Q15" s="136">
        <v>0</v>
      </c>
      <c r="R15" s="136">
        <v>0</v>
      </c>
      <c r="S15" s="136">
        <v>0</v>
      </c>
      <c r="T15" s="136">
        <v>0</v>
      </c>
      <c r="U15" s="136">
        <v>0</v>
      </c>
      <c r="V15" s="136">
        <v>22323</v>
      </c>
      <c r="W15" s="136">
        <v>0</v>
      </c>
      <c r="X15" s="136">
        <v>0</v>
      </c>
      <c r="Y15" s="136">
        <v>0</v>
      </c>
      <c r="Z15" s="136">
        <v>0</v>
      </c>
      <c r="AA15" s="136">
        <v>0</v>
      </c>
      <c r="AB15" s="136">
        <v>968</v>
      </c>
      <c r="AC15" s="136">
        <v>0</v>
      </c>
      <c r="AD15" s="136">
        <v>0</v>
      </c>
      <c r="AE15" s="136">
        <v>0</v>
      </c>
      <c r="AF15" s="136">
        <v>0</v>
      </c>
      <c r="AG15" s="136">
        <v>0</v>
      </c>
      <c r="AH15" s="136">
        <v>1948</v>
      </c>
      <c r="AI15" s="136">
        <v>0</v>
      </c>
      <c r="AJ15" s="136">
        <v>0</v>
      </c>
      <c r="AK15" s="136">
        <v>57574</v>
      </c>
      <c r="AL15" s="136">
        <v>3200</v>
      </c>
      <c r="AM15" s="136">
        <v>44766</v>
      </c>
      <c r="AN15" s="136">
        <v>11542</v>
      </c>
      <c r="AO15" s="136">
        <v>0</v>
      </c>
      <c r="AP15" s="136">
        <v>0</v>
      </c>
      <c r="AQ15" s="136">
        <v>0</v>
      </c>
      <c r="AR15" s="136">
        <v>0</v>
      </c>
      <c r="AS15" s="136">
        <v>0</v>
      </c>
      <c r="AT15" s="136">
        <v>0</v>
      </c>
      <c r="AU15" s="136">
        <v>0</v>
      </c>
      <c r="AV15" s="136">
        <v>0</v>
      </c>
      <c r="AW15" s="136">
        <v>0</v>
      </c>
      <c r="AX15" s="136">
        <v>360</v>
      </c>
      <c r="AY15" s="136">
        <v>305198</v>
      </c>
      <c r="AZ15" s="136">
        <v>11712</v>
      </c>
      <c r="BA15" s="136">
        <v>0</v>
      </c>
      <c r="BB15" s="136">
        <v>0</v>
      </c>
      <c r="BC15" s="136">
        <v>0</v>
      </c>
      <c r="BD15" s="136">
        <v>0</v>
      </c>
      <c r="BE15" s="136">
        <v>0</v>
      </c>
      <c r="BF15" s="136">
        <v>1805</v>
      </c>
      <c r="BG15" s="136">
        <v>0</v>
      </c>
      <c r="BH15" s="136">
        <v>0</v>
      </c>
      <c r="BI15" s="136">
        <v>0</v>
      </c>
      <c r="BJ15" s="136">
        <v>10504</v>
      </c>
      <c r="BK15" s="136">
        <v>0</v>
      </c>
      <c r="BL15" s="136">
        <v>0</v>
      </c>
      <c r="BM15" s="136">
        <v>0</v>
      </c>
      <c r="BN15" s="136">
        <v>0</v>
      </c>
      <c r="BO15" s="136">
        <v>0</v>
      </c>
      <c r="BP15" s="136">
        <v>0</v>
      </c>
      <c r="BQ15" s="136">
        <v>123087</v>
      </c>
      <c r="BR15" s="136">
        <v>2388</v>
      </c>
      <c r="BS15" s="136">
        <v>0</v>
      </c>
      <c r="BT15" s="136">
        <v>0</v>
      </c>
      <c r="BU15" s="136">
        <v>0</v>
      </c>
      <c r="BV15" s="136">
        <v>0</v>
      </c>
      <c r="BW15" s="136">
        <v>0</v>
      </c>
      <c r="BX15" s="136">
        <v>0</v>
      </c>
      <c r="BY15" s="136">
        <v>0</v>
      </c>
      <c r="BZ15" s="136">
        <v>0</v>
      </c>
      <c r="CA15" s="136">
        <v>0</v>
      </c>
      <c r="CB15" s="136">
        <v>0</v>
      </c>
      <c r="CC15" s="136">
        <v>0</v>
      </c>
      <c r="CD15" s="136">
        <v>22475</v>
      </c>
      <c r="CE15" s="136">
        <v>0</v>
      </c>
      <c r="CF15" s="136">
        <v>0</v>
      </c>
      <c r="CG15" s="136">
        <v>0</v>
      </c>
      <c r="CH15" s="136">
        <v>0</v>
      </c>
      <c r="CI15" s="136">
        <v>0</v>
      </c>
      <c r="CJ15" s="136">
        <v>2076</v>
      </c>
      <c r="CK15" s="136">
        <v>0</v>
      </c>
      <c r="CL15" s="136">
        <v>0</v>
      </c>
      <c r="CM15" s="136">
        <v>0</v>
      </c>
      <c r="CN15" s="136">
        <v>226</v>
      </c>
      <c r="CO15" s="136">
        <v>18275</v>
      </c>
      <c r="CP15" s="136">
        <v>0</v>
      </c>
      <c r="CQ15" s="136">
        <v>0</v>
      </c>
      <c r="CR15" s="136">
        <v>0</v>
      </c>
      <c r="CS15" s="136">
        <v>0</v>
      </c>
      <c r="CT15" s="136">
        <v>0</v>
      </c>
      <c r="CU15" s="136">
        <v>0</v>
      </c>
      <c r="CV15" s="136">
        <v>0</v>
      </c>
      <c r="CW15" s="136">
        <v>0</v>
      </c>
      <c r="CX15" s="136">
        <v>0</v>
      </c>
      <c r="CY15" s="136">
        <v>0</v>
      </c>
      <c r="CZ15" s="136">
        <v>0</v>
      </c>
      <c r="DA15" s="136"/>
      <c r="DB15" s="136"/>
      <c r="DC15" s="136"/>
      <c r="DD15" s="136"/>
      <c r="DE15" s="136"/>
      <c r="DF15" s="136"/>
      <c r="DG15" s="136">
        <v>0</v>
      </c>
      <c r="DH15" s="136">
        <v>0</v>
      </c>
      <c r="DI15" s="136">
        <v>0</v>
      </c>
      <c r="DJ15" s="136">
        <v>0</v>
      </c>
      <c r="DK15" s="136">
        <v>0</v>
      </c>
      <c r="DL15" s="136">
        <v>0</v>
      </c>
      <c r="DM15" s="136">
        <v>0</v>
      </c>
      <c r="DN15" s="136">
        <v>0</v>
      </c>
      <c r="DO15" s="136">
        <v>0</v>
      </c>
      <c r="DP15" s="136">
        <v>0</v>
      </c>
      <c r="DQ15" s="136">
        <v>0</v>
      </c>
      <c r="DR15" s="136">
        <v>0</v>
      </c>
      <c r="DS15" s="136"/>
      <c r="DT15" s="136"/>
      <c r="DU15" s="136"/>
      <c r="DV15" s="136"/>
      <c r="DW15" s="136"/>
      <c r="DX15" s="136"/>
      <c r="DY15" s="136">
        <v>0</v>
      </c>
      <c r="DZ15" s="136">
        <v>0</v>
      </c>
      <c r="EA15" s="136">
        <v>0</v>
      </c>
      <c r="EB15" s="136">
        <v>0</v>
      </c>
      <c r="EC15" s="136">
        <v>0</v>
      </c>
      <c r="ED15" s="136">
        <v>0</v>
      </c>
      <c r="EE15" s="136">
        <v>0</v>
      </c>
      <c r="EF15" s="136">
        <v>0</v>
      </c>
      <c r="EG15" s="136">
        <v>0</v>
      </c>
      <c r="EH15" s="136">
        <v>0</v>
      </c>
      <c r="EI15" s="136">
        <v>0</v>
      </c>
      <c r="EJ15" s="136">
        <v>0</v>
      </c>
      <c r="EK15" s="136"/>
      <c r="EL15" s="136"/>
      <c r="EM15" s="136"/>
      <c r="EN15" s="136"/>
      <c r="EO15" s="136"/>
      <c r="EP15" s="136"/>
      <c r="EQ15" s="136">
        <v>0</v>
      </c>
      <c r="ER15" s="136">
        <v>0</v>
      </c>
      <c r="ES15" s="136">
        <v>0</v>
      </c>
      <c r="ET15" s="136">
        <v>0</v>
      </c>
      <c r="EU15" s="136">
        <v>0</v>
      </c>
      <c r="EV15" s="136">
        <v>0</v>
      </c>
      <c r="EW15" s="136"/>
      <c r="EX15" s="136"/>
      <c r="EY15" s="136"/>
      <c r="EZ15" s="136"/>
      <c r="FA15" s="136"/>
      <c r="FB15" s="136"/>
      <c r="FC15" s="136">
        <v>0</v>
      </c>
      <c r="FD15" s="136">
        <v>0</v>
      </c>
      <c r="FE15" s="136">
        <v>0</v>
      </c>
      <c r="FF15" s="136">
        <v>0</v>
      </c>
      <c r="FG15" s="136">
        <v>0</v>
      </c>
      <c r="FH15" s="136">
        <v>0</v>
      </c>
      <c r="FI15" s="136"/>
      <c r="FJ15" s="136"/>
      <c r="FK15" s="136"/>
      <c r="FL15" s="136"/>
      <c r="FM15" s="136"/>
      <c r="FN15" s="136"/>
      <c r="FO15" s="136">
        <v>0</v>
      </c>
      <c r="FP15" s="136">
        <v>0</v>
      </c>
      <c r="FQ15" s="136">
        <v>0</v>
      </c>
      <c r="FR15" s="136">
        <v>0</v>
      </c>
      <c r="FS15" s="136">
        <v>0</v>
      </c>
      <c r="FT15" s="136">
        <v>0</v>
      </c>
      <c r="FU15" s="136">
        <v>0</v>
      </c>
      <c r="FV15" s="136">
        <v>0</v>
      </c>
      <c r="FW15" s="136">
        <v>0</v>
      </c>
      <c r="FX15" s="136">
        <v>0</v>
      </c>
      <c r="FY15" s="136">
        <v>0</v>
      </c>
      <c r="FZ15" s="136">
        <v>0</v>
      </c>
      <c r="GA15" s="136">
        <v>0</v>
      </c>
      <c r="GB15" s="136">
        <v>0</v>
      </c>
      <c r="GC15" s="136">
        <v>0</v>
      </c>
      <c r="GD15" s="136">
        <v>0</v>
      </c>
      <c r="GE15" s="136">
        <v>0</v>
      </c>
      <c r="GF15" s="136">
        <v>0</v>
      </c>
      <c r="GG15" s="136">
        <v>0</v>
      </c>
      <c r="GH15" s="136">
        <v>0</v>
      </c>
      <c r="GI15" s="136">
        <v>0</v>
      </c>
      <c r="GJ15" s="136">
        <v>0</v>
      </c>
      <c r="GK15" s="136">
        <v>0</v>
      </c>
      <c r="GL15" s="136">
        <v>0</v>
      </c>
      <c r="GM15" s="136">
        <v>0</v>
      </c>
      <c r="GN15" s="136">
        <v>0</v>
      </c>
      <c r="GO15" s="136">
        <v>0</v>
      </c>
      <c r="GP15" s="136">
        <v>0</v>
      </c>
      <c r="GQ15" s="136">
        <v>0</v>
      </c>
      <c r="GR15" s="136">
        <v>0</v>
      </c>
      <c r="GS15" s="136">
        <v>29878602</v>
      </c>
      <c r="GT15" s="136">
        <v>870118</v>
      </c>
      <c r="GU15" s="136">
        <v>88854953</v>
      </c>
      <c r="GV15" s="35" t="s">
        <v>367</v>
      </c>
      <c r="GW15" s="137">
        <v>9403974273</v>
      </c>
      <c r="GX15" s="35" t="s">
        <v>368</v>
      </c>
      <c r="GY15" s="136">
        <v>829920</v>
      </c>
      <c r="GZ15" s="136">
        <v>-329083</v>
      </c>
      <c r="HA15" s="136">
        <v>7960</v>
      </c>
      <c r="HB15" s="136">
        <v>0</v>
      </c>
      <c r="HC15" s="136">
        <v>0</v>
      </c>
      <c r="HD15" s="136">
        <v>0</v>
      </c>
      <c r="HE15" s="136">
        <v>0</v>
      </c>
      <c r="HF15" s="136">
        <v>0</v>
      </c>
      <c r="HG15" s="136">
        <v>0</v>
      </c>
      <c r="HH15" s="136">
        <v>0</v>
      </c>
      <c r="HI15" s="35" t="s">
        <v>439</v>
      </c>
      <c r="HJ15" s="35" t="s">
        <v>439</v>
      </c>
      <c r="HK15" s="35" t="s">
        <v>439</v>
      </c>
      <c r="HL15"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491326</v>
      </c>
      <c r="HM15"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77237</v>
      </c>
      <c r="HN15"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15"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15"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57574</v>
      </c>
      <c r="HQ15"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14290</v>
      </c>
      <c r="HR15"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508797</v>
      </c>
    </row>
    <row r="16" spans="1:226">
      <c r="A16" s="35" t="s">
        <v>311</v>
      </c>
      <c r="B16" s="37" t="s">
        <v>703</v>
      </c>
      <c r="D16" s="37" t="s">
        <v>835</v>
      </c>
      <c r="E16" s="103">
        <v>23053</v>
      </c>
      <c r="F16" s="136">
        <v>0</v>
      </c>
      <c r="G16" s="136">
        <v>0</v>
      </c>
      <c r="H16" s="136">
        <v>587000</v>
      </c>
      <c r="I16" s="136">
        <v>0</v>
      </c>
      <c r="J16" s="136">
        <v>0</v>
      </c>
      <c r="K16" s="136">
        <v>0</v>
      </c>
      <c r="L16" s="136">
        <v>0</v>
      </c>
      <c r="M16" s="136">
        <v>0</v>
      </c>
      <c r="N16" s="136">
        <v>0</v>
      </c>
      <c r="O16" s="136">
        <v>0</v>
      </c>
      <c r="P16" s="136">
        <v>0</v>
      </c>
      <c r="Q16" s="136">
        <v>0</v>
      </c>
      <c r="R16" s="136">
        <v>0</v>
      </c>
      <c r="S16" s="136">
        <v>0</v>
      </c>
      <c r="T16" s="136">
        <v>0</v>
      </c>
      <c r="U16" s="136">
        <v>0</v>
      </c>
      <c r="V16" s="136">
        <v>0</v>
      </c>
      <c r="W16" s="136">
        <v>0</v>
      </c>
      <c r="X16" s="136">
        <v>0</v>
      </c>
      <c r="Y16" s="136">
        <v>0</v>
      </c>
      <c r="Z16" s="136">
        <v>0</v>
      </c>
      <c r="AA16" s="136">
        <v>0</v>
      </c>
      <c r="AB16" s="136">
        <v>0</v>
      </c>
      <c r="AC16" s="136">
        <v>0</v>
      </c>
      <c r="AD16" s="136">
        <v>0</v>
      </c>
      <c r="AE16" s="136">
        <v>0</v>
      </c>
      <c r="AF16" s="136">
        <v>0</v>
      </c>
      <c r="AG16" s="136">
        <v>0</v>
      </c>
      <c r="AH16" s="136">
        <v>0</v>
      </c>
      <c r="AI16" s="136">
        <v>0</v>
      </c>
      <c r="AJ16" s="136">
        <v>0</v>
      </c>
      <c r="AK16" s="136">
        <v>0</v>
      </c>
      <c r="AL16" s="136">
        <v>0</v>
      </c>
      <c r="AM16" s="136">
        <v>0</v>
      </c>
      <c r="AN16" s="136">
        <v>0</v>
      </c>
      <c r="AO16" s="136">
        <v>0</v>
      </c>
      <c r="AP16" s="136">
        <v>0</v>
      </c>
      <c r="AQ16" s="136">
        <v>0</v>
      </c>
      <c r="AR16" s="136">
        <v>0</v>
      </c>
      <c r="AS16" s="136">
        <v>0</v>
      </c>
      <c r="AT16" s="136">
        <v>0</v>
      </c>
      <c r="AU16" s="136">
        <v>0</v>
      </c>
      <c r="AV16" s="136">
        <v>0</v>
      </c>
      <c r="AW16" s="136">
        <v>0</v>
      </c>
      <c r="AX16" s="136">
        <v>0</v>
      </c>
      <c r="AY16" s="136">
        <v>0</v>
      </c>
      <c r="AZ16" s="136">
        <v>0</v>
      </c>
      <c r="BA16" s="136">
        <v>0</v>
      </c>
      <c r="BB16" s="136">
        <v>0</v>
      </c>
      <c r="BC16" s="136">
        <v>0</v>
      </c>
      <c r="BD16" s="136">
        <v>0</v>
      </c>
      <c r="BE16" s="136">
        <v>0</v>
      </c>
      <c r="BF16" s="136">
        <v>0</v>
      </c>
      <c r="BG16" s="136">
        <v>0</v>
      </c>
      <c r="BH16" s="136">
        <v>0</v>
      </c>
      <c r="BI16" s="136">
        <v>0</v>
      </c>
      <c r="BJ16" s="136">
        <v>0</v>
      </c>
      <c r="BK16" s="136">
        <v>0</v>
      </c>
      <c r="BL16" s="136">
        <v>0</v>
      </c>
      <c r="BM16" s="136">
        <v>0</v>
      </c>
      <c r="BN16" s="136">
        <v>0</v>
      </c>
      <c r="BO16" s="136">
        <v>0</v>
      </c>
      <c r="BP16" s="136">
        <v>0</v>
      </c>
      <c r="BQ16" s="136">
        <v>0</v>
      </c>
      <c r="BR16" s="136">
        <v>0</v>
      </c>
      <c r="BS16" s="136">
        <v>0</v>
      </c>
      <c r="BT16" s="136">
        <v>0</v>
      </c>
      <c r="BU16" s="136">
        <v>0</v>
      </c>
      <c r="BV16" s="136">
        <v>0</v>
      </c>
      <c r="BW16" s="136">
        <v>0</v>
      </c>
      <c r="BX16" s="136">
        <v>0</v>
      </c>
      <c r="BY16" s="136">
        <v>0</v>
      </c>
      <c r="BZ16" s="136">
        <v>587000</v>
      </c>
      <c r="CA16" s="136">
        <v>0</v>
      </c>
      <c r="CB16" s="136">
        <v>0</v>
      </c>
      <c r="CC16" s="136">
        <v>0</v>
      </c>
      <c r="CD16" s="136">
        <v>0</v>
      </c>
      <c r="CE16" s="136">
        <v>0</v>
      </c>
      <c r="CF16" s="136">
        <v>0</v>
      </c>
      <c r="CG16" s="136">
        <v>0</v>
      </c>
      <c r="CH16" s="136">
        <v>0</v>
      </c>
      <c r="CI16" s="136">
        <v>0</v>
      </c>
      <c r="CJ16" s="136">
        <v>0</v>
      </c>
      <c r="CK16" s="136">
        <v>0</v>
      </c>
      <c r="CL16" s="136">
        <v>0</v>
      </c>
      <c r="CM16" s="136">
        <v>0</v>
      </c>
      <c r="CN16" s="136">
        <v>0</v>
      </c>
      <c r="CO16" s="136">
        <v>0</v>
      </c>
      <c r="CP16" s="136">
        <v>0</v>
      </c>
      <c r="CQ16" s="136">
        <v>0</v>
      </c>
      <c r="CR16" s="136">
        <v>0</v>
      </c>
      <c r="CS16" s="136">
        <v>0</v>
      </c>
      <c r="CT16" s="136">
        <v>0</v>
      </c>
      <c r="CU16" s="136">
        <v>0</v>
      </c>
      <c r="CV16" s="136">
        <v>0</v>
      </c>
      <c r="CW16" s="136">
        <v>0</v>
      </c>
      <c r="CX16" s="136">
        <v>0</v>
      </c>
      <c r="CY16" s="136">
        <v>0</v>
      </c>
      <c r="CZ16" s="136">
        <v>0</v>
      </c>
      <c r="DA16" s="136"/>
      <c r="DB16" s="136"/>
      <c r="DC16" s="136"/>
      <c r="DD16" s="136"/>
      <c r="DE16" s="136"/>
      <c r="DF16" s="136"/>
      <c r="DG16" s="136">
        <v>0</v>
      </c>
      <c r="DH16" s="136">
        <v>0</v>
      </c>
      <c r="DI16" s="136">
        <v>0</v>
      </c>
      <c r="DJ16" s="136">
        <v>0</v>
      </c>
      <c r="DK16" s="136">
        <v>0</v>
      </c>
      <c r="DL16" s="136">
        <v>0</v>
      </c>
      <c r="DM16" s="136">
        <v>0</v>
      </c>
      <c r="DN16" s="136">
        <v>0</v>
      </c>
      <c r="DO16" s="136">
        <v>0</v>
      </c>
      <c r="DP16" s="136">
        <v>0</v>
      </c>
      <c r="DQ16" s="136">
        <v>0</v>
      </c>
      <c r="DR16" s="136">
        <v>0</v>
      </c>
      <c r="DS16" s="136"/>
      <c r="DT16" s="136"/>
      <c r="DU16" s="136"/>
      <c r="DV16" s="136"/>
      <c r="DW16" s="136"/>
      <c r="DX16" s="136"/>
      <c r="DY16" s="136">
        <v>0</v>
      </c>
      <c r="DZ16" s="136">
        <v>0</v>
      </c>
      <c r="EA16" s="136">
        <v>0</v>
      </c>
      <c r="EB16" s="136">
        <v>0</v>
      </c>
      <c r="EC16" s="136">
        <v>0</v>
      </c>
      <c r="ED16" s="136">
        <v>0</v>
      </c>
      <c r="EE16" s="136">
        <v>0</v>
      </c>
      <c r="EF16" s="136">
        <v>0</v>
      </c>
      <c r="EG16" s="136">
        <v>0</v>
      </c>
      <c r="EH16" s="136">
        <v>0</v>
      </c>
      <c r="EI16" s="136">
        <v>0</v>
      </c>
      <c r="EJ16" s="136">
        <v>0</v>
      </c>
      <c r="EK16" s="136"/>
      <c r="EL16" s="136"/>
      <c r="EM16" s="136"/>
      <c r="EN16" s="136"/>
      <c r="EO16" s="136"/>
      <c r="EP16" s="136"/>
      <c r="EQ16" s="136">
        <v>0</v>
      </c>
      <c r="ER16" s="136">
        <v>0</v>
      </c>
      <c r="ES16" s="136">
        <v>0</v>
      </c>
      <c r="ET16" s="136">
        <v>0</v>
      </c>
      <c r="EU16" s="136">
        <v>0</v>
      </c>
      <c r="EV16" s="136">
        <v>0</v>
      </c>
      <c r="EW16" s="136"/>
      <c r="EX16" s="136"/>
      <c r="EY16" s="136"/>
      <c r="EZ16" s="136"/>
      <c r="FA16" s="136"/>
      <c r="FB16" s="136"/>
      <c r="FC16" s="136">
        <v>0</v>
      </c>
      <c r="FD16" s="136">
        <v>0</v>
      </c>
      <c r="FE16" s="136">
        <v>0</v>
      </c>
      <c r="FF16" s="136">
        <v>0</v>
      </c>
      <c r="FG16" s="136">
        <v>0</v>
      </c>
      <c r="FH16" s="136">
        <v>0</v>
      </c>
      <c r="FI16" s="136"/>
      <c r="FJ16" s="136"/>
      <c r="FK16" s="136"/>
      <c r="FL16" s="136"/>
      <c r="FM16" s="136"/>
      <c r="FN16" s="136"/>
      <c r="FO16" s="136">
        <v>0</v>
      </c>
      <c r="FP16" s="136">
        <v>0</v>
      </c>
      <c r="FQ16" s="136">
        <v>0</v>
      </c>
      <c r="FR16" s="136">
        <v>0</v>
      </c>
      <c r="FS16" s="136">
        <v>0</v>
      </c>
      <c r="FT16" s="136">
        <v>0</v>
      </c>
      <c r="FU16" s="136">
        <v>0</v>
      </c>
      <c r="FV16" s="136">
        <v>0</v>
      </c>
      <c r="FW16" s="136">
        <v>0</v>
      </c>
      <c r="FX16" s="136">
        <v>0</v>
      </c>
      <c r="FY16" s="136">
        <v>0</v>
      </c>
      <c r="FZ16" s="136">
        <v>0</v>
      </c>
      <c r="GA16" s="136">
        <v>0</v>
      </c>
      <c r="GB16" s="136">
        <v>0</v>
      </c>
      <c r="GC16" s="136">
        <v>0</v>
      </c>
      <c r="GD16" s="136">
        <v>0</v>
      </c>
      <c r="GE16" s="136">
        <v>0</v>
      </c>
      <c r="GF16" s="136">
        <v>0</v>
      </c>
      <c r="GG16" s="136">
        <v>0</v>
      </c>
      <c r="GH16" s="136">
        <v>0</v>
      </c>
      <c r="GI16" s="136">
        <v>0</v>
      </c>
      <c r="GJ16" s="136">
        <v>0</v>
      </c>
      <c r="GK16" s="136">
        <v>0</v>
      </c>
      <c r="GL16" s="136">
        <v>0</v>
      </c>
      <c r="GM16" s="136">
        <v>0</v>
      </c>
      <c r="GN16" s="136">
        <v>0</v>
      </c>
      <c r="GO16" s="136">
        <v>0</v>
      </c>
      <c r="GP16" s="136">
        <v>0</v>
      </c>
      <c r="GQ16" s="136">
        <v>0</v>
      </c>
      <c r="GR16" s="136">
        <v>0</v>
      </c>
      <c r="GS16" s="136">
        <v>0</v>
      </c>
      <c r="GT16" s="136">
        <v>0</v>
      </c>
      <c r="GU16" s="136">
        <v>0</v>
      </c>
      <c r="GW16" s="137"/>
      <c r="GY16" s="136">
        <v>587000</v>
      </c>
      <c r="GZ16" s="136" t="s">
        <v>439</v>
      </c>
      <c r="HA16" s="136" t="s">
        <v>439</v>
      </c>
      <c r="HB16" s="136" t="s">
        <v>439</v>
      </c>
      <c r="HC16" s="136" t="s">
        <v>439</v>
      </c>
      <c r="HD16" s="136" t="s">
        <v>439</v>
      </c>
      <c r="HE16" s="136" t="s">
        <v>439</v>
      </c>
      <c r="HF16" s="136" t="s">
        <v>439</v>
      </c>
      <c r="HG16" s="136" t="s">
        <v>439</v>
      </c>
      <c r="HH16" s="136" t="s">
        <v>439</v>
      </c>
      <c r="HI16" s="35" t="s">
        <v>439</v>
      </c>
      <c r="HJ16" s="35" t="s">
        <v>439</v>
      </c>
      <c r="HK16" s="35" t="s">
        <v>439</v>
      </c>
      <c r="HL16"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16"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16"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16"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587000</v>
      </c>
      <c r="HP16"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16"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16"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587000</v>
      </c>
    </row>
    <row r="17" spans="1:226">
      <c r="A17" s="35" t="s">
        <v>29</v>
      </c>
      <c r="B17" s="37" t="s">
        <v>19</v>
      </c>
      <c r="C17" s="37">
        <v>150</v>
      </c>
      <c r="D17" s="37" t="s">
        <v>835</v>
      </c>
      <c r="E17" s="103">
        <v>3630</v>
      </c>
      <c r="F17" s="136">
        <v>2758436</v>
      </c>
      <c r="G17" s="136">
        <v>0</v>
      </c>
      <c r="H17" s="136">
        <v>18636335</v>
      </c>
      <c r="I17" s="136">
        <v>1957671</v>
      </c>
      <c r="J17" s="136">
        <v>1176448</v>
      </c>
      <c r="K17" s="136">
        <v>0</v>
      </c>
      <c r="L17" s="136">
        <v>20393</v>
      </c>
      <c r="M17" s="136">
        <v>1463447</v>
      </c>
      <c r="N17" s="136">
        <v>758982</v>
      </c>
      <c r="O17" s="136">
        <v>5462875</v>
      </c>
      <c r="P17" s="136">
        <v>1821982</v>
      </c>
      <c r="Q17" s="136">
        <v>57190</v>
      </c>
      <c r="R17" s="136">
        <v>2460069</v>
      </c>
      <c r="S17" s="136">
        <v>14328</v>
      </c>
      <c r="T17" s="136">
        <v>0</v>
      </c>
      <c r="U17" s="136">
        <v>462911</v>
      </c>
      <c r="V17" s="136">
        <v>0</v>
      </c>
      <c r="W17" s="136">
        <v>0</v>
      </c>
      <c r="X17" s="136">
        <v>0</v>
      </c>
      <c r="Y17" s="136">
        <v>38064</v>
      </c>
      <c r="Z17" s="136">
        <v>0</v>
      </c>
      <c r="AA17" s="136">
        <v>538129</v>
      </c>
      <c r="AB17" s="136">
        <v>0</v>
      </c>
      <c r="AC17" s="136">
        <v>8146</v>
      </c>
      <c r="AD17" s="136">
        <v>0</v>
      </c>
      <c r="AE17" s="136">
        <v>32060</v>
      </c>
      <c r="AF17" s="136">
        <v>93018</v>
      </c>
      <c r="AG17" s="136">
        <v>3799442</v>
      </c>
      <c r="AH17" s="136">
        <v>6560</v>
      </c>
      <c r="AI17" s="136">
        <v>52664</v>
      </c>
      <c r="AJ17" s="136">
        <v>558197</v>
      </c>
      <c r="AK17" s="136">
        <v>397481</v>
      </c>
      <c r="AL17" s="136">
        <v>281501</v>
      </c>
      <c r="AM17" s="136">
        <v>2193</v>
      </c>
      <c r="AN17" s="136">
        <v>0</v>
      </c>
      <c r="AO17" s="136">
        <v>0</v>
      </c>
      <c r="AP17" s="136">
        <v>0</v>
      </c>
      <c r="AQ17" s="136">
        <v>0</v>
      </c>
      <c r="AR17" s="136">
        <v>0</v>
      </c>
      <c r="AS17" s="136">
        <v>40219</v>
      </c>
      <c r="AT17" s="136">
        <v>0</v>
      </c>
      <c r="AU17" s="136">
        <v>0</v>
      </c>
      <c r="AV17" s="136">
        <v>0</v>
      </c>
      <c r="AW17" s="136">
        <v>0</v>
      </c>
      <c r="AX17" s="136">
        <v>397</v>
      </c>
      <c r="AY17" s="136">
        <v>8596</v>
      </c>
      <c r="AZ17" s="136">
        <v>0</v>
      </c>
      <c r="BA17" s="136">
        <v>0</v>
      </c>
      <c r="BB17" s="136">
        <v>1350</v>
      </c>
      <c r="BC17" s="136">
        <v>0</v>
      </c>
      <c r="BD17" s="136">
        <v>0</v>
      </c>
      <c r="BE17" s="136">
        <v>1287022</v>
      </c>
      <c r="BF17" s="136">
        <v>8889</v>
      </c>
      <c r="BG17" s="136">
        <v>0</v>
      </c>
      <c r="BH17" s="136">
        <v>129777</v>
      </c>
      <c r="BI17" s="136">
        <v>8160</v>
      </c>
      <c r="BJ17" s="136">
        <v>110810</v>
      </c>
      <c r="BK17" s="136">
        <v>0</v>
      </c>
      <c r="BL17" s="136">
        <v>-190</v>
      </c>
      <c r="BM17" s="136">
        <v>0</v>
      </c>
      <c r="BN17" s="136">
        <v>5420</v>
      </c>
      <c r="BO17" s="136">
        <v>0</v>
      </c>
      <c r="BP17" s="136">
        <v>0</v>
      </c>
      <c r="BQ17" s="136">
        <v>367785</v>
      </c>
      <c r="BR17" s="136">
        <v>0</v>
      </c>
      <c r="BS17" s="136">
        <v>100</v>
      </c>
      <c r="BT17" s="136">
        <v>12899</v>
      </c>
      <c r="BU17" s="136">
        <v>0</v>
      </c>
      <c r="BV17" s="136">
        <v>49826</v>
      </c>
      <c r="BW17" s="136">
        <v>0</v>
      </c>
      <c r="BX17" s="136">
        <v>0</v>
      </c>
      <c r="BY17" s="136">
        <v>0</v>
      </c>
      <c r="BZ17" s="136">
        <v>5439</v>
      </c>
      <c r="CA17" s="136">
        <v>0</v>
      </c>
      <c r="CB17" s="136">
        <v>3500</v>
      </c>
      <c r="CC17" s="136">
        <v>23629</v>
      </c>
      <c r="CD17" s="136">
        <v>71940</v>
      </c>
      <c r="CE17" s="136">
        <v>28441</v>
      </c>
      <c r="CF17" s="136">
        <v>0</v>
      </c>
      <c r="CG17" s="136">
        <v>0</v>
      </c>
      <c r="CH17" s="136">
        <v>376276</v>
      </c>
      <c r="CI17" s="136">
        <v>0</v>
      </c>
      <c r="CJ17" s="136">
        <v>0</v>
      </c>
      <c r="CK17" s="136">
        <v>0</v>
      </c>
      <c r="CL17" s="136">
        <v>15158</v>
      </c>
      <c r="CM17" s="136">
        <v>0</v>
      </c>
      <c r="CN17" s="136">
        <v>0</v>
      </c>
      <c r="CO17" s="136">
        <v>235031</v>
      </c>
      <c r="CP17" s="136">
        <v>0</v>
      </c>
      <c r="CQ17" s="136">
        <v>0</v>
      </c>
      <c r="CR17" s="136">
        <v>353037</v>
      </c>
      <c r="CS17" s="136">
        <v>0</v>
      </c>
      <c r="CT17" s="136">
        <v>0</v>
      </c>
      <c r="CU17" s="136">
        <v>0</v>
      </c>
      <c r="CV17" s="136">
        <v>2227648</v>
      </c>
      <c r="CW17" s="136">
        <v>107919</v>
      </c>
      <c r="CX17" s="136">
        <v>8018</v>
      </c>
      <c r="CY17" s="136">
        <v>0</v>
      </c>
      <c r="CZ17" s="136">
        <v>0</v>
      </c>
      <c r="DA17" s="136"/>
      <c r="DB17" s="136"/>
      <c r="DC17" s="136"/>
      <c r="DD17" s="136"/>
      <c r="DE17" s="136"/>
      <c r="DF17" s="136"/>
      <c r="DG17" s="136">
        <v>126375</v>
      </c>
      <c r="DH17" s="136">
        <v>0</v>
      </c>
      <c r="DI17" s="136">
        <v>0</v>
      </c>
      <c r="DJ17" s="136">
        <v>0</v>
      </c>
      <c r="DK17" s="136">
        <v>0</v>
      </c>
      <c r="DL17" s="136">
        <v>90566</v>
      </c>
      <c r="DM17" s="136">
        <v>0</v>
      </c>
      <c r="DN17" s="136">
        <v>0</v>
      </c>
      <c r="DO17" s="136">
        <v>0</v>
      </c>
      <c r="DP17" s="136">
        <v>0</v>
      </c>
      <c r="DQ17" s="136">
        <v>0</v>
      </c>
      <c r="DR17" s="136">
        <v>0</v>
      </c>
      <c r="DS17" s="136"/>
      <c r="DT17" s="136"/>
      <c r="DU17" s="136"/>
      <c r="DV17" s="136"/>
      <c r="DW17" s="136"/>
      <c r="DX17" s="136"/>
      <c r="DY17" s="136">
        <v>0</v>
      </c>
      <c r="DZ17" s="136">
        <v>0</v>
      </c>
      <c r="EA17" s="136">
        <v>0</v>
      </c>
      <c r="EB17" s="136">
        <v>0</v>
      </c>
      <c r="EC17" s="136">
        <v>0</v>
      </c>
      <c r="ED17" s="136">
        <v>0</v>
      </c>
      <c r="EE17" s="136">
        <v>0</v>
      </c>
      <c r="EF17" s="136">
        <v>0</v>
      </c>
      <c r="EG17" s="136">
        <v>0</v>
      </c>
      <c r="EH17" s="136">
        <v>0</v>
      </c>
      <c r="EI17" s="136">
        <v>0</v>
      </c>
      <c r="EJ17" s="136">
        <v>0</v>
      </c>
      <c r="EK17" s="136"/>
      <c r="EL17" s="136"/>
      <c r="EM17" s="136"/>
      <c r="EN17" s="136"/>
      <c r="EO17" s="136"/>
      <c r="EP17" s="136"/>
      <c r="EQ17" s="136">
        <v>0</v>
      </c>
      <c r="ER17" s="136">
        <v>0</v>
      </c>
      <c r="ES17" s="136">
        <v>0</v>
      </c>
      <c r="ET17" s="136">
        <v>0</v>
      </c>
      <c r="EU17" s="136">
        <v>0</v>
      </c>
      <c r="EV17" s="136">
        <v>0</v>
      </c>
      <c r="EW17" s="136"/>
      <c r="EX17" s="136"/>
      <c r="EY17" s="136"/>
      <c r="EZ17" s="136"/>
      <c r="FA17" s="136"/>
      <c r="FB17" s="136"/>
      <c r="FC17" s="136">
        <v>0</v>
      </c>
      <c r="FD17" s="136">
        <v>0</v>
      </c>
      <c r="FE17" s="136">
        <v>0</v>
      </c>
      <c r="FF17" s="136">
        <v>0</v>
      </c>
      <c r="FG17" s="136">
        <v>0</v>
      </c>
      <c r="FH17" s="136">
        <v>0</v>
      </c>
      <c r="FI17" s="136"/>
      <c r="FJ17" s="136"/>
      <c r="FK17" s="136"/>
      <c r="FL17" s="136"/>
      <c r="FM17" s="136"/>
      <c r="FN17" s="136"/>
      <c r="FO17" s="136">
        <v>0</v>
      </c>
      <c r="FP17" s="136">
        <v>0</v>
      </c>
      <c r="FQ17" s="136">
        <v>0</v>
      </c>
      <c r="FR17" s="136">
        <v>0</v>
      </c>
      <c r="FS17" s="136">
        <v>0</v>
      </c>
      <c r="FT17" s="136">
        <v>0</v>
      </c>
      <c r="FU17" s="136">
        <v>0</v>
      </c>
      <c r="FV17" s="136">
        <v>0</v>
      </c>
      <c r="FW17" s="136">
        <v>0</v>
      </c>
      <c r="FX17" s="136">
        <v>0</v>
      </c>
      <c r="FY17" s="136">
        <v>0</v>
      </c>
      <c r="FZ17" s="136">
        <v>0</v>
      </c>
      <c r="GA17" s="136">
        <v>0</v>
      </c>
      <c r="GB17" s="136">
        <v>0</v>
      </c>
      <c r="GC17" s="136">
        <v>0</v>
      </c>
      <c r="GD17" s="136">
        <v>0</v>
      </c>
      <c r="GE17" s="136">
        <v>0</v>
      </c>
      <c r="GF17" s="136">
        <v>0</v>
      </c>
      <c r="GG17" s="136">
        <v>0</v>
      </c>
      <c r="GH17" s="136">
        <v>0</v>
      </c>
      <c r="GI17" s="136">
        <v>0</v>
      </c>
      <c r="GJ17" s="136">
        <v>0</v>
      </c>
      <c r="GK17" s="136">
        <v>0</v>
      </c>
      <c r="GL17" s="136">
        <v>0</v>
      </c>
      <c r="GM17" s="136">
        <v>0</v>
      </c>
      <c r="GN17" s="136">
        <v>0</v>
      </c>
      <c r="GO17" s="136">
        <v>0</v>
      </c>
      <c r="GP17" s="136">
        <v>0</v>
      </c>
      <c r="GQ17" s="136">
        <v>0</v>
      </c>
      <c r="GR17" s="136">
        <v>0</v>
      </c>
      <c r="GS17" s="136">
        <v>72826970</v>
      </c>
      <c r="GT17" s="136">
        <v>22303481</v>
      </c>
      <c r="GU17" s="136">
        <v>226580284</v>
      </c>
      <c r="GV17" s="35" t="s">
        <v>340</v>
      </c>
      <c r="GW17" s="137">
        <v>9794586077</v>
      </c>
      <c r="GX17" s="35" t="s">
        <v>341</v>
      </c>
      <c r="GY17" s="136">
        <v>21394771</v>
      </c>
      <c r="GZ17" s="136">
        <v>-10060893</v>
      </c>
      <c r="HA17" s="136">
        <v>1170747</v>
      </c>
      <c r="HB17" s="136">
        <v>-11826</v>
      </c>
      <c r="HC17" s="136">
        <v>0</v>
      </c>
      <c r="HD17" s="136">
        <v>-236221</v>
      </c>
      <c r="HE17" s="136">
        <v>0</v>
      </c>
      <c r="HF17" s="136">
        <v>20393</v>
      </c>
      <c r="HG17" s="136">
        <v>0</v>
      </c>
      <c r="HH17" s="136">
        <v>0</v>
      </c>
      <c r="HI17" s="35" t="s">
        <v>377</v>
      </c>
      <c r="HJ17" s="35"/>
      <c r="HK17" s="35"/>
      <c r="HL17"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12354207</v>
      </c>
      <c r="HM17"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4136829</v>
      </c>
      <c r="HN17"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254460</v>
      </c>
      <c r="HO17"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3675739</v>
      </c>
      <c r="HP17"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490093</v>
      </c>
      <c r="HQ17"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1005894</v>
      </c>
      <c r="HR17"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12276971</v>
      </c>
    </row>
    <row r="18" spans="1:226">
      <c r="A18" s="35" t="s">
        <v>693</v>
      </c>
      <c r="B18" s="37" t="s">
        <v>703</v>
      </c>
      <c r="D18" s="37" t="s">
        <v>835</v>
      </c>
      <c r="E18" s="103">
        <v>3604</v>
      </c>
      <c r="F18" s="136">
        <v>0</v>
      </c>
      <c r="G18" s="136">
        <v>0</v>
      </c>
      <c r="H18" s="136">
        <v>253152022</v>
      </c>
      <c r="I18" s="136">
        <v>0</v>
      </c>
      <c r="J18" s="136">
        <v>0</v>
      </c>
      <c r="K18" s="136">
        <v>0</v>
      </c>
      <c r="L18" s="136">
        <v>0</v>
      </c>
      <c r="M18" s="136">
        <v>30135296</v>
      </c>
      <c r="N18" s="136">
        <v>22714648</v>
      </c>
      <c r="O18" s="136">
        <v>0</v>
      </c>
      <c r="P18" s="136">
        <v>0</v>
      </c>
      <c r="Q18" s="136">
        <v>0</v>
      </c>
      <c r="R18" s="136">
        <v>0</v>
      </c>
      <c r="S18" s="136">
        <v>0</v>
      </c>
      <c r="T18" s="136">
        <v>0</v>
      </c>
      <c r="U18" s="136">
        <v>12839604</v>
      </c>
      <c r="V18" s="136">
        <v>0</v>
      </c>
      <c r="W18" s="136">
        <v>1455331</v>
      </c>
      <c r="X18" s="136">
        <v>11792690</v>
      </c>
      <c r="Y18" s="136">
        <v>274969</v>
      </c>
      <c r="Z18" s="136">
        <v>13445616</v>
      </c>
      <c r="AA18" s="136">
        <v>7820715</v>
      </c>
      <c r="AB18" s="136">
        <v>0</v>
      </c>
      <c r="AC18" s="136">
        <v>484569</v>
      </c>
      <c r="AD18" s="136">
        <v>2963911</v>
      </c>
      <c r="AE18" s="136">
        <v>649300</v>
      </c>
      <c r="AF18" s="136">
        <v>52222</v>
      </c>
      <c r="AG18" s="136">
        <v>57924751</v>
      </c>
      <c r="AH18" s="136">
        <v>0</v>
      </c>
      <c r="AI18" s="136">
        <v>5365492</v>
      </c>
      <c r="AJ18" s="136">
        <v>33873233</v>
      </c>
      <c r="AK18" s="136">
        <v>4159367</v>
      </c>
      <c r="AL18" s="136">
        <v>8135173</v>
      </c>
      <c r="AM18" s="136">
        <v>4051973</v>
      </c>
      <c r="AN18" s="136">
        <v>0</v>
      </c>
      <c r="AO18" s="136">
        <v>0</v>
      </c>
      <c r="AP18" s="136">
        <v>1094936</v>
      </c>
      <c r="AQ18" s="136">
        <v>146020</v>
      </c>
      <c r="AR18" s="136">
        <v>109402</v>
      </c>
      <c r="AS18" s="136">
        <v>3568163</v>
      </c>
      <c r="AT18" s="136">
        <v>0</v>
      </c>
      <c r="AU18" s="136">
        <v>228004</v>
      </c>
      <c r="AV18" s="136">
        <v>2308805</v>
      </c>
      <c r="AW18" s="136">
        <v>191251</v>
      </c>
      <c r="AX18" s="136">
        <v>223214</v>
      </c>
      <c r="AY18" s="136">
        <v>0</v>
      </c>
      <c r="AZ18" s="136">
        <v>0</v>
      </c>
      <c r="BA18" s="136">
        <v>0</v>
      </c>
      <c r="BB18" s="136">
        <v>49</v>
      </c>
      <c r="BC18" s="136">
        <v>0</v>
      </c>
      <c r="BD18" s="136">
        <v>0</v>
      </c>
      <c r="BE18" s="136">
        <v>22808519</v>
      </c>
      <c r="BF18" s="136">
        <v>0</v>
      </c>
      <c r="BG18" s="136">
        <v>2508539</v>
      </c>
      <c r="BH18" s="136">
        <v>11888042</v>
      </c>
      <c r="BI18" s="136">
        <v>1907721</v>
      </c>
      <c r="BJ18" s="136">
        <v>3322968</v>
      </c>
      <c r="BK18" s="136">
        <v>4221733</v>
      </c>
      <c r="BL18" s="136">
        <v>0</v>
      </c>
      <c r="BM18" s="136">
        <v>0</v>
      </c>
      <c r="BN18" s="136">
        <v>1275259</v>
      </c>
      <c r="BO18" s="136">
        <v>0</v>
      </c>
      <c r="BP18" s="136">
        <v>32742</v>
      </c>
      <c r="BQ18" s="136">
        <v>2376479</v>
      </c>
      <c r="BR18" s="136">
        <v>0</v>
      </c>
      <c r="BS18" s="136">
        <v>134971</v>
      </c>
      <c r="BT18" s="136">
        <v>13077016</v>
      </c>
      <c r="BU18" s="136">
        <v>177160</v>
      </c>
      <c r="BV18" s="136">
        <v>8342360</v>
      </c>
      <c r="BW18" s="136">
        <v>909658</v>
      </c>
      <c r="BX18" s="136">
        <v>0</v>
      </c>
      <c r="BY18" s="136">
        <v>0</v>
      </c>
      <c r="BZ18" s="136">
        <v>1609301</v>
      </c>
      <c r="CA18" s="136">
        <v>0</v>
      </c>
      <c r="CB18" s="136">
        <v>0</v>
      </c>
      <c r="CC18" s="136">
        <v>256452</v>
      </c>
      <c r="CD18" s="136">
        <v>0</v>
      </c>
      <c r="CE18" s="136">
        <v>0</v>
      </c>
      <c r="CF18" s="136">
        <v>1413053</v>
      </c>
      <c r="CG18" s="136">
        <v>0</v>
      </c>
      <c r="CH18" s="136">
        <v>405040</v>
      </c>
      <c r="CI18" s="136">
        <v>41771</v>
      </c>
      <c r="CJ18" s="136">
        <v>0</v>
      </c>
      <c r="CK18" s="136">
        <v>0</v>
      </c>
      <c r="CL18" s="136">
        <v>643126</v>
      </c>
      <c r="CM18" s="136">
        <v>0</v>
      </c>
      <c r="CN18" s="136">
        <v>31164</v>
      </c>
      <c r="CO18" s="136">
        <v>1157124</v>
      </c>
      <c r="CP18" s="136">
        <v>0</v>
      </c>
      <c r="CQ18" s="136">
        <v>0</v>
      </c>
      <c r="CR18" s="136">
        <v>1049651</v>
      </c>
      <c r="CS18" s="136">
        <v>0</v>
      </c>
      <c r="CT18" s="136">
        <v>368551</v>
      </c>
      <c r="CU18" s="136">
        <v>0</v>
      </c>
      <c r="CV18" s="136">
        <v>0</v>
      </c>
      <c r="CW18" s="136">
        <v>0</v>
      </c>
      <c r="CX18" s="136">
        <v>0</v>
      </c>
      <c r="CY18" s="136">
        <v>0</v>
      </c>
      <c r="CZ18" s="136">
        <v>0</v>
      </c>
      <c r="DA18" s="136"/>
      <c r="DB18" s="136"/>
      <c r="DC18" s="136"/>
      <c r="DD18" s="136"/>
      <c r="DE18" s="136"/>
      <c r="DF18" s="136"/>
      <c r="DG18" s="136">
        <v>33419</v>
      </c>
      <c r="DH18" s="136">
        <v>0</v>
      </c>
      <c r="DI18" s="136">
        <v>0</v>
      </c>
      <c r="DJ18" s="136">
        <v>1443</v>
      </c>
      <c r="DK18" s="136">
        <v>0</v>
      </c>
      <c r="DL18" s="136">
        <v>0</v>
      </c>
      <c r="DM18" s="136">
        <v>4415466</v>
      </c>
      <c r="DN18" s="136">
        <v>0</v>
      </c>
      <c r="DO18" s="136">
        <v>0</v>
      </c>
      <c r="DP18" s="136">
        <v>859124</v>
      </c>
      <c r="DQ18" s="136">
        <v>0</v>
      </c>
      <c r="DR18" s="136">
        <v>0</v>
      </c>
      <c r="DS18" s="136"/>
      <c r="DT18" s="136"/>
      <c r="DU18" s="136"/>
      <c r="DV18" s="136"/>
      <c r="DW18" s="136"/>
      <c r="DX18" s="136"/>
      <c r="DY18" s="136">
        <v>26350151</v>
      </c>
      <c r="DZ18" s="136">
        <v>0</v>
      </c>
      <c r="EA18" s="136">
        <v>383336</v>
      </c>
      <c r="EB18" s="136">
        <v>16880889</v>
      </c>
      <c r="EC18" s="136">
        <v>487351</v>
      </c>
      <c r="ED18" s="136">
        <v>16297568</v>
      </c>
      <c r="EE18" s="136">
        <v>7596997</v>
      </c>
      <c r="EF18" s="136">
        <v>0</v>
      </c>
      <c r="EG18" s="136">
        <v>8943282</v>
      </c>
      <c r="EH18" s="136">
        <v>5173488</v>
      </c>
      <c r="EI18" s="136">
        <v>151644</v>
      </c>
      <c r="EJ18" s="136">
        <v>301373</v>
      </c>
      <c r="EK18" s="136"/>
      <c r="EL18" s="136"/>
      <c r="EM18" s="136"/>
      <c r="EN18" s="136"/>
      <c r="EO18" s="136"/>
      <c r="EP18" s="136"/>
      <c r="EQ18" s="136">
        <v>13337279</v>
      </c>
      <c r="ER18" s="136">
        <v>0</v>
      </c>
      <c r="ES18" s="136">
        <v>0</v>
      </c>
      <c r="ET18" s="136">
        <v>3686719</v>
      </c>
      <c r="EU18" s="136">
        <v>2177288</v>
      </c>
      <c r="EV18" s="136">
        <v>307691</v>
      </c>
      <c r="EW18" s="136"/>
      <c r="EX18" s="136"/>
      <c r="EY18" s="136"/>
      <c r="EZ18" s="136"/>
      <c r="FA18" s="136"/>
      <c r="FB18" s="136"/>
      <c r="FC18" s="136">
        <v>0</v>
      </c>
      <c r="FD18" s="136">
        <v>0</v>
      </c>
      <c r="FE18" s="136">
        <v>0</v>
      </c>
      <c r="FF18" s="136">
        <v>0</v>
      </c>
      <c r="FG18" s="136">
        <v>103</v>
      </c>
      <c r="FH18" s="136">
        <v>0</v>
      </c>
      <c r="FI18" s="136"/>
      <c r="FJ18" s="136"/>
      <c r="FK18" s="136"/>
      <c r="FL18" s="136"/>
      <c r="FM18" s="136"/>
      <c r="FN18" s="136"/>
      <c r="FO18" s="136">
        <v>5183115</v>
      </c>
      <c r="FP18" s="136">
        <v>0</v>
      </c>
      <c r="FQ18" s="136">
        <v>19965</v>
      </c>
      <c r="FR18" s="136">
        <v>3335919</v>
      </c>
      <c r="FS18" s="136">
        <v>880467</v>
      </c>
      <c r="FT18" s="136">
        <v>1069233</v>
      </c>
      <c r="FU18" s="136">
        <v>24992975</v>
      </c>
      <c r="FV18" s="136">
        <v>0</v>
      </c>
      <c r="FW18" s="136">
        <v>124386</v>
      </c>
      <c r="FX18" s="136">
        <v>12588912</v>
      </c>
      <c r="FY18" s="136">
        <v>1106888</v>
      </c>
      <c r="FZ18" s="136">
        <v>1450543</v>
      </c>
      <c r="GA18" s="136">
        <v>6634578</v>
      </c>
      <c r="GB18" s="136">
        <v>0</v>
      </c>
      <c r="GC18" s="136">
        <v>0</v>
      </c>
      <c r="GD18" s="136">
        <v>1957930</v>
      </c>
      <c r="GE18" s="136">
        <v>189645</v>
      </c>
      <c r="GF18" s="136">
        <v>364888</v>
      </c>
      <c r="GG18" s="136">
        <v>1598463</v>
      </c>
      <c r="GH18" s="136">
        <v>0</v>
      </c>
      <c r="GI18" s="136">
        <v>0</v>
      </c>
      <c r="GJ18" s="136">
        <v>172065</v>
      </c>
      <c r="GK18" s="136">
        <v>0</v>
      </c>
      <c r="GL18" s="136">
        <v>8781</v>
      </c>
      <c r="GM18" s="136">
        <v>690720</v>
      </c>
      <c r="GN18" s="136">
        <v>0</v>
      </c>
      <c r="GO18" s="136">
        <v>0</v>
      </c>
      <c r="GP18" s="136">
        <v>198417</v>
      </c>
      <c r="GQ18" s="136">
        <v>0</v>
      </c>
      <c r="GR18" s="136">
        <v>50449</v>
      </c>
      <c r="GS18" s="136">
        <v>0</v>
      </c>
      <c r="GT18" s="136">
        <v>0</v>
      </c>
      <c r="GU18" s="136">
        <v>0</v>
      </c>
      <c r="GW18" s="137"/>
      <c r="GY18" s="136">
        <v>253152022</v>
      </c>
      <c r="GZ18" s="136" t="s">
        <v>439</v>
      </c>
      <c r="HA18" s="136" t="s">
        <v>439</v>
      </c>
      <c r="HB18" s="136" t="s">
        <v>439</v>
      </c>
      <c r="HC18" s="136" t="s">
        <v>439</v>
      </c>
      <c r="HD18" s="136" t="s">
        <v>439</v>
      </c>
      <c r="HE18" s="136" t="s">
        <v>439</v>
      </c>
      <c r="HF18" s="136" t="s">
        <v>439</v>
      </c>
      <c r="HG18" s="136" t="s">
        <v>439</v>
      </c>
      <c r="HH18" s="136" t="s">
        <v>439</v>
      </c>
      <c r="HI18" s="35" t="s">
        <v>439</v>
      </c>
      <c r="HJ18" s="35" t="s">
        <v>439</v>
      </c>
      <c r="HK18" s="35" t="s">
        <v>439</v>
      </c>
      <c r="HL18"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118010361</v>
      </c>
      <c r="HM18"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18"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10176906</v>
      </c>
      <c r="HO18"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83022491</v>
      </c>
      <c r="HP18"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7505788</v>
      </c>
      <c r="HQ18"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34468452</v>
      </c>
      <c r="HR18"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253152022</v>
      </c>
    </row>
    <row r="19" spans="1:226">
      <c r="A19" s="35" t="s">
        <v>717</v>
      </c>
      <c r="B19" s="37" t="s">
        <v>19</v>
      </c>
      <c r="C19" s="37">
        <v>281</v>
      </c>
      <c r="D19" s="37" t="s">
        <v>835</v>
      </c>
      <c r="E19" s="103">
        <v>3606</v>
      </c>
      <c r="F19" s="136">
        <v>574560</v>
      </c>
      <c r="G19" s="136">
        <v>0</v>
      </c>
      <c r="H19" s="136">
        <v>10506645</v>
      </c>
      <c r="I19" s="136">
        <v>830193</v>
      </c>
      <c r="J19" s="136">
        <v>174474</v>
      </c>
      <c r="K19" s="136">
        <v>0</v>
      </c>
      <c r="L19" s="136">
        <v>0</v>
      </c>
      <c r="M19" s="136">
        <v>589513</v>
      </c>
      <c r="N19" s="136">
        <v>743104</v>
      </c>
      <c r="O19" s="136">
        <v>84018</v>
      </c>
      <c r="P19" s="136">
        <v>0</v>
      </c>
      <c r="Q19" s="136">
        <v>211283</v>
      </c>
      <c r="R19" s="136">
        <v>18713</v>
      </c>
      <c r="S19" s="136">
        <v>0</v>
      </c>
      <c r="T19" s="136">
        <v>4361</v>
      </c>
      <c r="U19" s="136">
        <v>472818</v>
      </c>
      <c r="V19" s="136">
        <v>0</v>
      </c>
      <c r="W19" s="136">
        <v>57287</v>
      </c>
      <c r="X19" s="136">
        <v>52499</v>
      </c>
      <c r="Y19" s="136">
        <v>0</v>
      </c>
      <c r="Z19" s="136">
        <v>34328</v>
      </c>
      <c r="AA19" s="136">
        <v>63608</v>
      </c>
      <c r="AB19" s="136">
        <v>0</v>
      </c>
      <c r="AC19" s="136">
        <v>0</v>
      </c>
      <c r="AD19" s="136">
        <v>696</v>
      </c>
      <c r="AE19" s="136">
        <v>45105</v>
      </c>
      <c r="AF19" s="136">
        <v>0</v>
      </c>
      <c r="AG19" s="136">
        <v>80350</v>
      </c>
      <c r="AH19" s="136">
        <v>0</v>
      </c>
      <c r="AI19" s="136">
        <v>0</v>
      </c>
      <c r="AJ19" s="136">
        <v>18667</v>
      </c>
      <c r="AK19" s="136">
        <v>9616</v>
      </c>
      <c r="AL19" s="136">
        <v>160</v>
      </c>
      <c r="AM19" s="136">
        <v>0</v>
      </c>
      <c r="AN19" s="136">
        <v>0</v>
      </c>
      <c r="AO19" s="136">
        <v>0</v>
      </c>
      <c r="AP19" s="136">
        <v>0</v>
      </c>
      <c r="AQ19" s="136">
        <v>0</v>
      </c>
      <c r="AR19" s="136">
        <v>0</v>
      </c>
      <c r="AS19" s="136">
        <v>454725</v>
      </c>
      <c r="AT19" s="136">
        <v>0</v>
      </c>
      <c r="AU19" s="136">
        <v>0</v>
      </c>
      <c r="AV19" s="136">
        <v>953</v>
      </c>
      <c r="AW19" s="136">
        <v>0</v>
      </c>
      <c r="AX19" s="136">
        <v>0</v>
      </c>
      <c r="AY19" s="136">
        <v>0</v>
      </c>
      <c r="AZ19" s="136">
        <v>0</v>
      </c>
      <c r="BA19" s="136">
        <v>56191</v>
      </c>
      <c r="BB19" s="136">
        <v>123732</v>
      </c>
      <c r="BC19" s="136">
        <v>0</v>
      </c>
      <c r="BD19" s="136">
        <v>14085</v>
      </c>
      <c r="BE19" s="136">
        <v>461494</v>
      </c>
      <c r="BF19" s="136">
        <v>0</v>
      </c>
      <c r="BG19" s="136">
        <v>0</v>
      </c>
      <c r="BH19" s="136">
        <v>34107</v>
      </c>
      <c r="BI19" s="136">
        <v>0</v>
      </c>
      <c r="BJ19" s="136">
        <v>57985</v>
      </c>
      <c r="BK19" s="136">
        <v>0</v>
      </c>
      <c r="BL19" s="136">
        <v>0</v>
      </c>
      <c r="BM19" s="136">
        <v>42664</v>
      </c>
      <c r="BN19" s="136">
        <v>90138</v>
      </c>
      <c r="BO19" s="136">
        <v>58432</v>
      </c>
      <c r="BP19" s="136">
        <v>17290</v>
      </c>
      <c r="BQ19" s="136">
        <v>466544</v>
      </c>
      <c r="BR19" s="136">
        <v>0</v>
      </c>
      <c r="BS19" s="136">
        <v>206396</v>
      </c>
      <c r="BT19" s="136">
        <v>230627</v>
      </c>
      <c r="BU19" s="136">
        <v>9242</v>
      </c>
      <c r="BV19" s="136">
        <v>37022</v>
      </c>
      <c r="BW19" s="136">
        <v>0</v>
      </c>
      <c r="BX19" s="136">
        <v>0</v>
      </c>
      <c r="BY19" s="136">
        <v>82593</v>
      </c>
      <c r="BZ19" s="136">
        <v>380417</v>
      </c>
      <c r="CA19" s="136">
        <v>0</v>
      </c>
      <c r="CB19" s="136">
        <v>80504</v>
      </c>
      <c r="CC19" s="136">
        <v>0</v>
      </c>
      <c r="CD19" s="136">
        <v>0</v>
      </c>
      <c r="CE19" s="136">
        <v>0</v>
      </c>
      <c r="CF19" s="136">
        <v>2841</v>
      </c>
      <c r="CG19" s="136">
        <v>0</v>
      </c>
      <c r="CH19" s="136">
        <v>0</v>
      </c>
      <c r="CI19" s="136">
        <v>0</v>
      </c>
      <c r="CJ19" s="136">
        <v>0</v>
      </c>
      <c r="CK19" s="136">
        <v>0</v>
      </c>
      <c r="CL19" s="136">
        <v>86280</v>
      </c>
      <c r="CM19" s="136">
        <v>0</v>
      </c>
      <c r="CN19" s="136">
        <v>0</v>
      </c>
      <c r="CO19" s="136">
        <v>182325</v>
      </c>
      <c r="CP19" s="136">
        <v>0</v>
      </c>
      <c r="CQ19" s="136">
        <v>121344</v>
      </c>
      <c r="CR19" s="136">
        <v>261032</v>
      </c>
      <c r="CS19" s="136">
        <v>11500</v>
      </c>
      <c r="CT19" s="136">
        <v>22559</v>
      </c>
      <c r="CU19" s="136">
        <v>519686</v>
      </c>
      <c r="CV19" s="136">
        <v>0</v>
      </c>
      <c r="CW19" s="136">
        <v>268258</v>
      </c>
      <c r="CX19" s="136">
        <v>2336068</v>
      </c>
      <c r="CY19" s="136">
        <v>597575</v>
      </c>
      <c r="CZ19" s="136">
        <v>46652</v>
      </c>
      <c r="DA19" s="136"/>
      <c r="DB19" s="136"/>
      <c r="DC19" s="136"/>
      <c r="DD19" s="136"/>
      <c r="DE19" s="136"/>
      <c r="DF19" s="136"/>
      <c r="DG19" s="136">
        <v>428342</v>
      </c>
      <c r="DH19" s="136">
        <v>0</v>
      </c>
      <c r="DI19" s="136">
        <v>0</v>
      </c>
      <c r="DJ19" s="136">
        <v>2568200</v>
      </c>
      <c r="DK19" s="136">
        <v>0</v>
      </c>
      <c r="DL19" s="136">
        <v>0</v>
      </c>
      <c r="DM19" s="136">
        <v>0</v>
      </c>
      <c r="DN19" s="136">
        <v>0</v>
      </c>
      <c r="DO19" s="136">
        <v>0</v>
      </c>
      <c r="DP19" s="136">
        <v>0</v>
      </c>
      <c r="DQ19" s="136">
        <v>0</v>
      </c>
      <c r="DR19" s="136">
        <v>0</v>
      </c>
      <c r="DS19" s="136"/>
      <c r="DT19" s="136"/>
      <c r="DU19" s="136"/>
      <c r="DV19" s="136"/>
      <c r="DW19" s="136"/>
      <c r="DX19" s="136"/>
      <c r="DY19" s="136">
        <v>0</v>
      </c>
      <c r="DZ19" s="136">
        <v>0</v>
      </c>
      <c r="EA19" s="136">
        <v>0</v>
      </c>
      <c r="EB19" s="136">
        <v>0</v>
      </c>
      <c r="EC19" s="136">
        <v>0</v>
      </c>
      <c r="ED19" s="136">
        <v>0</v>
      </c>
      <c r="EE19" s="136">
        <v>0</v>
      </c>
      <c r="EF19" s="136">
        <v>0</v>
      </c>
      <c r="EG19" s="136">
        <v>0</v>
      </c>
      <c r="EH19" s="136">
        <v>0</v>
      </c>
      <c r="EI19" s="136">
        <v>0</v>
      </c>
      <c r="EJ19" s="136">
        <v>0</v>
      </c>
      <c r="EK19" s="136"/>
      <c r="EL19" s="136"/>
      <c r="EM19" s="136"/>
      <c r="EN19" s="136"/>
      <c r="EO19" s="136"/>
      <c r="EP19" s="136"/>
      <c r="EQ19" s="136">
        <v>0</v>
      </c>
      <c r="ER19" s="136">
        <v>0</v>
      </c>
      <c r="ES19" s="136">
        <v>0</v>
      </c>
      <c r="ET19" s="136">
        <v>0</v>
      </c>
      <c r="EU19" s="136">
        <v>0</v>
      </c>
      <c r="EV19" s="136">
        <v>0</v>
      </c>
      <c r="EW19" s="136"/>
      <c r="EX19" s="136"/>
      <c r="EY19" s="136"/>
      <c r="EZ19" s="136"/>
      <c r="FA19" s="136"/>
      <c r="FB19" s="136"/>
      <c r="FC19" s="136">
        <v>0</v>
      </c>
      <c r="FD19" s="136">
        <v>0</v>
      </c>
      <c r="FE19" s="136">
        <v>0</v>
      </c>
      <c r="FF19" s="136">
        <v>0</v>
      </c>
      <c r="FG19" s="136">
        <v>0</v>
      </c>
      <c r="FH19" s="136">
        <v>0</v>
      </c>
      <c r="FI19" s="136"/>
      <c r="FJ19" s="136"/>
      <c r="FK19" s="136"/>
      <c r="FL19" s="136"/>
      <c r="FM19" s="136"/>
      <c r="FN19" s="136"/>
      <c r="FO19" s="136">
        <v>0</v>
      </c>
      <c r="FP19" s="136">
        <v>0</v>
      </c>
      <c r="FQ19" s="136">
        <v>0</v>
      </c>
      <c r="FR19" s="136">
        <v>0</v>
      </c>
      <c r="FS19" s="136">
        <v>0</v>
      </c>
      <c r="FT19" s="136">
        <v>0</v>
      </c>
      <c r="FU19" s="136">
        <v>0</v>
      </c>
      <c r="FV19" s="136">
        <v>0</v>
      </c>
      <c r="FW19" s="136">
        <v>0</v>
      </c>
      <c r="FX19" s="136">
        <v>0</v>
      </c>
      <c r="FY19" s="136">
        <v>0</v>
      </c>
      <c r="FZ19" s="136">
        <v>0</v>
      </c>
      <c r="GA19" s="136">
        <v>0</v>
      </c>
      <c r="GB19" s="136">
        <v>0</v>
      </c>
      <c r="GC19" s="136">
        <v>0</v>
      </c>
      <c r="GD19" s="136">
        <v>0</v>
      </c>
      <c r="GE19" s="136">
        <v>0</v>
      </c>
      <c r="GF19" s="136">
        <v>0</v>
      </c>
      <c r="GG19" s="136">
        <v>0</v>
      </c>
      <c r="GH19" s="136">
        <v>0</v>
      </c>
      <c r="GI19" s="136">
        <v>0</v>
      </c>
      <c r="GJ19" s="136">
        <v>0</v>
      </c>
      <c r="GK19" s="136">
        <v>0</v>
      </c>
      <c r="GL19" s="136">
        <v>0</v>
      </c>
      <c r="GM19" s="136">
        <v>0</v>
      </c>
      <c r="GN19" s="136">
        <v>0</v>
      </c>
      <c r="GO19" s="136">
        <v>0</v>
      </c>
      <c r="GP19" s="136">
        <v>0</v>
      </c>
      <c r="GQ19" s="136">
        <v>0</v>
      </c>
      <c r="GR19" s="136">
        <v>0</v>
      </c>
      <c r="GS19" s="136">
        <v>98905834</v>
      </c>
      <c r="GT19" s="136">
        <v>11255679</v>
      </c>
      <c r="GU19" s="136">
        <v>315230803</v>
      </c>
      <c r="GV19" s="35" t="s">
        <v>352</v>
      </c>
      <c r="GW19" s="137">
        <v>9362943405</v>
      </c>
      <c r="GX19" s="35" t="s">
        <v>354</v>
      </c>
      <c r="GY19" s="136">
        <v>11081205</v>
      </c>
      <c r="GZ19" s="136">
        <v>-6237558</v>
      </c>
      <c r="HA19" s="136">
        <v>287296</v>
      </c>
      <c r="HB19" s="136">
        <v>574560</v>
      </c>
      <c r="HC19" s="136">
        <v>0</v>
      </c>
      <c r="HD19" s="136">
        <v>97966</v>
      </c>
      <c r="HE19" s="136">
        <v>19667</v>
      </c>
      <c r="HF19" s="136">
        <v>0</v>
      </c>
      <c r="HG19" s="136">
        <v>0</v>
      </c>
      <c r="HH19" s="136">
        <v>0</v>
      </c>
      <c r="HI19" s="35" t="s">
        <v>439</v>
      </c>
      <c r="HJ19" s="35" t="s">
        <v>439</v>
      </c>
      <c r="HK19" s="35" t="s">
        <v>439</v>
      </c>
      <c r="HL19"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3213910</v>
      </c>
      <c r="HM19"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19"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1046016</v>
      </c>
      <c r="HO19"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4065112</v>
      </c>
      <c r="HP19"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731470</v>
      </c>
      <c r="HQ19"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314946</v>
      </c>
      <c r="HR19"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5823136</v>
      </c>
    </row>
    <row r="20" spans="1:226">
      <c r="A20" s="35" t="s">
        <v>841</v>
      </c>
      <c r="B20" s="37" t="s">
        <v>844</v>
      </c>
      <c r="C20" s="37">
        <v>280</v>
      </c>
      <c r="D20" s="37" t="s">
        <v>835</v>
      </c>
      <c r="E20" s="103">
        <v>3606</v>
      </c>
      <c r="F20" s="136">
        <v>574560</v>
      </c>
      <c r="G20" s="136">
        <v>0</v>
      </c>
      <c r="H20" s="136">
        <v>11054593</v>
      </c>
      <c r="I20" s="136">
        <v>865940</v>
      </c>
      <c r="J20" s="136">
        <v>307180</v>
      </c>
      <c r="K20" s="136">
        <v>0</v>
      </c>
      <c r="L20" s="136">
        <v>0</v>
      </c>
      <c r="M20" s="136">
        <v>589513</v>
      </c>
      <c r="N20" s="136">
        <v>743104</v>
      </c>
      <c r="O20" s="136">
        <v>84018</v>
      </c>
      <c r="P20" s="136">
        <v>0</v>
      </c>
      <c r="Q20" s="136">
        <v>211283</v>
      </c>
      <c r="R20" s="136">
        <v>18713</v>
      </c>
      <c r="S20" s="136">
        <v>0</v>
      </c>
      <c r="T20" s="136">
        <v>4361</v>
      </c>
      <c r="U20" s="136">
        <v>472818</v>
      </c>
      <c r="V20" s="136">
        <v>0</v>
      </c>
      <c r="W20" s="136">
        <v>57287</v>
      </c>
      <c r="X20" s="136">
        <v>52499</v>
      </c>
      <c r="Y20" s="136">
        <v>0</v>
      </c>
      <c r="Z20" s="136">
        <v>34328</v>
      </c>
      <c r="AA20" s="136">
        <v>63608</v>
      </c>
      <c r="AB20" s="136">
        <v>0</v>
      </c>
      <c r="AC20" s="136">
        <v>0</v>
      </c>
      <c r="AD20" s="136">
        <v>696</v>
      </c>
      <c r="AE20" s="136">
        <v>45105</v>
      </c>
      <c r="AF20" s="136">
        <v>0</v>
      </c>
      <c r="AG20" s="136">
        <v>80350</v>
      </c>
      <c r="AH20" s="136">
        <v>0</v>
      </c>
      <c r="AI20" s="136">
        <v>0</v>
      </c>
      <c r="AJ20" s="136">
        <v>18667</v>
      </c>
      <c r="AK20" s="136">
        <v>9616</v>
      </c>
      <c r="AL20" s="136">
        <v>160</v>
      </c>
      <c r="AM20" s="136">
        <v>0</v>
      </c>
      <c r="AN20" s="136">
        <v>0</v>
      </c>
      <c r="AO20" s="136">
        <v>0</v>
      </c>
      <c r="AP20" s="136">
        <v>0</v>
      </c>
      <c r="AQ20" s="136">
        <v>0</v>
      </c>
      <c r="AR20" s="136">
        <v>0</v>
      </c>
      <c r="AS20" s="136">
        <v>454725</v>
      </c>
      <c r="AT20" s="136">
        <v>0</v>
      </c>
      <c r="AU20" s="136">
        <v>0</v>
      </c>
      <c r="AV20" s="136">
        <v>953</v>
      </c>
      <c r="AW20" s="136">
        <v>0</v>
      </c>
      <c r="AX20" s="136">
        <v>0</v>
      </c>
      <c r="AY20" s="136">
        <v>93220</v>
      </c>
      <c r="AZ20" s="136">
        <v>0</v>
      </c>
      <c r="BA20" s="136">
        <v>56191</v>
      </c>
      <c r="BB20" s="136">
        <v>706323</v>
      </c>
      <c r="BC20" s="136">
        <v>40348</v>
      </c>
      <c r="BD20" s="136">
        <v>14327</v>
      </c>
      <c r="BE20" s="136">
        <v>461494</v>
      </c>
      <c r="BF20" s="136">
        <v>0</v>
      </c>
      <c r="BG20" s="136">
        <v>0</v>
      </c>
      <c r="BH20" s="136">
        <v>34107</v>
      </c>
      <c r="BI20" s="136">
        <v>0</v>
      </c>
      <c r="BJ20" s="136">
        <v>57985</v>
      </c>
      <c r="BK20" s="136">
        <v>0</v>
      </c>
      <c r="BL20" s="136">
        <v>0</v>
      </c>
      <c r="BM20" s="136">
        <v>42664</v>
      </c>
      <c r="BN20" s="136">
        <v>90138</v>
      </c>
      <c r="BO20" s="136">
        <v>58432</v>
      </c>
      <c r="BP20" s="136">
        <v>17290</v>
      </c>
      <c r="BQ20" s="136">
        <v>466544</v>
      </c>
      <c r="BR20" s="136">
        <v>0</v>
      </c>
      <c r="BS20" s="136">
        <v>206396</v>
      </c>
      <c r="BT20" s="136">
        <v>230627</v>
      </c>
      <c r="BU20" s="136">
        <v>9242</v>
      </c>
      <c r="BV20" s="136">
        <v>37022</v>
      </c>
      <c r="BW20" s="136">
        <v>0</v>
      </c>
      <c r="BX20" s="136">
        <v>0</v>
      </c>
      <c r="BY20" s="136">
        <v>82593</v>
      </c>
      <c r="BZ20" s="136">
        <v>380417</v>
      </c>
      <c r="CA20" s="136">
        <v>0</v>
      </c>
      <c r="CB20" s="136">
        <v>80504</v>
      </c>
      <c r="CC20" s="136">
        <v>0</v>
      </c>
      <c r="CD20" s="136">
        <v>0</v>
      </c>
      <c r="CE20" s="136">
        <v>0</v>
      </c>
      <c r="CF20" s="136">
        <v>2841</v>
      </c>
      <c r="CG20" s="136">
        <v>0</v>
      </c>
      <c r="CH20" s="136">
        <v>0</v>
      </c>
      <c r="CI20" s="136">
        <v>0</v>
      </c>
      <c r="CJ20" s="136">
        <v>0</v>
      </c>
      <c r="CK20" s="136">
        <v>0</v>
      </c>
      <c r="CL20" s="136">
        <v>86280</v>
      </c>
      <c r="CM20" s="136">
        <v>0</v>
      </c>
      <c r="CN20" s="136">
        <v>0</v>
      </c>
      <c r="CO20" s="136">
        <v>182325</v>
      </c>
      <c r="CP20" s="136">
        <v>0</v>
      </c>
      <c r="CQ20" s="136">
        <v>121344</v>
      </c>
      <c r="CR20" s="136">
        <v>261032</v>
      </c>
      <c r="CS20" s="136">
        <v>11500</v>
      </c>
      <c r="CT20" s="136">
        <v>22559</v>
      </c>
      <c r="CU20" s="136">
        <v>519686</v>
      </c>
      <c r="CV20" s="136">
        <v>0</v>
      </c>
      <c r="CW20" s="136">
        <v>268258</v>
      </c>
      <c r="CX20" s="136">
        <v>2336068</v>
      </c>
      <c r="CY20" s="136">
        <v>597575</v>
      </c>
      <c r="CZ20" s="136">
        <v>46652</v>
      </c>
      <c r="DA20" s="136"/>
      <c r="DB20" s="136"/>
      <c r="DC20" s="136"/>
      <c r="DD20" s="136"/>
      <c r="DE20" s="136"/>
      <c r="DF20" s="136"/>
      <c r="DG20" s="136">
        <v>428342</v>
      </c>
      <c r="DH20" s="136">
        <v>0</v>
      </c>
      <c r="DI20" s="136">
        <v>0</v>
      </c>
      <c r="DJ20" s="136">
        <v>2568200</v>
      </c>
      <c r="DK20" s="136">
        <v>0</v>
      </c>
      <c r="DL20" s="136">
        <v>0</v>
      </c>
      <c r="DM20" s="136">
        <v>0</v>
      </c>
      <c r="DN20" s="136">
        <v>0</v>
      </c>
      <c r="DO20" s="136">
        <v>0</v>
      </c>
      <c r="DP20" s="136">
        <v>0</v>
      </c>
      <c r="DQ20" s="136">
        <v>0</v>
      </c>
      <c r="DR20" s="136">
        <v>0</v>
      </c>
      <c r="DS20" s="136"/>
      <c r="DT20" s="136"/>
      <c r="DU20" s="136"/>
      <c r="DV20" s="136"/>
      <c r="DW20" s="136"/>
      <c r="DX20" s="136"/>
      <c r="DY20" s="136">
        <v>0</v>
      </c>
      <c r="DZ20" s="136">
        <v>0</v>
      </c>
      <c r="EA20" s="136">
        <v>0</v>
      </c>
      <c r="EB20" s="136">
        <v>0</v>
      </c>
      <c r="EC20" s="136">
        <v>0</v>
      </c>
      <c r="ED20" s="136">
        <v>0</v>
      </c>
      <c r="EE20" s="136">
        <v>0</v>
      </c>
      <c r="EF20" s="136">
        <v>0</v>
      </c>
      <c r="EG20" s="136">
        <v>0</v>
      </c>
      <c r="EH20" s="136">
        <v>0</v>
      </c>
      <c r="EI20" s="136">
        <v>0</v>
      </c>
      <c r="EJ20" s="136">
        <v>0</v>
      </c>
      <c r="EK20" s="136"/>
      <c r="EL20" s="136"/>
      <c r="EM20" s="136"/>
      <c r="EN20" s="136"/>
      <c r="EO20" s="136"/>
      <c r="EP20" s="136"/>
      <c r="EQ20" s="136">
        <v>0</v>
      </c>
      <c r="ER20" s="136">
        <v>0</v>
      </c>
      <c r="ES20" s="136">
        <v>0</v>
      </c>
      <c r="ET20" s="136">
        <v>0</v>
      </c>
      <c r="EU20" s="136">
        <v>0</v>
      </c>
      <c r="EV20" s="136">
        <v>0</v>
      </c>
      <c r="EW20" s="136"/>
      <c r="EX20" s="136"/>
      <c r="EY20" s="136"/>
      <c r="EZ20" s="136"/>
      <c r="FA20" s="136"/>
      <c r="FB20" s="136"/>
      <c r="FC20" s="136">
        <v>0</v>
      </c>
      <c r="FD20" s="136">
        <v>0</v>
      </c>
      <c r="FE20" s="136">
        <v>0</v>
      </c>
      <c r="FF20" s="136">
        <v>0</v>
      </c>
      <c r="FG20" s="136">
        <v>0</v>
      </c>
      <c r="FH20" s="136">
        <v>0</v>
      </c>
      <c r="FI20" s="136"/>
      <c r="FJ20" s="136"/>
      <c r="FK20" s="136"/>
      <c r="FL20" s="136"/>
      <c r="FM20" s="136"/>
      <c r="FN20" s="136"/>
      <c r="FO20" s="136">
        <v>0</v>
      </c>
      <c r="FP20" s="136">
        <v>0</v>
      </c>
      <c r="FQ20" s="136">
        <v>0</v>
      </c>
      <c r="FR20" s="136">
        <v>0</v>
      </c>
      <c r="FS20" s="136">
        <v>0</v>
      </c>
      <c r="FT20" s="136">
        <v>0</v>
      </c>
      <c r="FU20" s="136">
        <v>0</v>
      </c>
      <c r="FV20" s="136">
        <v>0</v>
      </c>
      <c r="FW20" s="136">
        <v>0</v>
      </c>
      <c r="FX20" s="136">
        <v>0</v>
      </c>
      <c r="FY20" s="136">
        <v>0</v>
      </c>
      <c r="FZ20" s="136">
        <v>0</v>
      </c>
      <c r="GA20" s="136">
        <v>0</v>
      </c>
      <c r="GB20" s="136">
        <v>0</v>
      </c>
      <c r="GC20" s="136">
        <v>0</v>
      </c>
      <c r="GD20" s="136">
        <v>0</v>
      </c>
      <c r="GE20" s="136">
        <v>0</v>
      </c>
      <c r="GF20" s="136">
        <v>0</v>
      </c>
      <c r="GG20" s="136">
        <v>0</v>
      </c>
      <c r="GH20" s="136">
        <v>0</v>
      </c>
      <c r="GI20" s="136">
        <v>0</v>
      </c>
      <c r="GJ20" s="136">
        <v>0</v>
      </c>
      <c r="GK20" s="136">
        <v>0</v>
      </c>
      <c r="GL20" s="136">
        <v>0</v>
      </c>
      <c r="GM20" s="136">
        <v>0</v>
      </c>
      <c r="GN20" s="136">
        <v>0</v>
      </c>
      <c r="GO20" s="136">
        <v>0</v>
      </c>
      <c r="GP20" s="136">
        <v>0</v>
      </c>
      <c r="GQ20" s="136">
        <v>0</v>
      </c>
      <c r="GR20" s="136">
        <v>0</v>
      </c>
      <c r="GS20" s="136">
        <v>100095565</v>
      </c>
      <c r="GT20" s="136">
        <v>11936333</v>
      </c>
      <c r="GU20" s="136">
        <v>334987806</v>
      </c>
      <c r="GV20" s="35" t="s">
        <v>352</v>
      </c>
      <c r="GW20" s="137">
        <v>9362943405</v>
      </c>
      <c r="GX20" s="35" t="s">
        <v>353</v>
      </c>
      <c r="GY20" s="136">
        <v>11629153</v>
      </c>
      <c r="GZ20" s="136">
        <v>-6626750</v>
      </c>
      <c r="HA20" s="136">
        <v>287296</v>
      </c>
      <c r="HB20" s="136">
        <v>574560</v>
      </c>
      <c r="HC20" s="136">
        <v>0</v>
      </c>
      <c r="HD20" s="136">
        <v>97966</v>
      </c>
      <c r="HE20" s="136">
        <v>19667</v>
      </c>
      <c r="HF20" s="136">
        <v>0</v>
      </c>
      <c r="HG20" s="136">
        <v>0</v>
      </c>
      <c r="HH20" s="136">
        <v>0</v>
      </c>
      <c r="HI20" s="35" t="s">
        <v>439</v>
      </c>
      <c r="HJ20" s="35" t="s">
        <v>439</v>
      </c>
      <c r="HK20" s="35" t="s">
        <v>439</v>
      </c>
      <c r="HL20"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3307130</v>
      </c>
      <c r="HM20"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20"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1046016</v>
      </c>
      <c r="HO20"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4647703</v>
      </c>
      <c r="HP20"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771818</v>
      </c>
      <c r="HQ20"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315188</v>
      </c>
      <c r="HR20"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5981892</v>
      </c>
    </row>
    <row r="21" spans="1:226">
      <c r="A21" s="35" t="s">
        <v>398</v>
      </c>
      <c r="B21" s="37" t="s">
        <v>384</v>
      </c>
      <c r="C21" s="37">
        <v>530</v>
      </c>
      <c r="D21" s="37" t="s">
        <v>835</v>
      </c>
      <c r="E21" s="103">
        <v>103606</v>
      </c>
      <c r="F21" s="136">
        <v>0</v>
      </c>
      <c r="G21" s="136">
        <v>0</v>
      </c>
      <c r="H21" s="136">
        <v>547948</v>
      </c>
      <c r="I21" s="136">
        <v>35747</v>
      </c>
      <c r="J21" s="136">
        <v>132706</v>
      </c>
      <c r="K21" s="136">
        <v>0</v>
      </c>
      <c r="L21" s="136">
        <v>0</v>
      </c>
      <c r="M21" s="136">
        <v>0</v>
      </c>
      <c r="N21" s="136">
        <v>0</v>
      </c>
      <c r="O21" s="136">
        <v>0</v>
      </c>
      <c r="P21" s="136">
        <v>0</v>
      </c>
      <c r="Q21" s="136">
        <v>0</v>
      </c>
      <c r="R21" s="136">
        <v>0</v>
      </c>
      <c r="S21" s="136">
        <v>0</v>
      </c>
      <c r="T21" s="136">
        <v>0</v>
      </c>
      <c r="U21" s="136">
        <v>0</v>
      </c>
      <c r="V21" s="136">
        <v>0</v>
      </c>
      <c r="W21" s="136">
        <v>0</v>
      </c>
      <c r="X21" s="136">
        <v>0</v>
      </c>
      <c r="Y21" s="136">
        <v>0</v>
      </c>
      <c r="Z21" s="136">
        <v>0</v>
      </c>
      <c r="AA21" s="136">
        <v>0</v>
      </c>
      <c r="AB21" s="136">
        <v>0</v>
      </c>
      <c r="AC21" s="136">
        <v>0</v>
      </c>
      <c r="AD21" s="136">
        <v>0</v>
      </c>
      <c r="AE21" s="136">
        <v>0</v>
      </c>
      <c r="AF21" s="136">
        <v>0</v>
      </c>
      <c r="AG21" s="136">
        <v>0</v>
      </c>
      <c r="AH21" s="136">
        <v>0</v>
      </c>
      <c r="AI21" s="136">
        <v>0</v>
      </c>
      <c r="AJ21" s="136">
        <v>0</v>
      </c>
      <c r="AK21" s="136">
        <v>0</v>
      </c>
      <c r="AL21" s="136">
        <v>0</v>
      </c>
      <c r="AM21" s="136">
        <v>0</v>
      </c>
      <c r="AN21" s="136">
        <v>0</v>
      </c>
      <c r="AO21" s="136">
        <v>0</v>
      </c>
      <c r="AP21" s="136">
        <v>0</v>
      </c>
      <c r="AQ21" s="136">
        <v>0</v>
      </c>
      <c r="AR21" s="136">
        <v>0</v>
      </c>
      <c r="AS21" s="136">
        <v>0</v>
      </c>
      <c r="AT21" s="136">
        <v>0</v>
      </c>
      <c r="AU21" s="136">
        <v>0</v>
      </c>
      <c r="AV21" s="136">
        <v>0</v>
      </c>
      <c r="AW21" s="136">
        <v>0</v>
      </c>
      <c r="AX21" s="136">
        <v>0</v>
      </c>
      <c r="AY21" s="136">
        <v>93220</v>
      </c>
      <c r="AZ21" s="136">
        <v>0</v>
      </c>
      <c r="BA21" s="136">
        <v>0</v>
      </c>
      <c r="BB21" s="136">
        <v>582591</v>
      </c>
      <c r="BC21" s="136">
        <v>40348</v>
      </c>
      <c r="BD21" s="136">
        <v>242</v>
      </c>
      <c r="BE21" s="136">
        <v>0</v>
      </c>
      <c r="BF21" s="136">
        <v>0</v>
      </c>
      <c r="BG21" s="136">
        <v>0</v>
      </c>
      <c r="BH21" s="136">
        <v>0</v>
      </c>
      <c r="BI21" s="136">
        <v>0</v>
      </c>
      <c r="BJ21" s="136">
        <v>0</v>
      </c>
      <c r="BK21" s="136">
        <v>0</v>
      </c>
      <c r="BL21" s="136">
        <v>0</v>
      </c>
      <c r="BM21" s="136">
        <v>0</v>
      </c>
      <c r="BN21" s="136">
        <v>0</v>
      </c>
      <c r="BO21" s="136">
        <v>0</v>
      </c>
      <c r="BP21" s="136">
        <v>0</v>
      </c>
      <c r="BQ21" s="136">
        <v>0</v>
      </c>
      <c r="BR21" s="136">
        <v>0</v>
      </c>
      <c r="BS21" s="136">
        <v>0</v>
      </c>
      <c r="BT21" s="136">
        <v>0</v>
      </c>
      <c r="BU21" s="136">
        <v>0</v>
      </c>
      <c r="BV21" s="136">
        <v>0</v>
      </c>
      <c r="BW21" s="136">
        <v>0</v>
      </c>
      <c r="BX21" s="136">
        <v>0</v>
      </c>
      <c r="BY21" s="136">
        <v>0</v>
      </c>
      <c r="BZ21" s="136">
        <v>0</v>
      </c>
      <c r="CA21" s="136">
        <v>0</v>
      </c>
      <c r="CB21" s="136">
        <v>0</v>
      </c>
      <c r="CC21" s="136">
        <v>0</v>
      </c>
      <c r="CD21" s="136">
        <v>0</v>
      </c>
      <c r="CE21" s="136">
        <v>0</v>
      </c>
      <c r="CF21" s="136">
        <v>0</v>
      </c>
      <c r="CG21" s="136">
        <v>0</v>
      </c>
      <c r="CH21" s="136">
        <v>0</v>
      </c>
      <c r="CI21" s="136">
        <v>0</v>
      </c>
      <c r="CJ21" s="136">
        <v>0</v>
      </c>
      <c r="CK21" s="136">
        <v>0</v>
      </c>
      <c r="CL21" s="136">
        <v>0</v>
      </c>
      <c r="CM21" s="136">
        <v>0</v>
      </c>
      <c r="CN21" s="136">
        <v>0</v>
      </c>
      <c r="CO21" s="136">
        <v>0</v>
      </c>
      <c r="CP21" s="136">
        <v>0</v>
      </c>
      <c r="CQ21" s="136">
        <v>0</v>
      </c>
      <c r="CR21" s="136">
        <v>0</v>
      </c>
      <c r="CS21" s="136">
        <v>0</v>
      </c>
      <c r="CT21" s="136">
        <v>0</v>
      </c>
      <c r="CU21" s="136">
        <v>0</v>
      </c>
      <c r="CV21" s="136">
        <v>0</v>
      </c>
      <c r="CW21" s="136">
        <v>0</v>
      </c>
      <c r="CX21" s="136">
        <v>0</v>
      </c>
      <c r="CY21" s="136">
        <v>0</v>
      </c>
      <c r="CZ21" s="136">
        <v>0</v>
      </c>
      <c r="DA21" s="136"/>
      <c r="DB21" s="136"/>
      <c r="DC21" s="136"/>
      <c r="DD21" s="136"/>
      <c r="DE21" s="136"/>
      <c r="DF21" s="136"/>
      <c r="DG21" s="136">
        <v>0</v>
      </c>
      <c r="DH21" s="136">
        <v>0</v>
      </c>
      <c r="DI21" s="136">
        <v>0</v>
      </c>
      <c r="DJ21" s="136">
        <v>0</v>
      </c>
      <c r="DK21" s="136">
        <v>0</v>
      </c>
      <c r="DL21" s="136">
        <v>0</v>
      </c>
      <c r="DM21" s="136"/>
      <c r="DN21" s="136"/>
      <c r="DO21" s="136"/>
      <c r="DP21" s="136"/>
      <c r="DQ21" s="136"/>
      <c r="DR21" s="136"/>
      <c r="DS21" s="136">
        <v>0</v>
      </c>
      <c r="DT21" s="136">
        <v>0</v>
      </c>
      <c r="DU21" s="136">
        <v>0</v>
      </c>
      <c r="DV21" s="136">
        <v>0</v>
      </c>
      <c r="DW21" s="136">
        <v>0</v>
      </c>
      <c r="DX21" s="136">
        <v>0</v>
      </c>
      <c r="DY21" s="136"/>
      <c r="DZ21" s="136"/>
      <c r="EA21" s="136"/>
      <c r="EB21" s="136"/>
      <c r="EC21" s="136"/>
      <c r="ED21" s="136"/>
      <c r="EE21" s="136">
        <v>0</v>
      </c>
      <c r="EF21" s="136">
        <v>0</v>
      </c>
      <c r="EG21" s="136">
        <v>0</v>
      </c>
      <c r="EH21" s="136">
        <v>0</v>
      </c>
      <c r="EI21" s="136">
        <v>0</v>
      </c>
      <c r="EJ21" s="136">
        <v>0</v>
      </c>
      <c r="EK21" s="136">
        <v>0</v>
      </c>
      <c r="EL21" s="136">
        <v>0</v>
      </c>
      <c r="EM21" s="136">
        <v>0</v>
      </c>
      <c r="EN21" s="136">
        <v>0</v>
      </c>
      <c r="EO21" s="136">
        <v>0</v>
      </c>
      <c r="EP21" s="136">
        <v>0</v>
      </c>
      <c r="EQ21" s="136"/>
      <c r="ER21" s="136"/>
      <c r="ES21" s="136"/>
      <c r="ET21" s="136"/>
      <c r="EU21" s="136"/>
      <c r="EV21" s="136"/>
      <c r="EW21" s="136">
        <v>0</v>
      </c>
      <c r="EX21" s="136">
        <v>0</v>
      </c>
      <c r="EY21" s="136">
        <v>0</v>
      </c>
      <c r="EZ21" s="136">
        <v>0</v>
      </c>
      <c r="FA21" s="136">
        <v>0</v>
      </c>
      <c r="FB21" s="136">
        <v>0</v>
      </c>
      <c r="FC21" s="136"/>
      <c r="FD21" s="136"/>
      <c r="FE21" s="136"/>
      <c r="FF21" s="136"/>
      <c r="FG21" s="136"/>
      <c r="FH21" s="136"/>
      <c r="FI21" s="136">
        <v>0</v>
      </c>
      <c r="FJ21" s="136">
        <v>0</v>
      </c>
      <c r="FK21" s="136">
        <v>0</v>
      </c>
      <c r="FL21" s="136">
        <v>0</v>
      </c>
      <c r="FM21" s="136">
        <v>0</v>
      </c>
      <c r="FN21" s="136">
        <v>0</v>
      </c>
      <c r="FO21" s="136"/>
      <c r="FP21" s="136"/>
      <c r="FQ21" s="136"/>
      <c r="FR21" s="136"/>
      <c r="FS21" s="136"/>
      <c r="FT21" s="136"/>
      <c r="FU21" s="136"/>
      <c r="FV21" s="136"/>
      <c r="FW21" s="136"/>
      <c r="FX21" s="136"/>
      <c r="FY21" s="136"/>
      <c r="FZ21" s="136"/>
      <c r="GA21" s="136"/>
      <c r="GB21" s="136"/>
      <c r="GC21" s="136"/>
      <c r="GD21" s="136"/>
      <c r="GE21" s="136"/>
      <c r="GF21" s="136"/>
      <c r="GG21" s="136">
        <v>0</v>
      </c>
      <c r="GH21" s="136">
        <v>0</v>
      </c>
      <c r="GI21" s="136">
        <v>0</v>
      </c>
      <c r="GJ21" s="136">
        <v>0</v>
      </c>
      <c r="GK21" s="136">
        <v>0</v>
      </c>
      <c r="GL21" s="136">
        <v>0</v>
      </c>
      <c r="GM21" s="136">
        <v>0</v>
      </c>
      <c r="GN21" s="136">
        <v>0</v>
      </c>
      <c r="GO21" s="136">
        <v>0</v>
      </c>
      <c r="GP21" s="136">
        <v>0</v>
      </c>
      <c r="GQ21" s="136">
        <v>0</v>
      </c>
      <c r="GR21" s="136">
        <v>0</v>
      </c>
      <c r="GS21" s="136">
        <v>1189731</v>
      </c>
      <c r="GT21" s="136">
        <v>680654</v>
      </c>
      <c r="GU21" s="136">
        <v>19177896</v>
      </c>
      <c r="GV21" s="35" t="s">
        <v>352</v>
      </c>
      <c r="GW21" s="137">
        <v>9362943405</v>
      </c>
      <c r="GX21" s="35" t="s">
        <v>354</v>
      </c>
      <c r="GY21" s="136">
        <v>547948</v>
      </c>
      <c r="GZ21" s="136" t="s">
        <v>439</v>
      </c>
      <c r="HA21" s="136" t="s">
        <v>439</v>
      </c>
      <c r="HB21" s="136" t="s">
        <v>439</v>
      </c>
      <c r="HC21" s="136" t="s">
        <v>439</v>
      </c>
      <c r="HD21" s="136" t="s">
        <v>439</v>
      </c>
      <c r="HE21" s="136" t="s">
        <v>439</v>
      </c>
      <c r="HF21" s="136" t="s">
        <v>439</v>
      </c>
      <c r="HG21" s="136" t="s">
        <v>439</v>
      </c>
      <c r="HH21" s="136" t="s">
        <v>439</v>
      </c>
      <c r="HI21" s="35" t="s">
        <v>439</v>
      </c>
      <c r="HJ21" s="35" t="s">
        <v>439</v>
      </c>
      <c r="HK21" s="35" t="s">
        <v>439</v>
      </c>
      <c r="HL21"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93220</v>
      </c>
      <c r="HM21"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21"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21"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582591</v>
      </c>
      <c r="HP21"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40348</v>
      </c>
      <c r="HQ21"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242</v>
      </c>
      <c r="HR21"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547948</v>
      </c>
    </row>
    <row r="22" spans="1:226">
      <c r="A22" s="35" t="s">
        <v>312</v>
      </c>
      <c r="B22" s="37" t="s">
        <v>703</v>
      </c>
      <c r="D22" s="37" t="s">
        <v>835</v>
      </c>
      <c r="E22" s="103">
        <v>3613</v>
      </c>
      <c r="F22" s="136">
        <v>632577</v>
      </c>
      <c r="G22" s="136">
        <v>0</v>
      </c>
      <c r="H22" s="136">
        <v>41130760</v>
      </c>
      <c r="I22" s="136">
        <v>5693638</v>
      </c>
      <c r="J22" s="136">
        <v>143905</v>
      </c>
      <c r="K22" s="136">
        <v>0</v>
      </c>
      <c r="L22" s="136">
        <v>0</v>
      </c>
      <c r="M22" s="136">
        <v>4936757</v>
      </c>
      <c r="N22" s="136">
        <v>2114647</v>
      </c>
      <c r="O22" s="136">
        <v>0</v>
      </c>
      <c r="P22" s="136">
        <v>0</v>
      </c>
      <c r="Q22" s="136">
        <v>0</v>
      </c>
      <c r="R22" s="136">
        <v>0</v>
      </c>
      <c r="S22" s="136">
        <v>0</v>
      </c>
      <c r="T22" s="136">
        <v>0</v>
      </c>
      <c r="U22" s="136">
        <v>1358525</v>
      </c>
      <c r="V22" s="136">
        <v>0</v>
      </c>
      <c r="W22" s="136">
        <v>183451</v>
      </c>
      <c r="X22" s="136">
        <v>761419</v>
      </c>
      <c r="Y22" s="136">
        <v>46122</v>
      </c>
      <c r="Z22" s="136">
        <v>72956</v>
      </c>
      <c r="AA22" s="136">
        <v>465129</v>
      </c>
      <c r="AB22" s="136">
        <v>0</v>
      </c>
      <c r="AC22" s="136">
        <v>62462</v>
      </c>
      <c r="AD22" s="136">
        <v>158505</v>
      </c>
      <c r="AE22" s="136">
        <v>29443</v>
      </c>
      <c r="AF22" s="136">
        <v>12824</v>
      </c>
      <c r="AG22" s="136">
        <v>3117614</v>
      </c>
      <c r="AH22" s="136">
        <v>0</v>
      </c>
      <c r="AI22" s="136">
        <v>159856</v>
      </c>
      <c r="AJ22" s="136">
        <v>3372606</v>
      </c>
      <c r="AK22" s="136">
        <v>1345887</v>
      </c>
      <c r="AL22" s="136">
        <v>43211</v>
      </c>
      <c r="AM22" s="136">
        <v>4522734</v>
      </c>
      <c r="AN22" s="136">
        <v>0</v>
      </c>
      <c r="AO22" s="136">
        <v>221382</v>
      </c>
      <c r="AP22" s="136">
        <v>630194</v>
      </c>
      <c r="AQ22" s="136">
        <v>124380</v>
      </c>
      <c r="AR22" s="136">
        <v>0</v>
      </c>
      <c r="AS22" s="136">
        <v>1321453</v>
      </c>
      <c r="AT22" s="136">
        <v>0</v>
      </c>
      <c r="AU22" s="136">
        <v>0</v>
      </c>
      <c r="AV22" s="136">
        <v>73017</v>
      </c>
      <c r="AW22" s="136">
        <v>5981</v>
      </c>
      <c r="AX22" s="136">
        <v>4458</v>
      </c>
      <c r="AY22" s="136">
        <v>0</v>
      </c>
      <c r="AZ22" s="136">
        <v>0</v>
      </c>
      <c r="BA22" s="136">
        <v>0</v>
      </c>
      <c r="BB22" s="136">
        <v>0</v>
      </c>
      <c r="BC22" s="136">
        <v>0</v>
      </c>
      <c r="BD22" s="136">
        <v>0</v>
      </c>
      <c r="BE22" s="136">
        <v>2881598</v>
      </c>
      <c r="BF22" s="136">
        <v>0</v>
      </c>
      <c r="BG22" s="136">
        <v>0</v>
      </c>
      <c r="BH22" s="136">
        <v>1149544</v>
      </c>
      <c r="BI22" s="136">
        <v>3800</v>
      </c>
      <c r="BJ22" s="136">
        <v>478340</v>
      </c>
      <c r="BK22" s="136">
        <v>1304709</v>
      </c>
      <c r="BL22" s="136">
        <v>0</v>
      </c>
      <c r="BM22" s="136">
        <v>0</v>
      </c>
      <c r="BN22" s="136">
        <v>241447</v>
      </c>
      <c r="BO22" s="136">
        <v>0</v>
      </c>
      <c r="BP22" s="136">
        <v>20500</v>
      </c>
      <c r="BQ22" s="136">
        <v>808944</v>
      </c>
      <c r="BR22" s="136">
        <v>0</v>
      </c>
      <c r="BS22" s="136">
        <v>0</v>
      </c>
      <c r="BT22" s="136">
        <v>628145</v>
      </c>
      <c r="BU22" s="136">
        <v>0</v>
      </c>
      <c r="BV22" s="136">
        <v>60180</v>
      </c>
      <c r="BW22" s="136">
        <v>535125</v>
      </c>
      <c r="BX22" s="136">
        <v>0</v>
      </c>
      <c r="BY22" s="136">
        <v>0</v>
      </c>
      <c r="BZ22" s="136">
        <v>154505</v>
      </c>
      <c r="CA22" s="136">
        <v>0</v>
      </c>
      <c r="CB22" s="136">
        <v>168440</v>
      </c>
      <c r="CC22" s="136">
        <v>22384</v>
      </c>
      <c r="CD22" s="136">
        <v>0</v>
      </c>
      <c r="CE22" s="136">
        <v>5049</v>
      </c>
      <c r="CF22" s="136">
        <v>2778654</v>
      </c>
      <c r="CG22" s="136">
        <v>0</v>
      </c>
      <c r="CH22" s="136">
        <v>0</v>
      </c>
      <c r="CI22" s="136">
        <v>0</v>
      </c>
      <c r="CJ22" s="136">
        <v>0</v>
      </c>
      <c r="CK22" s="136">
        <v>0</v>
      </c>
      <c r="CL22" s="136">
        <v>2860887</v>
      </c>
      <c r="CM22" s="136">
        <v>1620</v>
      </c>
      <c r="CN22" s="136">
        <v>327475</v>
      </c>
      <c r="CO22" s="136">
        <v>3811467</v>
      </c>
      <c r="CP22" s="136">
        <v>0</v>
      </c>
      <c r="CQ22" s="136">
        <v>664884</v>
      </c>
      <c r="CR22" s="136">
        <v>2322037</v>
      </c>
      <c r="CS22" s="136">
        <v>13974</v>
      </c>
      <c r="CT22" s="136">
        <v>1661641</v>
      </c>
      <c r="CU22" s="136">
        <v>0</v>
      </c>
      <c r="CV22" s="136">
        <v>0</v>
      </c>
      <c r="CW22" s="136">
        <v>0</v>
      </c>
      <c r="CX22" s="136">
        <v>2594285</v>
      </c>
      <c r="CY22" s="136">
        <v>0</v>
      </c>
      <c r="CZ22" s="136">
        <v>679711</v>
      </c>
      <c r="DA22" s="136"/>
      <c r="DB22" s="136"/>
      <c r="DC22" s="136"/>
      <c r="DD22" s="136"/>
      <c r="DE22" s="136"/>
      <c r="DF22" s="136"/>
      <c r="DG22" s="136">
        <v>0</v>
      </c>
      <c r="DH22" s="136">
        <v>0</v>
      </c>
      <c r="DI22" s="136">
        <v>0</v>
      </c>
      <c r="DJ22" s="136">
        <v>2694691</v>
      </c>
      <c r="DK22" s="136">
        <v>0</v>
      </c>
      <c r="DL22" s="136">
        <v>658</v>
      </c>
      <c r="DM22" s="136">
        <v>0</v>
      </c>
      <c r="DN22" s="136">
        <v>0</v>
      </c>
      <c r="DO22" s="136">
        <v>0</v>
      </c>
      <c r="DP22" s="136">
        <v>0</v>
      </c>
      <c r="DQ22" s="136">
        <v>0</v>
      </c>
      <c r="DR22" s="136">
        <v>0</v>
      </c>
      <c r="DS22" s="136"/>
      <c r="DT22" s="136"/>
      <c r="DU22" s="136"/>
      <c r="DV22" s="136"/>
      <c r="DW22" s="136"/>
      <c r="DX22" s="136"/>
      <c r="DY22" s="136">
        <v>0</v>
      </c>
      <c r="DZ22" s="136">
        <v>0</v>
      </c>
      <c r="EA22" s="136">
        <v>0</v>
      </c>
      <c r="EB22" s="136">
        <v>0</v>
      </c>
      <c r="EC22" s="136">
        <v>0</v>
      </c>
      <c r="ED22" s="136">
        <v>0</v>
      </c>
      <c r="EE22" s="136">
        <v>0</v>
      </c>
      <c r="EF22" s="136">
        <v>0</v>
      </c>
      <c r="EG22" s="136">
        <v>0</v>
      </c>
      <c r="EH22" s="136">
        <v>0</v>
      </c>
      <c r="EI22" s="136">
        <v>0</v>
      </c>
      <c r="EJ22" s="136">
        <v>0</v>
      </c>
      <c r="EK22" s="136"/>
      <c r="EL22" s="136"/>
      <c r="EM22" s="136"/>
      <c r="EN22" s="136"/>
      <c r="EO22" s="136"/>
      <c r="EP22" s="136"/>
      <c r="EQ22" s="136">
        <v>0</v>
      </c>
      <c r="ER22" s="136">
        <v>0</v>
      </c>
      <c r="ES22" s="136">
        <v>0</v>
      </c>
      <c r="ET22" s="136">
        <v>0</v>
      </c>
      <c r="EU22" s="136">
        <v>0</v>
      </c>
      <c r="EV22" s="136">
        <v>0</v>
      </c>
      <c r="EW22" s="136"/>
      <c r="EX22" s="136"/>
      <c r="EY22" s="136"/>
      <c r="EZ22" s="136"/>
      <c r="FA22" s="136"/>
      <c r="FB22" s="136"/>
      <c r="FC22" s="136">
        <v>0</v>
      </c>
      <c r="FD22" s="136">
        <v>0</v>
      </c>
      <c r="FE22" s="136">
        <v>0</v>
      </c>
      <c r="FF22" s="136">
        <v>0</v>
      </c>
      <c r="FG22" s="136">
        <v>0</v>
      </c>
      <c r="FH22" s="136">
        <v>0</v>
      </c>
      <c r="FI22" s="136"/>
      <c r="FJ22" s="136"/>
      <c r="FK22" s="136"/>
      <c r="FL22" s="136"/>
      <c r="FM22" s="136"/>
      <c r="FN22" s="136"/>
      <c r="FO22" s="136">
        <v>0</v>
      </c>
      <c r="FP22" s="136">
        <v>0</v>
      </c>
      <c r="FQ22" s="136">
        <v>0</v>
      </c>
      <c r="FR22" s="136">
        <v>0</v>
      </c>
      <c r="FS22" s="136">
        <v>0</v>
      </c>
      <c r="FT22" s="136">
        <v>0</v>
      </c>
      <c r="FU22" s="136">
        <v>0</v>
      </c>
      <c r="FV22" s="136">
        <v>0</v>
      </c>
      <c r="FW22" s="136">
        <v>0</v>
      </c>
      <c r="FX22" s="136">
        <v>0</v>
      </c>
      <c r="FY22" s="136">
        <v>0</v>
      </c>
      <c r="FZ22" s="136">
        <v>0</v>
      </c>
      <c r="GA22" s="136">
        <v>0</v>
      </c>
      <c r="GB22" s="136">
        <v>0</v>
      </c>
      <c r="GC22" s="136">
        <v>0</v>
      </c>
      <c r="GD22" s="136">
        <v>0</v>
      </c>
      <c r="GE22" s="136">
        <v>0</v>
      </c>
      <c r="GF22" s="136">
        <v>0</v>
      </c>
      <c r="GG22" s="136">
        <v>0</v>
      </c>
      <c r="GH22" s="136">
        <v>0</v>
      </c>
      <c r="GI22" s="136">
        <v>0</v>
      </c>
      <c r="GJ22" s="136">
        <v>0</v>
      </c>
      <c r="GK22" s="136">
        <v>0</v>
      </c>
      <c r="GL22" s="136">
        <v>0</v>
      </c>
      <c r="GM22" s="136">
        <v>0</v>
      </c>
      <c r="GN22" s="136">
        <v>0</v>
      </c>
      <c r="GO22" s="136">
        <v>0</v>
      </c>
      <c r="GP22" s="136">
        <v>0</v>
      </c>
      <c r="GQ22" s="136">
        <v>0</v>
      </c>
      <c r="GR22" s="136">
        <v>0</v>
      </c>
      <c r="GS22" s="136">
        <v>0</v>
      </c>
      <c r="GT22" s="136">
        <v>0</v>
      </c>
      <c r="GU22" s="136">
        <v>0</v>
      </c>
      <c r="GW22" s="137"/>
      <c r="GY22" s="136">
        <v>41763337</v>
      </c>
      <c r="GZ22" s="136" t="s">
        <v>439</v>
      </c>
      <c r="HA22" s="136" t="s">
        <v>439</v>
      </c>
      <c r="HB22" s="136" t="s">
        <v>439</v>
      </c>
      <c r="HC22" s="136" t="s">
        <v>439</v>
      </c>
      <c r="HD22" s="136" t="s">
        <v>439</v>
      </c>
      <c r="HE22" s="136" t="s">
        <v>439</v>
      </c>
      <c r="HF22" s="136" t="s">
        <v>439</v>
      </c>
      <c r="HG22" s="136" t="s">
        <v>439</v>
      </c>
      <c r="HH22" s="136" t="s">
        <v>439</v>
      </c>
      <c r="HI22" s="35" t="s">
        <v>439</v>
      </c>
      <c r="HJ22" s="35" t="s">
        <v>439</v>
      </c>
      <c r="HK22" s="35" t="s">
        <v>439</v>
      </c>
      <c r="HL22"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20149682</v>
      </c>
      <c r="HM22"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22"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1297084</v>
      </c>
      <c r="HO22"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17725245</v>
      </c>
      <c r="HP22"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1571207</v>
      </c>
      <c r="HQ22"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3530394</v>
      </c>
      <c r="HR22"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41763337</v>
      </c>
    </row>
    <row r="23" spans="1:226">
      <c r="A23" s="35" t="s">
        <v>313</v>
      </c>
      <c r="B23" s="37" t="s">
        <v>703</v>
      </c>
      <c r="D23" s="37" t="s">
        <v>835</v>
      </c>
      <c r="E23" s="103">
        <v>3620</v>
      </c>
      <c r="F23" s="136">
        <v>433898</v>
      </c>
      <c r="G23" s="136">
        <v>0</v>
      </c>
      <c r="H23" s="136">
        <v>204373</v>
      </c>
      <c r="I23" s="136">
        <v>35494</v>
      </c>
      <c r="J23" s="136">
        <v>0</v>
      </c>
      <c r="K23" s="136">
        <v>0</v>
      </c>
      <c r="L23" s="136">
        <v>0</v>
      </c>
      <c r="M23" s="136">
        <v>0</v>
      </c>
      <c r="N23" s="136">
        <v>0</v>
      </c>
      <c r="O23" s="136">
        <v>0</v>
      </c>
      <c r="P23" s="136">
        <v>0</v>
      </c>
      <c r="Q23" s="136">
        <v>0</v>
      </c>
      <c r="R23" s="136">
        <v>0</v>
      </c>
      <c r="S23" s="136">
        <v>0</v>
      </c>
      <c r="T23" s="136">
        <v>0</v>
      </c>
      <c r="U23" s="136">
        <v>12588</v>
      </c>
      <c r="V23" s="136">
        <v>0</v>
      </c>
      <c r="W23" s="136">
        <v>0</v>
      </c>
      <c r="X23" s="136">
        <v>0</v>
      </c>
      <c r="Y23" s="136">
        <v>0</v>
      </c>
      <c r="Z23" s="136">
        <v>0</v>
      </c>
      <c r="AA23" s="136">
        <v>0</v>
      </c>
      <c r="AB23" s="136">
        <v>0</v>
      </c>
      <c r="AC23" s="136">
        <v>0</v>
      </c>
      <c r="AD23" s="136">
        <v>0</v>
      </c>
      <c r="AE23" s="136">
        <v>0</v>
      </c>
      <c r="AF23" s="136">
        <v>365</v>
      </c>
      <c r="AG23" s="136">
        <v>0</v>
      </c>
      <c r="AH23" s="136">
        <v>0</v>
      </c>
      <c r="AI23" s="136">
        <v>0</v>
      </c>
      <c r="AJ23" s="136">
        <v>0</v>
      </c>
      <c r="AK23" s="136">
        <v>0</v>
      </c>
      <c r="AL23" s="136">
        <v>0</v>
      </c>
      <c r="AM23" s="136">
        <v>32911</v>
      </c>
      <c r="AN23" s="136">
        <v>0</v>
      </c>
      <c r="AO23" s="136">
        <v>0</v>
      </c>
      <c r="AP23" s="136">
        <v>0</v>
      </c>
      <c r="AQ23" s="136">
        <v>11225</v>
      </c>
      <c r="AR23" s="136">
        <v>0</v>
      </c>
      <c r="AS23" s="136">
        <v>0</v>
      </c>
      <c r="AT23" s="136">
        <v>0</v>
      </c>
      <c r="AU23" s="136">
        <v>0</v>
      </c>
      <c r="AV23" s="136">
        <v>0</v>
      </c>
      <c r="AW23" s="136">
        <v>0</v>
      </c>
      <c r="AX23" s="136">
        <v>0</v>
      </c>
      <c r="AY23" s="136">
        <v>0</v>
      </c>
      <c r="AZ23" s="136">
        <v>0</v>
      </c>
      <c r="BA23" s="136">
        <v>0</v>
      </c>
      <c r="BB23" s="136">
        <v>0</v>
      </c>
      <c r="BC23" s="136">
        <v>0</v>
      </c>
      <c r="BD23" s="136">
        <v>1969</v>
      </c>
      <c r="BE23" s="136">
        <v>0</v>
      </c>
      <c r="BF23" s="136">
        <v>0</v>
      </c>
      <c r="BG23" s="136">
        <v>0</v>
      </c>
      <c r="BH23" s="136">
        <v>0</v>
      </c>
      <c r="BI23" s="136">
        <v>0</v>
      </c>
      <c r="BJ23" s="136">
        <v>32235</v>
      </c>
      <c r="BK23" s="136">
        <v>0</v>
      </c>
      <c r="BL23" s="136">
        <v>0</v>
      </c>
      <c r="BM23" s="136">
        <v>0</v>
      </c>
      <c r="BN23" s="136">
        <v>0</v>
      </c>
      <c r="BO23" s="136">
        <v>0</v>
      </c>
      <c r="BP23" s="136">
        <v>0</v>
      </c>
      <c r="BQ23" s="136">
        <v>0</v>
      </c>
      <c r="BR23" s="136">
        <v>0</v>
      </c>
      <c r="BS23" s="136">
        <v>0</v>
      </c>
      <c r="BT23" s="136">
        <v>0</v>
      </c>
      <c r="BU23" s="136">
        <v>0</v>
      </c>
      <c r="BV23" s="136">
        <v>0</v>
      </c>
      <c r="BW23" s="136">
        <v>107028</v>
      </c>
      <c r="BX23" s="136">
        <v>0</v>
      </c>
      <c r="BY23" s="136">
        <v>0</v>
      </c>
      <c r="BZ23" s="136">
        <v>0</v>
      </c>
      <c r="CA23" s="136">
        <v>0</v>
      </c>
      <c r="CB23" s="136">
        <v>40600</v>
      </c>
      <c r="CC23" s="136">
        <v>0</v>
      </c>
      <c r="CD23" s="136">
        <v>0</v>
      </c>
      <c r="CE23" s="136">
        <v>0</v>
      </c>
      <c r="CF23" s="136">
        <v>0</v>
      </c>
      <c r="CG23" s="136">
        <v>0</v>
      </c>
      <c r="CH23" s="136">
        <v>0</v>
      </c>
      <c r="CI23" s="136">
        <v>0</v>
      </c>
      <c r="CJ23" s="136">
        <v>0</v>
      </c>
      <c r="CK23" s="136">
        <v>0</v>
      </c>
      <c r="CL23" s="136">
        <v>0</v>
      </c>
      <c r="CM23" s="136">
        <v>0</v>
      </c>
      <c r="CN23" s="136">
        <v>946</v>
      </c>
      <c r="CO23" s="136">
        <v>0</v>
      </c>
      <c r="CP23" s="136">
        <v>0</v>
      </c>
      <c r="CQ23" s="136">
        <v>0</v>
      </c>
      <c r="CR23" s="136">
        <v>0</v>
      </c>
      <c r="CS23" s="136">
        <v>0</v>
      </c>
      <c r="CT23" s="136">
        <v>0</v>
      </c>
      <c r="CU23" s="136">
        <v>0</v>
      </c>
      <c r="CV23" s="136">
        <v>0</v>
      </c>
      <c r="CW23" s="136">
        <v>0</v>
      </c>
      <c r="CX23" s="136">
        <v>0</v>
      </c>
      <c r="CY23" s="136">
        <v>0</v>
      </c>
      <c r="CZ23" s="136">
        <v>0</v>
      </c>
      <c r="DA23" s="136"/>
      <c r="DB23" s="136"/>
      <c r="DC23" s="136"/>
      <c r="DD23" s="136"/>
      <c r="DE23" s="136"/>
      <c r="DF23" s="136"/>
      <c r="DG23" s="136">
        <v>0</v>
      </c>
      <c r="DH23" s="136">
        <v>0</v>
      </c>
      <c r="DI23" s="136">
        <v>0</v>
      </c>
      <c r="DJ23" s="136">
        <v>0</v>
      </c>
      <c r="DK23" s="136">
        <v>0</v>
      </c>
      <c r="DL23" s="136">
        <v>0</v>
      </c>
      <c r="DM23" s="136">
        <v>0</v>
      </c>
      <c r="DN23" s="136">
        <v>0</v>
      </c>
      <c r="DO23" s="136">
        <v>0</v>
      </c>
      <c r="DP23" s="136">
        <v>0</v>
      </c>
      <c r="DQ23" s="136">
        <v>0</v>
      </c>
      <c r="DR23" s="136">
        <v>0</v>
      </c>
      <c r="DS23" s="136"/>
      <c r="DT23" s="136"/>
      <c r="DU23" s="136"/>
      <c r="DV23" s="136"/>
      <c r="DW23" s="136"/>
      <c r="DX23" s="136"/>
      <c r="DY23" s="136">
        <v>0</v>
      </c>
      <c r="DZ23" s="136">
        <v>0</v>
      </c>
      <c r="EA23" s="136">
        <v>0</v>
      </c>
      <c r="EB23" s="136">
        <v>0</v>
      </c>
      <c r="EC23" s="136">
        <v>0</v>
      </c>
      <c r="ED23" s="136">
        <v>0</v>
      </c>
      <c r="EE23" s="136">
        <v>0</v>
      </c>
      <c r="EF23" s="136">
        <v>0</v>
      </c>
      <c r="EG23" s="136">
        <v>0</v>
      </c>
      <c r="EH23" s="136">
        <v>0</v>
      </c>
      <c r="EI23" s="136">
        <v>0</v>
      </c>
      <c r="EJ23" s="136">
        <v>0</v>
      </c>
      <c r="EK23" s="136"/>
      <c r="EL23" s="136"/>
      <c r="EM23" s="136"/>
      <c r="EN23" s="136"/>
      <c r="EO23" s="136"/>
      <c r="EP23" s="136"/>
      <c r="EQ23" s="136">
        <v>0</v>
      </c>
      <c r="ER23" s="136">
        <v>0</v>
      </c>
      <c r="ES23" s="136">
        <v>0</v>
      </c>
      <c r="ET23" s="136">
        <v>0</v>
      </c>
      <c r="EU23" s="136">
        <v>0</v>
      </c>
      <c r="EV23" s="136">
        <v>0</v>
      </c>
      <c r="EW23" s="136"/>
      <c r="EX23" s="136"/>
      <c r="EY23" s="136"/>
      <c r="EZ23" s="136"/>
      <c r="FA23" s="136"/>
      <c r="FB23" s="136"/>
      <c r="FC23" s="136">
        <v>0</v>
      </c>
      <c r="FD23" s="136">
        <v>0</v>
      </c>
      <c r="FE23" s="136">
        <v>0</v>
      </c>
      <c r="FF23" s="136">
        <v>0</v>
      </c>
      <c r="FG23" s="136">
        <v>0</v>
      </c>
      <c r="FH23" s="136">
        <v>0</v>
      </c>
      <c r="FI23" s="136"/>
      <c r="FJ23" s="136"/>
      <c r="FK23" s="136"/>
      <c r="FL23" s="136"/>
      <c r="FM23" s="136"/>
      <c r="FN23" s="136"/>
      <c r="FO23" s="136">
        <v>0</v>
      </c>
      <c r="FP23" s="136">
        <v>0</v>
      </c>
      <c r="FQ23" s="136">
        <v>0</v>
      </c>
      <c r="FR23" s="136">
        <v>0</v>
      </c>
      <c r="FS23" s="136">
        <v>0</v>
      </c>
      <c r="FT23" s="136">
        <v>0</v>
      </c>
      <c r="FU23" s="136">
        <v>0</v>
      </c>
      <c r="FV23" s="136">
        <v>0</v>
      </c>
      <c r="FW23" s="136">
        <v>0</v>
      </c>
      <c r="FX23" s="136">
        <v>0</v>
      </c>
      <c r="FY23" s="136">
        <v>0</v>
      </c>
      <c r="FZ23" s="136">
        <v>0</v>
      </c>
      <c r="GA23" s="136">
        <v>0</v>
      </c>
      <c r="GB23" s="136">
        <v>0</v>
      </c>
      <c r="GC23" s="136">
        <v>0</v>
      </c>
      <c r="GD23" s="136">
        <v>0</v>
      </c>
      <c r="GE23" s="136">
        <v>0</v>
      </c>
      <c r="GF23" s="136">
        <v>0</v>
      </c>
      <c r="GG23" s="136">
        <v>0</v>
      </c>
      <c r="GH23" s="136">
        <v>0</v>
      </c>
      <c r="GI23" s="136">
        <v>0</v>
      </c>
      <c r="GJ23" s="136">
        <v>0</v>
      </c>
      <c r="GK23" s="136">
        <v>0</v>
      </c>
      <c r="GL23" s="136">
        <v>0</v>
      </c>
      <c r="GM23" s="136">
        <v>0</v>
      </c>
      <c r="GN23" s="136">
        <v>0</v>
      </c>
      <c r="GO23" s="136">
        <v>0</v>
      </c>
      <c r="GP23" s="136">
        <v>0</v>
      </c>
      <c r="GQ23" s="136">
        <v>0</v>
      </c>
      <c r="GR23" s="136">
        <v>0</v>
      </c>
      <c r="GS23" s="136">
        <v>0</v>
      </c>
      <c r="GT23" s="136">
        <v>0</v>
      </c>
      <c r="GU23" s="136">
        <v>0</v>
      </c>
      <c r="GW23" s="137"/>
      <c r="GY23" s="136">
        <v>638271</v>
      </c>
      <c r="GZ23" s="136" t="s">
        <v>439</v>
      </c>
      <c r="HA23" s="136" t="s">
        <v>439</v>
      </c>
      <c r="HB23" s="136" t="s">
        <v>439</v>
      </c>
      <c r="HC23" s="136" t="s">
        <v>439</v>
      </c>
      <c r="HD23" s="136" t="s">
        <v>439</v>
      </c>
      <c r="HE23" s="136" t="s">
        <v>439</v>
      </c>
      <c r="HF23" s="136" t="s">
        <v>439</v>
      </c>
      <c r="HG23" s="136" t="s">
        <v>439</v>
      </c>
      <c r="HH23" s="136" t="s">
        <v>439</v>
      </c>
      <c r="HI23" s="35" t="s">
        <v>439</v>
      </c>
      <c r="HJ23" s="35" t="s">
        <v>439</v>
      </c>
      <c r="HK23" s="35" t="s">
        <v>439</v>
      </c>
      <c r="HL23"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152527</v>
      </c>
      <c r="HM23"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23"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23"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23"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11225</v>
      </c>
      <c r="HQ23"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76115</v>
      </c>
      <c r="HR23"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638271</v>
      </c>
    </row>
    <row r="24" spans="1:226">
      <c r="A24" s="35" t="s">
        <v>26</v>
      </c>
      <c r="B24" s="37" t="s">
        <v>19</v>
      </c>
      <c r="C24" s="37">
        <v>350</v>
      </c>
      <c r="D24" s="37" t="s">
        <v>835</v>
      </c>
      <c r="E24" s="103">
        <v>3624</v>
      </c>
      <c r="F24" s="136">
        <v>0</v>
      </c>
      <c r="G24" s="136">
        <v>0</v>
      </c>
      <c r="H24" s="136">
        <v>3260992</v>
      </c>
      <c r="I24" s="136">
        <v>75379</v>
      </c>
      <c r="J24" s="136">
        <v>121043</v>
      </c>
      <c r="K24" s="136">
        <v>0</v>
      </c>
      <c r="L24" s="136">
        <v>0</v>
      </c>
      <c r="M24" s="136">
        <v>0</v>
      </c>
      <c r="N24" s="136">
        <v>0</v>
      </c>
      <c r="O24" s="136">
        <v>651135</v>
      </c>
      <c r="P24" s="136">
        <v>653089</v>
      </c>
      <c r="Q24" s="136">
        <v>196290</v>
      </c>
      <c r="R24" s="136">
        <v>80544</v>
      </c>
      <c r="S24" s="136">
        <v>6888</v>
      </c>
      <c r="T24" s="136">
        <v>168138</v>
      </c>
      <c r="U24" s="136">
        <v>81559</v>
      </c>
      <c r="V24" s="136">
        <v>39304</v>
      </c>
      <c r="W24" s="136">
        <v>32475</v>
      </c>
      <c r="X24" s="136">
        <v>46707</v>
      </c>
      <c r="Y24" s="136">
        <v>9561</v>
      </c>
      <c r="Z24" s="136">
        <v>77656</v>
      </c>
      <c r="AA24" s="136">
        <v>0</v>
      </c>
      <c r="AB24" s="136">
        <v>26132</v>
      </c>
      <c r="AC24" s="136">
        <v>0</v>
      </c>
      <c r="AD24" s="136">
        <v>495</v>
      </c>
      <c r="AE24" s="136">
        <v>0</v>
      </c>
      <c r="AF24" s="136">
        <v>0</v>
      </c>
      <c r="AG24" s="136">
        <v>0</v>
      </c>
      <c r="AH24" s="136">
        <v>0</v>
      </c>
      <c r="AI24" s="136">
        <v>0</v>
      </c>
      <c r="AJ24" s="136">
        <v>0</v>
      </c>
      <c r="AK24" s="136">
        <v>0</v>
      </c>
      <c r="AL24" s="136">
        <v>0</v>
      </c>
      <c r="AM24" s="136">
        <v>35357</v>
      </c>
      <c r="AN24" s="136">
        <v>69358</v>
      </c>
      <c r="AO24" s="136">
        <v>0</v>
      </c>
      <c r="AP24" s="136">
        <v>12321</v>
      </c>
      <c r="AQ24" s="136">
        <v>13269</v>
      </c>
      <c r="AR24" s="136">
        <v>0</v>
      </c>
      <c r="AS24" s="136">
        <v>140858</v>
      </c>
      <c r="AT24" s="136">
        <v>9793</v>
      </c>
      <c r="AU24" s="136">
        <v>567</v>
      </c>
      <c r="AV24" s="136">
        <v>53706</v>
      </c>
      <c r="AW24" s="136">
        <v>0</v>
      </c>
      <c r="AX24" s="136">
        <v>0</v>
      </c>
      <c r="AY24" s="136">
        <v>0</v>
      </c>
      <c r="AZ24" s="136">
        <v>0</v>
      </c>
      <c r="BA24" s="136">
        <v>0</v>
      </c>
      <c r="BB24" s="136">
        <v>0</v>
      </c>
      <c r="BC24" s="136">
        <v>0</v>
      </c>
      <c r="BD24" s="136">
        <v>0</v>
      </c>
      <c r="BE24" s="136">
        <v>0</v>
      </c>
      <c r="BF24" s="136">
        <v>4300</v>
      </c>
      <c r="BG24" s="136">
        <v>0</v>
      </c>
      <c r="BH24" s="136">
        <v>7353</v>
      </c>
      <c r="BI24" s="136">
        <v>0</v>
      </c>
      <c r="BJ24" s="136">
        <v>13435</v>
      </c>
      <c r="BK24" s="136">
        <v>0</v>
      </c>
      <c r="BL24" s="136">
        <v>861</v>
      </c>
      <c r="BM24" s="136">
        <v>25336</v>
      </c>
      <c r="BN24" s="136">
        <v>591</v>
      </c>
      <c r="BO24" s="136">
        <v>0</v>
      </c>
      <c r="BP24" s="136">
        <v>0</v>
      </c>
      <c r="BQ24" s="136">
        <v>14451</v>
      </c>
      <c r="BR24" s="136">
        <v>5866</v>
      </c>
      <c r="BS24" s="136">
        <v>0</v>
      </c>
      <c r="BT24" s="136">
        <v>110130</v>
      </c>
      <c r="BU24" s="136">
        <v>0</v>
      </c>
      <c r="BV24" s="136">
        <v>10091</v>
      </c>
      <c r="BW24" s="136">
        <v>0</v>
      </c>
      <c r="BX24" s="136">
        <v>0</v>
      </c>
      <c r="BY24" s="136">
        <v>0</v>
      </c>
      <c r="BZ24" s="136">
        <v>0</v>
      </c>
      <c r="CA24" s="136">
        <v>0</v>
      </c>
      <c r="CB24" s="136">
        <v>0</v>
      </c>
      <c r="CC24" s="136">
        <v>0</v>
      </c>
      <c r="CD24" s="136">
        <v>0</v>
      </c>
      <c r="CE24" s="136">
        <v>0</v>
      </c>
      <c r="CF24" s="136">
        <v>35702</v>
      </c>
      <c r="CG24" s="136">
        <v>0</v>
      </c>
      <c r="CH24" s="136">
        <v>0</v>
      </c>
      <c r="CI24" s="136">
        <v>0</v>
      </c>
      <c r="CJ24" s="136">
        <v>3212</v>
      </c>
      <c r="CK24" s="136">
        <v>0</v>
      </c>
      <c r="CL24" s="136">
        <v>6022</v>
      </c>
      <c r="CM24" s="136">
        <v>0</v>
      </c>
      <c r="CN24" s="136">
        <v>0</v>
      </c>
      <c r="CO24" s="136">
        <v>0</v>
      </c>
      <c r="CP24" s="136">
        <v>45434</v>
      </c>
      <c r="CQ24" s="136">
        <v>238861</v>
      </c>
      <c r="CR24" s="136">
        <v>34426</v>
      </c>
      <c r="CS24" s="136">
        <v>0</v>
      </c>
      <c r="CT24" s="136">
        <v>3118</v>
      </c>
      <c r="CU24" s="136">
        <v>0</v>
      </c>
      <c r="CV24" s="136">
        <v>0</v>
      </c>
      <c r="CW24" s="136">
        <v>0</v>
      </c>
      <c r="CX24" s="136">
        <v>0</v>
      </c>
      <c r="CY24" s="136">
        <v>0</v>
      </c>
      <c r="CZ24" s="136">
        <v>0</v>
      </c>
      <c r="DA24" s="136"/>
      <c r="DB24" s="136"/>
      <c r="DC24" s="136"/>
      <c r="DD24" s="136"/>
      <c r="DE24" s="136"/>
      <c r="DF24" s="136"/>
      <c r="DG24" s="136">
        <v>0</v>
      </c>
      <c r="DH24" s="136">
        <v>55507</v>
      </c>
      <c r="DI24" s="136">
        <v>4368</v>
      </c>
      <c r="DJ24" s="136">
        <v>258264</v>
      </c>
      <c r="DK24" s="136">
        <v>0</v>
      </c>
      <c r="DL24" s="136">
        <v>174884</v>
      </c>
      <c r="DM24" s="136">
        <v>0</v>
      </c>
      <c r="DN24" s="136">
        <v>0</v>
      </c>
      <c r="DO24" s="136">
        <v>0</v>
      </c>
      <c r="DP24" s="136">
        <v>0</v>
      </c>
      <c r="DQ24" s="136">
        <v>0</v>
      </c>
      <c r="DR24" s="136">
        <v>0</v>
      </c>
      <c r="DS24" s="136"/>
      <c r="DT24" s="136"/>
      <c r="DU24" s="136"/>
      <c r="DV24" s="136"/>
      <c r="DW24" s="136"/>
      <c r="DX24" s="136"/>
      <c r="DY24" s="136">
        <v>0</v>
      </c>
      <c r="DZ24" s="136">
        <v>0</v>
      </c>
      <c r="EA24" s="136">
        <v>0</v>
      </c>
      <c r="EB24" s="136">
        <v>0</v>
      </c>
      <c r="EC24" s="136">
        <v>0</v>
      </c>
      <c r="ED24" s="136">
        <v>0</v>
      </c>
      <c r="EE24" s="136">
        <v>0</v>
      </c>
      <c r="EF24" s="136">
        <v>0</v>
      </c>
      <c r="EG24" s="136">
        <v>0</v>
      </c>
      <c r="EH24" s="136">
        <v>0</v>
      </c>
      <c r="EI24" s="136">
        <v>0</v>
      </c>
      <c r="EJ24" s="136">
        <v>0</v>
      </c>
      <c r="EK24" s="136"/>
      <c r="EL24" s="136"/>
      <c r="EM24" s="136"/>
      <c r="EN24" s="136"/>
      <c r="EO24" s="136"/>
      <c r="EP24" s="136"/>
      <c r="EQ24" s="136">
        <v>0</v>
      </c>
      <c r="ER24" s="136">
        <v>0</v>
      </c>
      <c r="ES24" s="136">
        <v>0</v>
      </c>
      <c r="ET24" s="136">
        <v>0</v>
      </c>
      <c r="EU24" s="136">
        <v>0</v>
      </c>
      <c r="EV24" s="136">
        <v>0</v>
      </c>
      <c r="EW24" s="136"/>
      <c r="EX24" s="136"/>
      <c r="EY24" s="136"/>
      <c r="EZ24" s="136"/>
      <c r="FA24" s="136"/>
      <c r="FB24" s="136"/>
      <c r="FC24" s="136">
        <v>0</v>
      </c>
      <c r="FD24" s="136">
        <v>0</v>
      </c>
      <c r="FE24" s="136">
        <v>0</v>
      </c>
      <c r="FF24" s="136">
        <v>0</v>
      </c>
      <c r="FG24" s="136">
        <v>0</v>
      </c>
      <c r="FH24" s="136">
        <v>0</v>
      </c>
      <c r="FI24" s="136"/>
      <c r="FJ24" s="136"/>
      <c r="FK24" s="136"/>
      <c r="FL24" s="136"/>
      <c r="FM24" s="136"/>
      <c r="FN24" s="136"/>
      <c r="FO24" s="136">
        <v>0</v>
      </c>
      <c r="FP24" s="136">
        <v>0</v>
      </c>
      <c r="FQ24" s="136">
        <v>0</v>
      </c>
      <c r="FR24" s="136">
        <v>0</v>
      </c>
      <c r="FS24" s="136">
        <v>0</v>
      </c>
      <c r="FT24" s="136">
        <v>0</v>
      </c>
      <c r="FU24" s="136">
        <v>0</v>
      </c>
      <c r="FV24" s="136">
        <v>26132</v>
      </c>
      <c r="FW24" s="136">
        <v>0</v>
      </c>
      <c r="FX24" s="136">
        <v>0</v>
      </c>
      <c r="FY24" s="136">
        <v>0</v>
      </c>
      <c r="FZ24" s="136">
        <v>0</v>
      </c>
      <c r="GA24" s="136">
        <v>70513</v>
      </c>
      <c r="GB24" s="136">
        <v>55517</v>
      </c>
      <c r="GC24" s="136">
        <v>0</v>
      </c>
      <c r="GD24" s="136">
        <v>0</v>
      </c>
      <c r="GE24" s="136">
        <v>0</v>
      </c>
      <c r="GF24" s="136">
        <v>0</v>
      </c>
      <c r="GG24" s="136">
        <v>0</v>
      </c>
      <c r="GH24" s="136">
        <v>0</v>
      </c>
      <c r="GI24" s="136">
        <v>0</v>
      </c>
      <c r="GJ24" s="136">
        <v>0</v>
      </c>
      <c r="GK24" s="136">
        <v>0</v>
      </c>
      <c r="GL24" s="136">
        <v>0</v>
      </c>
      <c r="GM24" s="136">
        <v>0</v>
      </c>
      <c r="GN24" s="136">
        <v>0</v>
      </c>
      <c r="GO24" s="136">
        <v>0</v>
      </c>
      <c r="GP24" s="136">
        <v>0</v>
      </c>
      <c r="GQ24" s="136">
        <v>0</v>
      </c>
      <c r="GR24" s="136">
        <v>0</v>
      </c>
      <c r="GS24" s="136">
        <v>62739873</v>
      </c>
      <c r="GT24" s="136">
        <v>3382035</v>
      </c>
      <c r="GU24" s="136">
        <v>178692234</v>
      </c>
      <c r="GV24" s="35" t="s">
        <v>336</v>
      </c>
      <c r="GW24" s="137">
        <v>9364684541</v>
      </c>
      <c r="GX24" s="35" t="s">
        <v>337</v>
      </c>
      <c r="GY24" s="136">
        <v>3260992</v>
      </c>
      <c r="GZ24" s="136">
        <v>-1464851</v>
      </c>
      <c r="HA24" s="136">
        <v>0</v>
      </c>
      <c r="HB24" s="136">
        <v>0</v>
      </c>
      <c r="HC24" s="136">
        <v>0</v>
      </c>
      <c r="HD24" s="136">
        <v>0</v>
      </c>
      <c r="HE24" s="136">
        <v>0</v>
      </c>
      <c r="HF24" s="136">
        <v>314831</v>
      </c>
      <c r="HG24" s="136">
        <v>0</v>
      </c>
      <c r="HH24" s="136">
        <v>0</v>
      </c>
      <c r="HI24" s="35" t="s">
        <v>376</v>
      </c>
      <c r="HJ24" s="35"/>
      <c r="HK24" s="35"/>
      <c r="HL24"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923360</v>
      </c>
      <c r="HM24"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912856</v>
      </c>
      <c r="HN24"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497897</v>
      </c>
      <c r="HO24"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387997</v>
      </c>
      <c r="HP24"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29718</v>
      </c>
      <c r="HQ24"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447322</v>
      </c>
      <c r="HR24"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2110972</v>
      </c>
    </row>
    <row r="25" spans="1:226">
      <c r="A25" s="35" t="s">
        <v>45</v>
      </c>
      <c r="B25" s="37" t="s">
        <v>19</v>
      </c>
      <c r="C25" s="37">
        <v>300</v>
      </c>
      <c r="D25" s="37" t="s">
        <v>835</v>
      </c>
      <c r="E25" s="103">
        <v>3625</v>
      </c>
      <c r="F25" s="136">
        <v>0</v>
      </c>
      <c r="G25" s="136">
        <v>0</v>
      </c>
      <c r="H25" s="136">
        <v>4481347</v>
      </c>
      <c r="I25" s="136">
        <v>216446</v>
      </c>
      <c r="J25" s="136">
        <v>180643</v>
      </c>
      <c r="K25" s="136">
        <v>0</v>
      </c>
      <c r="L25" s="136">
        <v>0</v>
      </c>
      <c r="M25" s="136">
        <v>0</v>
      </c>
      <c r="N25" s="136">
        <v>0</v>
      </c>
      <c r="O25" s="136">
        <v>151394</v>
      </c>
      <c r="P25" s="136">
        <v>0</v>
      </c>
      <c r="Q25" s="136">
        <v>269778</v>
      </c>
      <c r="R25" s="136">
        <v>62716</v>
      </c>
      <c r="S25" s="136">
        <v>0</v>
      </c>
      <c r="T25" s="136">
        <v>0</v>
      </c>
      <c r="U25" s="136">
        <v>219927</v>
      </c>
      <c r="V25" s="136">
        <v>0</v>
      </c>
      <c r="W25" s="136">
        <v>143768</v>
      </c>
      <c r="X25" s="136">
        <v>680552</v>
      </c>
      <c r="Y25" s="136">
        <v>0</v>
      </c>
      <c r="Z25" s="136">
        <v>120667</v>
      </c>
      <c r="AA25" s="136">
        <v>0</v>
      </c>
      <c r="AB25" s="136">
        <v>0</v>
      </c>
      <c r="AC25" s="136">
        <v>0</v>
      </c>
      <c r="AD25" s="136">
        <v>0</v>
      </c>
      <c r="AE25" s="136">
        <v>0</v>
      </c>
      <c r="AF25" s="136">
        <v>0</v>
      </c>
      <c r="AG25" s="136">
        <v>0</v>
      </c>
      <c r="AH25" s="136">
        <v>0</v>
      </c>
      <c r="AI25" s="136">
        <v>0</v>
      </c>
      <c r="AJ25" s="136">
        <v>0</v>
      </c>
      <c r="AK25" s="136">
        <v>0</v>
      </c>
      <c r="AL25" s="136">
        <v>0</v>
      </c>
      <c r="AM25" s="136">
        <v>0</v>
      </c>
      <c r="AN25" s="136">
        <v>0</v>
      </c>
      <c r="AO25" s="136">
        <v>0</v>
      </c>
      <c r="AP25" s="136">
        <v>0</v>
      </c>
      <c r="AQ25" s="136">
        <v>0</v>
      </c>
      <c r="AR25" s="136">
        <v>0</v>
      </c>
      <c r="AS25" s="136">
        <v>0</v>
      </c>
      <c r="AT25" s="136">
        <v>0</v>
      </c>
      <c r="AU25" s="136">
        <v>0</v>
      </c>
      <c r="AV25" s="136">
        <v>0</v>
      </c>
      <c r="AW25" s="136">
        <v>0</v>
      </c>
      <c r="AX25" s="136">
        <v>0</v>
      </c>
      <c r="AY25" s="136">
        <v>0</v>
      </c>
      <c r="AZ25" s="136">
        <v>0</v>
      </c>
      <c r="BA25" s="136">
        <v>0</v>
      </c>
      <c r="BB25" s="136">
        <v>0</v>
      </c>
      <c r="BC25" s="136">
        <v>0</v>
      </c>
      <c r="BD25" s="136">
        <v>0</v>
      </c>
      <c r="BE25" s="136">
        <v>11863</v>
      </c>
      <c r="BF25" s="136">
        <v>0</v>
      </c>
      <c r="BG25" s="136">
        <v>0</v>
      </c>
      <c r="BH25" s="136">
        <v>68564</v>
      </c>
      <c r="BI25" s="136">
        <v>0</v>
      </c>
      <c r="BJ25" s="136">
        <v>150641</v>
      </c>
      <c r="BK25" s="136">
        <v>0</v>
      </c>
      <c r="BL25" s="136">
        <v>0</v>
      </c>
      <c r="BM25" s="136">
        <v>0</v>
      </c>
      <c r="BN25" s="136">
        <v>0</v>
      </c>
      <c r="BO25" s="136">
        <v>0</v>
      </c>
      <c r="BP25" s="136">
        <v>0</v>
      </c>
      <c r="BQ25" s="136">
        <v>0</v>
      </c>
      <c r="BR25" s="136">
        <v>0</v>
      </c>
      <c r="BS25" s="136">
        <v>0</v>
      </c>
      <c r="BT25" s="136">
        <v>0</v>
      </c>
      <c r="BU25" s="136">
        <v>0</v>
      </c>
      <c r="BV25" s="136">
        <v>0</v>
      </c>
      <c r="BW25" s="136">
        <v>0</v>
      </c>
      <c r="BX25" s="136">
        <v>0</v>
      </c>
      <c r="BY25" s="136">
        <v>0</v>
      </c>
      <c r="BZ25" s="136">
        <v>0</v>
      </c>
      <c r="CA25" s="136">
        <v>0</v>
      </c>
      <c r="CB25" s="136">
        <v>0</v>
      </c>
      <c r="CC25" s="136">
        <v>0</v>
      </c>
      <c r="CD25" s="136">
        <v>0</v>
      </c>
      <c r="CE25" s="136">
        <v>0</v>
      </c>
      <c r="CF25" s="136">
        <v>0</v>
      </c>
      <c r="CG25" s="136">
        <v>0</v>
      </c>
      <c r="CH25" s="136">
        <v>0</v>
      </c>
      <c r="CI25" s="136">
        <v>0</v>
      </c>
      <c r="CJ25" s="136">
        <v>0</v>
      </c>
      <c r="CK25" s="136">
        <v>0</v>
      </c>
      <c r="CL25" s="136">
        <v>0</v>
      </c>
      <c r="CM25" s="136">
        <v>0</v>
      </c>
      <c r="CN25" s="136">
        <v>0</v>
      </c>
      <c r="CO25" s="136">
        <v>1038103</v>
      </c>
      <c r="CP25" s="136">
        <v>0</v>
      </c>
      <c r="CQ25" s="136">
        <v>0</v>
      </c>
      <c r="CR25" s="136">
        <v>0</v>
      </c>
      <c r="CS25" s="136">
        <v>0</v>
      </c>
      <c r="CT25" s="136">
        <v>0</v>
      </c>
      <c r="CU25" s="136">
        <v>0</v>
      </c>
      <c r="CV25" s="136">
        <v>0</v>
      </c>
      <c r="CW25" s="136">
        <v>0</v>
      </c>
      <c r="CX25" s="136">
        <v>0</v>
      </c>
      <c r="CY25" s="136">
        <v>0</v>
      </c>
      <c r="CZ25" s="136">
        <v>0</v>
      </c>
      <c r="DA25" s="136"/>
      <c r="DB25" s="136"/>
      <c r="DC25" s="136"/>
      <c r="DD25" s="136"/>
      <c r="DE25" s="136"/>
      <c r="DF25" s="136"/>
      <c r="DG25" s="136">
        <v>147045</v>
      </c>
      <c r="DH25" s="136">
        <v>0</v>
      </c>
      <c r="DI25" s="136">
        <v>809506</v>
      </c>
      <c r="DJ25" s="136">
        <v>992471</v>
      </c>
      <c r="DK25" s="136">
        <v>0</v>
      </c>
      <c r="DL25" s="136">
        <v>11441</v>
      </c>
      <c r="DM25" s="136">
        <v>0</v>
      </c>
      <c r="DN25" s="136">
        <v>0</v>
      </c>
      <c r="DO25" s="136">
        <v>0</v>
      </c>
      <c r="DP25" s="136">
        <v>0</v>
      </c>
      <c r="DQ25" s="136">
        <v>0</v>
      </c>
      <c r="DR25" s="136">
        <v>0</v>
      </c>
      <c r="DS25" s="136"/>
      <c r="DT25" s="136"/>
      <c r="DU25" s="136"/>
      <c r="DV25" s="136"/>
      <c r="DW25" s="136"/>
      <c r="DX25" s="136"/>
      <c r="DY25" s="136">
        <v>0</v>
      </c>
      <c r="DZ25" s="136">
        <v>0</v>
      </c>
      <c r="EA25" s="136">
        <v>0</v>
      </c>
      <c r="EB25" s="136">
        <v>0</v>
      </c>
      <c r="EC25" s="136">
        <v>0</v>
      </c>
      <c r="ED25" s="136">
        <v>0</v>
      </c>
      <c r="EE25" s="136">
        <v>0</v>
      </c>
      <c r="EF25" s="136">
        <v>0</v>
      </c>
      <c r="EG25" s="136">
        <v>0</v>
      </c>
      <c r="EH25" s="136">
        <v>0</v>
      </c>
      <c r="EI25" s="136">
        <v>0</v>
      </c>
      <c r="EJ25" s="136">
        <v>0</v>
      </c>
      <c r="EK25" s="136"/>
      <c r="EL25" s="136"/>
      <c r="EM25" s="136"/>
      <c r="EN25" s="136"/>
      <c r="EO25" s="136"/>
      <c r="EP25" s="136"/>
      <c r="EQ25" s="136">
        <v>0</v>
      </c>
      <c r="ER25" s="136">
        <v>0</v>
      </c>
      <c r="ES25" s="136">
        <v>0</v>
      </c>
      <c r="ET25" s="136">
        <v>0</v>
      </c>
      <c r="EU25" s="136">
        <v>0</v>
      </c>
      <c r="EV25" s="136">
        <v>0</v>
      </c>
      <c r="EW25" s="136"/>
      <c r="EX25" s="136"/>
      <c r="EY25" s="136"/>
      <c r="EZ25" s="136"/>
      <c r="FA25" s="136"/>
      <c r="FB25" s="136"/>
      <c r="FC25" s="136">
        <v>0</v>
      </c>
      <c r="FD25" s="136">
        <v>0</v>
      </c>
      <c r="FE25" s="136">
        <v>0</v>
      </c>
      <c r="FF25" s="136">
        <v>0</v>
      </c>
      <c r="FG25" s="136">
        <v>0</v>
      </c>
      <c r="FH25" s="136">
        <v>0</v>
      </c>
      <c r="FI25" s="136"/>
      <c r="FJ25" s="136"/>
      <c r="FK25" s="136"/>
      <c r="FL25" s="136"/>
      <c r="FM25" s="136"/>
      <c r="FN25" s="136"/>
      <c r="FO25" s="136">
        <v>0</v>
      </c>
      <c r="FP25" s="136">
        <v>0</v>
      </c>
      <c r="FQ25" s="136">
        <v>0</v>
      </c>
      <c r="FR25" s="136">
        <v>0</v>
      </c>
      <c r="FS25" s="136">
        <v>0</v>
      </c>
      <c r="FT25" s="136">
        <v>0</v>
      </c>
      <c r="FU25" s="136">
        <v>0</v>
      </c>
      <c r="FV25" s="136">
        <v>0</v>
      </c>
      <c r="FW25" s="136">
        <v>0</v>
      </c>
      <c r="FX25" s="136">
        <v>0</v>
      </c>
      <c r="FY25" s="136">
        <v>0</v>
      </c>
      <c r="FZ25" s="136">
        <v>0</v>
      </c>
      <c r="GA25" s="136">
        <v>40564</v>
      </c>
      <c r="GB25" s="136">
        <v>0</v>
      </c>
      <c r="GC25" s="136">
        <v>0</v>
      </c>
      <c r="GD25" s="136">
        <v>0</v>
      </c>
      <c r="GE25" s="136">
        <v>0</v>
      </c>
      <c r="GF25" s="136">
        <v>0</v>
      </c>
      <c r="GG25" s="136">
        <v>0</v>
      </c>
      <c r="GH25" s="136">
        <v>0</v>
      </c>
      <c r="GI25" s="136">
        <v>0</v>
      </c>
      <c r="GJ25" s="136">
        <v>0</v>
      </c>
      <c r="GK25" s="136">
        <v>0</v>
      </c>
      <c r="GL25" s="136">
        <v>0</v>
      </c>
      <c r="GM25" s="136">
        <v>0</v>
      </c>
      <c r="GN25" s="136">
        <v>0</v>
      </c>
      <c r="GO25" s="136">
        <v>0</v>
      </c>
      <c r="GP25" s="136">
        <v>0</v>
      </c>
      <c r="GQ25" s="136">
        <v>0</v>
      </c>
      <c r="GR25" s="136">
        <v>0</v>
      </c>
      <c r="GS25" s="136">
        <v>23159362</v>
      </c>
      <c r="GT25" s="136">
        <v>4646398</v>
      </c>
      <c r="GU25" s="136">
        <v>48237735</v>
      </c>
      <c r="GV25" s="35" t="s">
        <v>357</v>
      </c>
      <c r="GW25" s="137">
        <v>4328378078</v>
      </c>
      <c r="GX25" s="35" t="s">
        <v>358</v>
      </c>
      <c r="GY25" s="136">
        <v>4481347</v>
      </c>
      <c r="GZ25" s="136">
        <v>-1573689</v>
      </c>
      <c r="HA25" s="136">
        <v>180643</v>
      </c>
      <c r="HB25" s="136">
        <v>-216446</v>
      </c>
      <c r="HC25" s="136">
        <v>0</v>
      </c>
      <c r="HD25" s="136">
        <v>0</v>
      </c>
      <c r="HE25" s="136">
        <v>0</v>
      </c>
      <c r="HF25" s="136">
        <v>0</v>
      </c>
      <c r="HG25" s="136">
        <v>0</v>
      </c>
      <c r="HH25" s="136">
        <v>0</v>
      </c>
      <c r="HI25" s="35" t="s">
        <v>439</v>
      </c>
      <c r="HJ25" s="35" t="s">
        <v>439</v>
      </c>
      <c r="HK25" s="35" t="s">
        <v>439</v>
      </c>
      <c r="HL25"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1568332</v>
      </c>
      <c r="HM25"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25"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1223052</v>
      </c>
      <c r="HO25"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958877</v>
      </c>
      <c r="HP25"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25"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282749</v>
      </c>
      <c r="HR25"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2871855</v>
      </c>
    </row>
    <row r="26" spans="1:226">
      <c r="A26" s="35" t="s">
        <v>30</v>
      </c>
      <c r="B26" s="37" t="s">
        <v>19</v>
      </c>
      <c r="C26" s="37">
        <v>160</v>
      </c>
      <c r="D26" s="37" t="s">
        <v>835</v>
      </c>
      <c r="E26" s="103">
        <v>3631</v>
      </c>
      <c r="F26" s="136">
        <v>407837</v>
      </c>
      <c r="G26" s="136">
        <v>0</v>
      </c>
      <c r="H26" s="136">
        <v>19967449</v>
      </c>
      <c r="I26" s="136">
        <v>1279616</v>
      </c>
      <c r="J26" s="136">
        <v>496680</v>
      </c>
      <c r="K26" s="136">
        <v>0</v>
      </c>
      <c r="L26" s="136">
        <v>2499</v>
      </c>
      <c r="M26" s="136">
        <v>1339114</v>
      </c>
      <c r="N26" s="136">
        <v>121125</v>
      </c>
      <c r="O26" s="136">
        <v>3520754</v>
      </c>
      <c r="P26" s="136">
        <v>906413</v>
      </c>
      <c r="Q26" s="136">
        <v>510951</v>
      </c>
      <c r="R26" s="136">
        <v>196702</v>
      </c>
      <c r="S26" s="136">
        <v>106098</v>
      </c>
      <c r="T26" s="136">
        <v>44903</v>
      </c>
      <c r="U26" s="136">
        <v>447399</v>
      </c>
      <c r="V26" s="136">
        <v>294463</v>
      </c>
      <c r="W26" s="136">
        <v>902479</v>
      </c>
      <c r="X26" s="136">
        <v>58189</v>
      </c>
      <c r="Y26" s="136">
        <v>0</v>
      </c>
      <c r="Z26" s="136">
        <v>276</v>
      </c>
      <c r="AA26" s="136">
        <v>0</v>
      </c>
      <c r="AB26" s="136">
        <v>390792</v>
      </c>
      <c r="AC26" s="136">
        <v>46239</v>
      </c>
      <c r="AD26" s="136">
        <v>500</v>
      </c>
      <c r="AE26" s="136">
        <v>0</v>
      </c>
      <c r="AF26" s="136">
        <v>0</v>
      </c>
      <c r="AG26" s="136">
        <v>0</v>
      </c>
      <c r="AH26" s="136">
        <v>269646</v>
      </c>
      <c r="AI26" s="136">
        <v>208598</v>
      </c>
      <c r="AJ26" s="136">
        <v>146568</v>
      </c>
      <c r="AK26" s="136">
        <v>0</v>
      </c>
      <c r="AL26" s="136">
        <v>0</v>
      </c>
      <c r="AM26" s="136">
        <v>103777</v>
      </c>
      <c r="AN26" s="136">
        <v>929667</v>
      </c>
      <c r="AO26" s="136">
        <v>850675</v>
      </c>
      <c r="AP26" s="136">
        <v>45610</v>
      </c>
      <c r="AQ26" s="136">
        <v>0</v>
      </c>
      <c r="AR26" s="136">
        <v>0</v>
      </c>
      <c r="AS26" s="136">
        <v>0</v>
      </c>
      <c r="AT26" s="136">
        <v>0</v>
      </c>
      <c r="AU26" s="136">
        <v>0</v>
      </c>
      <c r="AV26" s="136">
        <v>950</v>
      </c>
      <c r="AW26" s="136">
        <v>100398</v>
      </c>
      <c r="AX26" s="136">
        <v>0</v>
      </c>
      <c r="AY26" s="136">
        <v>0</v>
      </c>
      <c r="AZ26" s="136">
        <v>630691</v>
      </c>
      <c r="BA26" s="136">
        <v>142688</v>
      </c>
      <c r="BB26" s="136">
        <v>238822</v>
      </c>
      <c r="BC26" s="136">
        <v>0</v>
      </c>
      <c r="BD26" s="136">
        <v>0</v>
      </c>
      <c r="BE26" s="136">
        <v>0</v>
      </c>
      <c r="BF26" s="136">
        <v>211749</v>
      </c>
      <c r="BG26" s="136">
        <v>0</v>
      </c>
      <c r="BH26" s="136">
        <v>0</v>
      </c>
      <c r="BI26" s="136">
        <v>0</v>
      </c>
      <c r="BJ26" s="136">
        <v>111833</v>
      </c>
      <c r="BK26" s="136">
        <v>0</v>
      </c>
      <c r="BL26" s="136">
        <v>369195</v>
      </c>
      <c r="BM26" s="136">
        <v>44010</v>
      </c>
      <c r="BN26" s="136">
        <v>16462</v>
      </c>
      <c r="BO26" s="136">
        <v>0</v>
      </c>
      <c r="BP26" s="136">
        <v>0</v>
      </c>
      <c r="BQ26" s="136">
        <v>19616</v>
      </c>
      <c r="BR26" s="136">
        <v>740088</v>
      </c>
      <c r="BS26" s="136">
        <v>16023</v>
      </c>
      <c r="BT26" s="136">
        <v>11543</v>
      </c>
      <c r="BU26" s="136">
        <v>0</v>
      </c>
      <c r="BV26" s="136">
        <v>1499</v>
      </c>
      <c r="BW26" s="136">
        <v>0</v>
      </c>
      <c r="BX26" s="136">
        <v>112142</v>
      </c>
      <c r="BY26" s="136">
        <v>949815</v>
      </c>
      <c r="BZ26" s="136">
        <v>4373720</v>
      </c>
      <c r="CA26" s="136">
        <v>0</v>
      </c>
      <c r="CB26" s="136">
        <v>590</v>
      </c>
      <c r="CC26" s="136">
        <v>0</v>
      </c>
      <c r="CD26" s="136">
        <v>437082</v>
      </c>
      <c r="CE26" s="136">
        <v>0</v>
      </c>
      <c r="CF26" s="136">
        <v>78770</v>
      </c>
      <c r="CG26" s="136">
        <v>0</v>
      </c>
      <c r="CH26" s="136">
        <v>0</v>
      </c>
      <c r="CI26" s="136">
        <v>0</v>
      </c>
      <c r="CJ26" s="136">
        <v>764800</v>
      </c>
      <c r="CK26" s="136">
        <v>0</v>
      </c>
      <c r="CL26" s="136">
        <v>416352</v>
      </c>
      <c r="CM26" s="136">
        <v>0</v>
      </c>
      <c r="CN26" s="136">
        <v>0</v>
      </c>
      <c r="CO26" s="136">
        <v>0</v>
      </c>
      <c r="CP26" s="136">
        <v>1144228</v>
      </c>
      <c r="CQ26" s="136">
        <v>744</v>
      </c>
      <c r="CR26" s="136">
        <v>124296</v>
      </c>
      <c r="CS26" s="136">
        <v>0</v>
      </c>
      <c r="CT26" s="136">
        <v>8681</v>
      </c>
      <c r="CU26" s="136">
        <v>0</v>
      </c>
      <c r="CV26" s="136">
        <v>456656</v>
      </c>
      <c r="CW26" s="136">
        <v>0</v>
      </c>
      <c r="CX26" s="136">
        <v>0</v>
      </c>
      <c r="CY26" s="136">
        <v>0</v>
      </c>
      <c r="CZ26" s="136">
        <v>0</v>
      </c>
      <c r="DA26" s="136"/>
      <c r="DB26" s="136"/>
      <c r="DC26" s="136"/>
      <c r="DD26" s="136"/>
      <c r="DE26" s="136"/>
      <c r="DF26" s="136"/>
      <c r="DG26" s="136">
        <v>0</v>
      </c>
      <c r="DH26" s="136">
        <v>0</v>
      </c>
      <c r="DI26" s="136">
        <v>0</v>
      </c>
      <c r="DJ26" s="136">
        <v>0</v>
      </c>
      <c r="DK26" s="136">
        <v>0</v>
      </c>
      <c r="DL26" s="136">
        <v>242102</v>
      </c>
      <c r="DM26" s="136">
        <v>0</v>
      </c>
      <c r="DN26" s="136">
        <v>0</v>
      </c>
      <c r="DO26" s="136">
        <v>0</v>
      </c>
      <c r="DP26" s="136">
        <v>0</v>
      </c>
      <c r="DQ26" s="136">
        <v>0</v>
      </c>
      <c r="DR26" s="136">
        <v>0</v>
      </c>
      <c r="DS26" s="136"/>
      <c r="DT26" s="136"/>
      <c r="DU26" s="136"/>
      <c r="DV26" s="136"/>
      <c r="DW26" s="136"/>
      <c r="DX26" s="136"/>
      <c r="DY26" s="136">
        <v>0</v>
      </c>
      <c r="DZ26" s="136">
        <v>0</v>
      </c>
      <c r="EA26" s="136">
        <v>0</v>
      </c>
      <c r="EB26" s="136">
        <v>0</v>
      </c>
      <c r="EC26" s="136">
        <v>0</v>
      </c>
      <c r="ED26" s="136">
        <v>0</v>
      </c>
      <c r="EE26" s="136">
        <v>0</v>
      </c>
      <c r="EF26" s="136">
        <v>0</v>
      </c>
      <c r="EG26" s="136">
        <v>0</v>
      </c>
      <c r="EH26" s="136">
        <v>0</v>
      </c>
      <c r="EI26" s="136">
        <v>0</v>
      </c>
      <c r="EJ26" s="136">
        <v>0</v>
      </c>
      <c r="EK26" s="136"/>
      <c r="EL26" s="136"/>
      <c r="EM26" s="136"/>
      <c r="EN26" s="136"/>
      <c r="EO26" s="136"/>
      <c r="EP26" s="136"/>
      <c r="EQ26" s="136">
        <v>0</v>
      </c>
      <c r="ER26" s="136">
        <v>0</v>
      </c>
      <c r="ES26" s="136">
        <v>0</v>
      </c>
      <c r="ET26" s="136">
        <v>0</v>
      </c>
      <c r="EU26" s="136">
        <v>0</v>
      </c>
      <c r="EV26" s="136">
        <v>0</v>
      </c>
      <c r="EW26" s="136"/>
      <c r="EX26" s="136"/>
      <c r="EY26" s="136"/>
      <c r="EZ26" s="136"/>
      <c r="FA26" s="136"/>
      <c r="FB26" s="136"/>
      <c r="FC26" s="136">
        <v>0</v>
      </c>
      <c r="FD26" s="136">
        <v>0</v>
      </c>
      <c r="FE26" s="136">
        <v>0</v>
      </c>
      <c r="FF26" s="136">
        <v>0</v>
      </c>
      <c r="FG26" s="136">
        <v>0</v>
      </c>
      <c r="FH26" s="136">
        <v>0</v>
      </c>
      <c r="FI26" s="136"/>
      <c r="FJ26" s="136"/>
      <c r="FK26" s="136"/>
      <c r="FL26" s="136"/>
      <c r="FM26" s="136"/>
      <c r="FN26" s="136"/>
      <c r="FO26" s="136">
        <v>0</v>
      </c>
      <c r="FP26" s="136">
        <v>0</v>
      </c>
      <c r="FQ26" s="136">
        <v>0</v>
      </c>
      <c r="FR26" s="136">
        <v>0</v>
      </c>
      <c r="FS26" s="136">
        <v>0</v>
      </c>
      <c r="FT26" s="136">
        <v>0</v>
      </c>
      <c r="FU26" s="136">
        <v>0</v>
      </c>
      <c r="FV26" s="136">
        <v>0</v>
      </c>
      <c r="FW26" s="136">
        <v>0</v>
      </c>
      <c r="FX26" s="136">
        <v>0</v>
      </c>
      <c r="FY26" s="136">
        <v>0</v>
      </c>
      <c r="FZ26" s="136">
        <v>0</v>
      </c>
      <c r="GA26" s="136">
        <v>0</v>
      </c>
      <c r="GB26" s="136">
        <v>0</v>
      </c>
      <c r="GC26" s="136">
        <v>0</v>
      </c>
      <c r="GD26" s="136">
        <v>0</v>
      </c>
      <c r="GE26" s="136">
        <v>0</v>
      </c>
      <c r="GF26" s="136">
        <v>0</v>
      </c>
      <c r="GG26" s="136">
        <v>0</v>
      </c>
      <c r="GH26" s="136">
        <v>0</v>
      </c>
      <c r="GI26" s="136">
        <v>0</v>
      </c>
      <c r="GJ26" s="136">
        <v>0</v>
      </c>
      <c r="GK26" s="136">
        <v>0</v>
      </c>
      <c r="GL26" s="136">
        <v>0</v>
      </c>
      <c r="GM26" s="136">
        <v>0</v>
      </c>
      <c r="GN26" s="136">
        <v>0</v>
      </c>
      <c r="GO26" s="136">
        <v>0</v>
      </c>
      <c r="GP26" s="136">
        <v>0</v>
      </c>
      <c r="GQ26" s="136">
        <v>0</v>
      </c>
      <c r="GR26" s="136">
        <v>0</v>
      </c>
      <c r="GS26" s="136">
        <v>71793629</v>
      </c>
      <c r="GT26" s="136">
        <v>20480930</v>
      </c>
      <c r="GU26" s="136">
        <v>181981914</v>
      </c>
      <c r="GV26" s="35" t="s">
        <v>340</v>
      </c>
      <c r="GW26" s="137">
        <v>9794586077</v>
      </c>
      <c r="GX26" s="35" t="s">
        <v>341</v>
      </c>
      <c r="GY26" s="136">
        <v>20375286</v>
      </c>
      <c r="GZ26" s="136">
        <v>-12996443</v>
      </c>
      <c r="HA26" s="136">
        <v>173798</v>
      </c>
      <c r="HB26" s="136">
        <v>0</v>
      </c>
      <c r="HC26" s="136">
        <v>0</v>
      </c>
      <c r="HD26" s="136">
        <v>-391036</v>
      </c>
      <c r="HE26" s="136">
        <v>0</v>
      </c>
      <c r="HF26" s="136">
        <v>0</v>
      </c>
      <c r="HG26" s="136">
        <v>0</v>
      </c>
      <c r="HH26" s="136">
        <v>0</v>
      </c>
      <c r="HI26" s="35" t="s">
        <v>439</v>
      </c>
      <c r="HJ26" s="35" t="s">
        <v>439</v>
      </c>
      <c r="HK26" s="35" t="s">
        <v>439</v>
      </c>
      <c r="HL26"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4091546</v>
      </c>
      <c r="HM26"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7657612</v>
      </c>
      <c r="HN26"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3672222</v>
      </c>
      <c r="HO26"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5708484</v>
      </c>
      <c r="HP26"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206496</v>
      </c>
      <c r="HQ26"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409884</v>
      </c>
      <c r="HR26"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7161605</v>
      </c>
    </row>
    <row r="27" spans="1:226">
      <c r="A27" s="35" t="s">
        <v>54</v>
      </c>
      <c r="B27" s="37" t="s">
        <v>840</v>
      </c>
      <c r="C27" s="37">
        <v>605</v>
      </c>
      <c r="D27" s="37" t="s">
        <v>835</v>
      </c>
      <c r="E27" s="103">
        <v>555</v>
      </c>
      <c r="F27" s="136">
        <v>136246</v>
      </c>
      <c r="G27" s="136">
        <v>0</v>
      </c>
      <c r="H27" s="136">
        <v>1485811</v>
      </c>
      <c r="I27" s="136">
        <v>398588</v>
      </c>
      <c r="J27" s="136">
        <v>11681</v>
      </c>
      <c r="K27" s="136">
        <v>0</v>
      </c>
      <c r="L27" s="136">
        <v>0</v>
      </c>
      <c r="M27" s="136">
        <v>178506</v>
      </c>
      <c r="N27" s="136">
        <v>34580</v>
      </c>
      <c r="O27" s="136">
        <v>110074</v>
      </c>
      <c r="P27" s="136">
        <v>15405</v>
      </c>
      <c r="Q27" s="136">
        <v>27501</v>
      </c>
      <c r="R27" s="136">
        <v>0</v>
      </c>
      <c r="S27" s="136">
        <v>1302998</v>
      </c>
      <c r="T27" s="136">
        <v>0</v>
      </c>
      <c r="U27" s="136">
        <v>5553</v>
      </c>
      <c r="V27" s="136">
        <v>21823</v>
      </c>
      <c r="W27" s="136">
        <v>0</v>
      </c>
      <c r="X27" s="136">
        <v>0</v>
      </c>
      <c r="Y27" s="136">
        <v>188978</v>
      </c>
      <c r="Z27" s="136">
        <v>0</v>
      </c>
      <c r="AA27" s="136">
        <v>0</v>
      </c>
      <c r="AB27" s="136">
        <v>0</v>
      </c>
      <c r="AC27" s="136">
        <v>0</v>
      </c>
      <c r="AD27" s="136">
        <v>0</v>
      </c>
      <c r="AE27" s="136">
        <v>0</v>
      </c>
      <c r="AF27" s="136">
        <v>0</v>
      </c>
      <c r="AG27" s="136">
        <v>39000</v>
      </c>
      <c r="AH27" s="136">
        <v>0</v>
      </c>
      <c r="AI27" s="136">
        <v>95324</v>
      </c>
      <c r="AJ27" s="136">
        <v>0</v>
      </c>
      <c r="AK27" s="136">
        <v>0</v>
      </c>
      <c r="AL27" s="136">
        <v>0</v>
      </c>
      <c r="AM27" s="136">
        <v>0</v>
      </c>
      <c r="AN27" s="136">
        <v>1210</v>
      </c>
      <c r="AO27" s="136">
        <v>0</v>
      </c>
      <c r="AP27" s="136">
        <v>0</v>
      </c>
      <c r="AQ27" s="136">
        <v>7660</v>
      </c>
      <c r="AR27" s="136">
        <v>0</v>
      </c>
      <c r="AS27" s="136">
        <v>0</v>
      </c>
      <c r="AT27" s="136">
        <v>0</v>
      </c>
      <c r="AU27" s="136">
        <v>0</v>
      </c>
      <c r="AV27" s="136">
        <v>0</v>
      </c>
      <c r="AW27" s="136">
        <v>0</v>
      </c>
      <c r="AX27" s="136">
        <v>0</v>
      </c>
      <c r="AY27" s="136">
        <v>0</v>
      </c>
      <c r="AZ27" s="136">
        <v>0</v>
      </c>
      <c r="BA27" s="136">
        <v>0</v>
      </c>
      <c r="BB27" s="136">
        <v>0</v>
      </c>
      <c r="BC27" s="136">
        <v>1923</v>
      </c>
      <c r="BD27" s="136">
        <v>0</v>
      </c>
      <c r="BE27" s="136">
        <v>0</v>
      </c>
      <c r="BF27" s="136">
        <v>0</v>
      </c>
      <c r="BG27" s="136">
        <v>0</v>
      </c>
      <c r="BH27" s="136">
        <v>0</v>
      </c>
      <c r="BI27" s="136">
        <v>0</v>
      </c>
      <c r="BJ27" s="136">
        <v>0</v>
      </c>
      <c r="BK27" s="136">
        <v>0</v>
      </c>
      <c r="BL27" s="136">
        <v>0</v>
      </c>
      <c r="BM27" s="136">
        <v>0</v>
      </c>
      <c r="BN27" s="136">
        <v>0</v>
      </c>
      <c r="BO27" s="136">
        <v>0</v>
      </c>
      <c r="BP27" s="136">
        <v>0</v>
      </c>
      <c r="BQ27" s="136">
        <v>57322</v>
      </c>
      <c r="BR27" s="136">
        <v>0</v>
      </c>
      <c r="BS27" s="136">
        <v>0</v>
      </c>
      <c r="BT27" s="136">
        <v>0</v>
      </c>
      <c r="BU27" s="136">
        <v>0</v>
      </c>
      <c r="BV27" s="136">
        <v>0</v>
      </c>
      <c r="BW27" s="136">
        <v>0</v>
      </c>
      <c r="BX27" s="136">
        <v>0</v>
      </c>
      <c r="BY27" s="136">
        <v>0</v>
      </c>
      <c r="BZ27" s="136">
        <v>0</v>
      </c>
      <c r="CA27" s="136">
        <v>7041</v>
      </c>
      <c r="CB27" s="136">
        <v>0</v>
      </c>
      <c r="CC27" s="136">
        <v>0</v>
      </c>
      <c r="CD27" s="136">
        <v>0</v>
      </c>
      <c r="CE27" s="136">
        <v>0</v>
      </c>
      <c r="CF27" s="136">
        <v>0</v>
      </c>
      <c r="CG27" s="136">
        <v>0</v>
      </c>
      <c r="CH27" s="136">
        <v>0</v>
      </c>
      <c r="CI27" s="136">
        <v>0</v>
      </c>
      <c r="CJ27" s="136">
        <v>0</v>
      </c>
      <c r="CK27" s="136">
        <v>0</v>
      </c>
      <c r="CL27" s="136">
        <v>0</v>
      </c>
      <c r="CM27" s="136">
        <v>0</v>
      </c>
      <c r="CN27" s="136">
        <v>0</v>
      </c>
      <c r="CO27" s="136">
        <v>0</v>
      </c>
      <c r="CP27" s="136">
        <v>0</v>
      </c>
      <c r="CQ27" s="136">
        <v>0</v>
      </c>
      <c r="CR27" s="136">
        <v>8211</v>
      </c>
      <c r="CS27" s="136">
        <v>0</v>
      </c>
      <c r="CT27" s="136">
        <v>0</v>
      </c>
      <c r="CU27" s="136">
        <v>0</v>
      </c>
      <c r="CV27" s="136">
        <v>0</v>
      </c>
      <c r="CW27" s="136">
        <v>0</v>
      </c>
      <c r="CX27" s="136">
        <v>0</v>
      </c>
      <c r="CY27" s="136">
        <v>0</v>
      </c>
      <c r="CZ27" s="136">
        <v>0</v>
      </c>
      <c r="DA27" s="136"/>
      <c r="DB27" s="136"/>
      <c r="DC27" s="136"/>
      <c r="DD27" s="136"/>
      <c r="DE27" s="136"/>
      <c r="DF27" s="136"/>
      <c r="DG27" s="136">
        <v>0</v>
      </c>
      <c r="DH27" s="136">
        <v>0</v>
      </c>
      <c r="DI27" s="136">
        <v>0</v>
      </c>
      <c r="DJ27" s="136">
        <v>0</v>
      </c>
      <c r="DK27" s="136">
        <v>6057</v>
      </c>
      <c r="DL27" s="136">
        <v>0</v>
      </c>
      <c r="DM27" s="136">
        <v>0</v>
      </c>
      <c r="DN27" s="136">
        <v>0</v>
      </c>
      <c r="DO27" s="136">
        <v>0</v>
      </c>
      <c r="DP27" s="136">
        <v>0</v>
      </c>
      <c r="DQ27" s="136">
        <v>0</v>
      </c>
      <c r="DR27" s="136">
        <v>0</v>
      </c>
      <c r="DS27" s="136"/>
      <c r="DT27" s="136"/>
      <c r="DU27" s="136"/>
      <c r="DV27" s="136"/>
      <c r="DW27" s="136"/>
      <c r="DX27" s="136"/>
      <c r="DY27" s="136">
        <v>0</v>
      </c>
      <c r="DZ27" s="136">
        <v>0</v>
      </c>
      <c r="EA27" s="136">
        <v>0</v>
      </c>
      <c r="EB27" s="136">
        <v>0</v>
      </c>
      <c r="EC27" s="136">
        <v>0</v>
      </c>
      <c r="ED27" s="136">
        <v>0</v>
      </c>
      <c r="EE27" s="136">
        <v>0</v>
      </c>
      <c r="EF27" s="136">
        <v>0</v>
      </c>
      <c r="EG27" s="136">
        <v>0</v>
      </c>
      <c r="EH27" s="136">
        <v>0</v>
      </c>
      <c r="EI27" s="136">
        <v>0</v>
      </c>
      <c r="EJ27" s="136">
        <v>0</v>
      </c>
      <c r="EK27" s="136"/>
      <c r="EL27" s="136"/>
      <c r="EM27" s="136"/>
      <c r="EN27" s="136"/>
      <c r="EO27" s="136"/>
      <c r="EP27" s="136"/>
      <c r="EQ27" s="136">
        <v>0</v>
      </c>
      <c r="ER27" s="136">
        <v>0</v>
      </c>
      <c r="ES27" s="136">
        <v>0</v>
      </c>
      <c r="ET27" s="136">
        <v>0</v>
      </c>
      <c r="EU27" s="136">
        <v>0</v>
      </c>
      <c r="EV27" s="136">
        <v>0</v>
      </c>
      <c r="EW27" s="136"/>
      <c r="EX27" s="136"/>
      <c r="EY27" s="136"/>
      <c r="EZ27" s="136"/>
      <c r="FA27" s="136"/>
      <c r="FB27" s="136"/>
      <c r="FC27" s="136">
        <v>0</v>
      </c>
      <c r="FD27" s="136">
        <v>0</v>
      </c>
      <c r="FE27" s="136">
        <v>0</v>
      </c>
      <c r="FF27" s="136">
        <v>0</v>
      </c>
      <c r="FG27" s="136">
        <v>0</v>
      </c>
      <c r="FH27" s="136">
        <v>0</v>
      </c>
      <c r="FI27" s="136"/>
      <c r="FJ27" s="136"/>
      <c r="FK27" s="136"/>
      <c r="FL27" s="136"/>
      <c r="FM27" s="136"/>
      <c r="FN27" s="136"/>
      <c r="FO27" s="136">
        <v>0</v>
      </c>
      <c r="FP27" s="136">
        <v>0</v>
      </c>
      <c r="FQ27" s="136">
        <v>0</v>
      </c>
      <c r="FR27" s="136">
        <v>0</v>
      </c>
      <c r="FS27" s="136">
        <v>0</v>
      </c>
      <c r="FT27" s="136">
        <v>0</v>
      </c>
      <c r="FU27" s="136">
        <v>0</v>
      </c>
      <c r="FV27" s="136">
        <v>0</v>
      </c>
      <c r="FW27" s="136">
        <v>0</v>
      </c>
      <c r="FX27" s="136">
        <v>0</v>
      </c>
      <c r="FY27" s="136">
        <v>0</v>
      </c>
      <c r="FZ27" s="136">
        <v>0</v>
      </c>
      <c r="GA27" s="136">
        <v>57322</v>
      </c>
      <c r="GB27" s="136">
        <v>20012</v>
      </c>
      <c r="GC27" s="136">
        <v>0</v>
      </c>
      <c r="GD27" s="136">
        <v>0</v>
      </c>
      <c r="GE27" s="136">
        <v>0</v>
      </c>
      <c r="GF27" s="136">
        <v>0</v>
      </c>
      <c r="GG27" s="136">
        <v>0</v>
      </c>
      <c r="GH27" s="136">
        <v>0</v>
      </c>
      <c r="GI27" s="136">
        <v>0</v>
      </c>
      <c r="GJ27" s="136">
        <v>0</v>
      </c>
      <c r="GK27" s="136">
        <v>0</v>
      </c>
      <c r="GL27" s="136">
        <v>0</v>
      </c>
      <c r="GM27" s="136">
        <v>0</v>
      </c>
      <c r="GN27" s="136">
        <v>0</v>
      </c>
      <c r="GO27" s="136">
        <v>0</v>
      </c>
      <c r="GP27" s="136">
        <v>0</v>
      </c>
      <c r="GQ27" s="136">
        <v>0</v>
      </c>
      <c r="GR27" s="136">
        <v>0</v>
      </c>
      <c r="GS27" s="136">
        <v>97536449</v>
      </c>
      <c r="GT27" s="136">
        <v>1421969</v>
      </c>
      <c r="GU27" s="136">
        <v>155499450</v>
      </c>
      <c r="GV27" s="35" t="s">
        <v>340</v>
      </c>
      <c r="GW27" s="137">
        <v>9794586077</v>
      </c>
      <c r="GX27" s="35" t="s">
        <v>341</v>
      </c>
      <c r="GY27" s="136">
        <v>1622057</v>
      </c>
      <c r="GZ27" s="136">
        <v>0</v>
      </c>
      <c r="HA27" s="136">
        <v>0</v>
      </c>
      <c r="HB27" s="136">
        <v>0</v>
      </c>
      <c r="HC27" s="136">
        <v>0</v>
      </c>
      <c r="HD27" s="136">
        <v>0</v>
      </c>
      <c r="HE27" s="136">
        <v>0</v>
      </c>
      <c r="HF27" s="136">
        <v>0</v>
      </c>
      <c r="HG27" s="136">
        <v>0</v>
      </c>
      <c r="HH27" s="136">
        <v>0</v>
      </c>
      <c r="HI27" s="35" t="s">
        <v>439</v>
      </c>
      <c r="HJ27" s="35" t="s">
        <v>439</v>
      </c>
      <c r="HK27" s="35" t="s">
        <v>439</v>
      </c>
      <c r="HL27"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211949</v>
      </c>
      <c r="HM27"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38438</v>
      </c>
      <c r="HN27"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122825</v>
      </c>
      <c r="HO27"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8211</v>
      </c>
      <c r="HP27"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1514657</v>
      </c>
      <c r="HQ27"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27"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1622057</v>
      </c>
    </row>
    <row r="28" spans="1:226">
      <c r="A28" s="35" t="s">
        <v>53</v>
      </c>
      <c r="B28" s="37" t="s">
        <v>840</v>
      </c>
      <c r="C28" s="37">
        <v>600</v>
      </c>
      <c r="D28" s="37" t="s">
        <v>835</v>
      </c>
      <c r="E28" s="103">
        <v>556</v>
      </c>
      <c r="F28" s="136">
        <v>2615923</v>
      </c>
      <c r="G28" s="136">
        <v>0</v>
      </c>
      <c r="H28" s="136">
        <v>229607668</v>
      </c>
      <c r="I28" s="136">
        <v>24637992</v>
      </c>
      <c r="J28" s="136">
        <v>14610595</v>
      </c>
      <c r="K28" s="136">
        <v>274741</v>
      </c>
      <c r="L28" s="136">
        <v>826464</v>
      </c>
      <c r="M28" s="136">
        <v>25711934</v>
      </c>
      <c r="N28" s="136">
        <v>16988291</v>
      </c>
      <c r="O28" s="136">
        <v>50411462</v>
      </c>
      <c r="P28" s="136">
        <v>82918032</v>
      </c>
      <c r="Q28" s="136">
        <v>796305</v>
      </c>
      <c r="R28" s="136">
        <v>54907335</v>
      </c>
      <c r="S28" s="136">
        <v>6147619</v>
      </c>
      <c r="T28" s="136">
        <v>5003737</v>
      </c>
      <c r="U28" s="136">
        <v>42407515</v>
      </c>
      <c r="V28" s="136">
        <v>0</v>
      </c>
      <c r="W28" s="136">
        <v>1683302</v>
      </c>
      <c r="X28" s="136">
        <v>174190</v>
      </c>
      <c r="Y28" s="136">
        <v>1432764</v>
      </c>
      <c r="Z28" s="136">
        <v>3565514</v>
      </c>
      <c r="AA28" s="136">
        <v>152169</v>
      </c>
      <c r="AB28" s="136">
        <v>0</v>
      </c>
      <c r="AC28" s="136">
        <v>0</v>
      </c>
      <c r="AD28" s="136">
        <v>0</v>
      </c>
      <c r="AE28" s="136">
        <v>0</v>
      </c>
      <c r="AF28" s="136">
        <v>0</v>
      </c>
      <c r="AG28" s="136">
        <v>2031208</v>
      </c>
      <c r="AH28" s="136">
        <v>0</v>
      </c>
      <c r="AI28" s="136">
        <v>319201</v>
      </c>
      <c r="AJ28" s="136">
        <v>376488</v>
      </c>
      <c r="AK28" s="136">
        <v>40254</v>
      </c>
      <c r="AL28" s="136">
        <v>545864</v>
      </c>
      <c r="AM28" s="136">
        <v>2671542</v>
      </c>
      <c r="AN28" s="136">
        <v>0</v>
      </c>
      <c r="AO28" s="136">
        <v>223559</v>
      </c>
      <c r="AP28" s="136">
        <v>82663</v>
      </c>
      <c r="AQ28" s="136">
        <v>277554</v>
      </c>
      <c r="AR28" s="136">
        <v>21120</v>
      </c>
      <c r="AS28" s="136">
        <v>0</v>
      </c>
      <c r="AT28" s="136">
        <v>0</v>
      </c>
      <c r="AU28" s="136">
        <v>0</v>
      </c>
      <c r="AV28" s="136">
        <v>0</v>
      </c>
      <c r="AW28" s="136">
        <v>0</v>
      </c>
      <c r="AX28" s="136">
        <v>0</v>
      </c>
      <c r="AY28" s="136">
        <v>2523451</v>
      </c>
      <c r="AZ28" s="136">
        <v>0</v>
      </c>
      <c r="BA28" s="136">
        <v>19292</v>
      </c>
      <c r="BB28" s="136">
        <v>0</v>
      </c>
      <c r="BC28" s="136">
        <v>67109</v>
      </c>
      <c r="BD28" s="136">
        <v>76063</v>
      </c>
      <c r="BE28" s="136">
        <v>690655</v>
      </c>
      <c r="BF28" s="136">
        <v>0</v>
      </c>
      <c r="BG28" s="136">
        <v>75267</v>
      </c>
      <c r="BH28" s="136">
        <v>0</v>
      </c>
      <c r="BI28" s="136">
        <v>23663</v>
      </c>
      <c r="BJ28" s="136">
        <v>0</v>
      </c>
      <c r="BK28" s="136">
        <v>0</v>
      </c>
      <c r="BL28" s="136">
        <v>0</v>
      </c>
      <c r="BM28" s="136">
        <v>0</v>
      </c>
      <c r="BN28" s="136">
        <v>0</v>
      </c>
      <c r="BO28" s="136">
        <v>0</v>
      </c>
      <c r="BP28" s="136">
        <v>0</v>
      </c>
      <c r="BQ28" s="136">
        <v>2084356</v>
      </c>
      <c r="BR28" s="136">
        <v>0</v>
      </c>
      <c r="BS28" s="136">
        <v>0</v>
      </c>
      <c r="BT28" s="136">
        <v>10655</v>
      </c>
      <c r="BU28" s="136">
        <v>0</v>
      </c>
      <c r="BV28" s="136">
        <v>127388</v>
      </c>
      <c r="BW28" s="136">
        <v>4208529</v>
      </c>
      <c r="BX28" s="136">
        <v>0</v>
      </c>
      <c r="BY28" s="136">
        <v>42883</v>
      </c>
      <c r="BZ28" s="136">
        <v>0</v>
      </c>
      <c r="CA28" s="136">
        <v>0</v>
      </c>
      <c r="CB28" s="136">
        <v>0</v>
      </c>
      <c r="CC28" s="136">
        <v>0</v>
      </c>
      <c r="CD28" s="136">
        <v>0</v>
      </c>
      <c r="CE28" s="136">
        <v>0</v>
      </c>
      <c r="CF28" s="136">
        <v>0</v>
      </c>
      <c r="CG28" s="136">
        <v>0</v>
      </c>
      <c r="CH28" s="136">
        <v>0</v>
      </c>
      <c r="CI28" s="136">
        <v>6969</v>
      </c>
      <c r="CJ28" s="136">
        <v>0</v>
      </c>
      <c r="CK28" s="136">
        <v>0</v>
      </c>
      <c r="CL28" s="136">
        <v>0</v>
      </c>
      <c r="CM28" s="136">
        <v>0</v>
      </c>
      <c r="CN28" s="136">
        <v>0</v>
      </c>
      <c r="CO28" s="136">
        <v>641971</v>
      </c>
      <c r="CP28" s="136">
        <v>0</v>
      </c>
      <c r="CQ28" s="136">
        <v>0</v>
      </c>
      <c r="CR28" s="136">
        <v>2683780</v>
      </c>
      <c r="CS28" s="136">
        <v>0</v>
      </c>
      <c r="CT28" s="136">
        <v>0</v>
      </c>
      <c r="CU28" s="136">
        <v>0</v>
      </c>
      <c r="CV28" s="136">
        <v>0</v>
      </c>
      <c r="CW28" s="136">
        <v>0</v>
      </c>
      <c r="CX28" s="136">
        <v>0</v>
      </c>
      <c r="CY28" s="136">
        <v>0</v>
      </c>
      <c r="CZ28" s="136">
        <v>0</v>
      </c>
      <c r="DA28" s="136"/>
      <c r="DB28" s="136"/>
      <c r="DC28" s="136"/>
      <c r="DD28" s="136"/>
      <c r="DE28" s="136"/>
      <c r="DF28" s="136"/>
      <c r="DG28" s="136">
        <v>298551</v>
      </c>
      <c r="DH28" s="136">
        <v>0</v>
      </c>
      <c r="DI28" s="136">
        <v>0</v>
      </c>
      <c r="DJ28" s="136">
        <v>0</v>
      </c>
      <c r="DK28" s="136">
        <v>21481</v>
      </c>
      <c r="DL28" s="136">
        <v>166000</v>
      </c>
      <c r="DM28" s="136">
        <v>0</v>
      </c>
      <c r="DN28" s="136">
        <v>0</v>
      </c>
      <c r="DO28" s="136">
        <v>0</v>
      </c>
      <c r="DP28" s="136">
        <v>0</v>
      </c>
      <c r="DQ28" s="136">
        <v>0</v>
      </c>
      <c r="DR28" s="136">
        <v>0</v>
      </c>
      <c r="DS28" s="136"/>
      <c r="DT28" s="136"/>
      <c r="DU28" s="136"/>
      <c r="DV28" s="136"/>
      <c r="DW28" s="136"/>
      <c r="DX28" s="136"/>
      <c r="DY28" s="136">
        <v>7974956</v>
      </c>
      <c r="DZ28" s="136">
        <v>0</v>
      </c>
      <c r="EA28" s="136">
        <v>0</v>
      </c>
      <c r="EB28" s="136">
        <v>0</v>
      </c>
      <c r="EC28" s="136">
        <v>72364</v>
      </c>
      <c r="ED28" s="136">
        <v>761761</v>
      </c>
      <c r="EE28" s="136">
        <v>1311136</v>
      </c>
      <c r="EF28" s="136">
        <v>0</v>
      </c>
      <c r="EG28" s="136">
        <v>0</v>
      </c>
      <c r="EH28" s="136">
        <v>0</v>
      </c>
      <c r="EI28" s="136">
        <v>3</v>
      </c>
      <c r="EJ28" s="136">
        <v>0</v>
      </c>
      <c r="EK28" s="136"/>
      <c r="EL28" s="136"/>
      <c r="EM28" s="136"/>
      <c r="EN28" s="136"/>
      <c r="EO28" s="136"/>
      <c r="EP28" s="136"/>
      <c r="EQ28" s="136">
        <v>-24994</v>
      </c>
      <c r="ER28" s="136">
        <v>0</v>
      </c>
      <c r="ES28" s="136">
        <v>0</v>
      </c>
      <c r="ET28" s="136">
        <v>0</v>
      </c>
      <c r="EU28" s="136">
        <v>0</v>
      </c>
      <c r="EV28" s="136">
        <v>0</v>
      </c>
      <c r="EW28" s="136"/>
      <c r="EX28" s="136"/>
      <c r="EY28" s="136"/>
      <c r="EZ28" s="136"/>
      <c r="FA28" s="136"/>
      <c r="FB28" s="136"/>
      <c r="FC28" s="136">
        <v>0</v>
      </c>
      <c r="FD28" s="136">
        <v>0</v>
      </c>
      <c r="FE28" s="136">
        <v>0</v>
      </c>
      <c r="FF28" s="136">
        <v>0</v>
      </c>
      <c r="FG28" s="136">
        <v>0</v>
      </c>
      <c r="FH28" s="136">
        <v>0</v>
      </c>
      <c r="FI28" s="136"/>
      <c r="FJ28" s="136"/>
      <c r="FK28" s="136"/>
      <c r="FL28" s="136"/>
      <c r="FM28" s="136"/>
      <c r="FN28" s="136"/>
      <c r="FO28" s="136">
        <v>0</v>
      </c>
      <c r="FP28" s="136">
        <v>0</v>
      </c>
      <c r="FQ28" s="136">
        <v>0</v>
      </c>
      <c r="FR28" s="136">
        <v>0</v>
      </c>
      <c r="FS28" s="136">
        <v>0</v>
      </c>
      <c r="FT28" s="136">
        <v>0</v>
      </c>
      <c r="FU28" s="136">
        <v>0</v>
      </c>
      <c r="FV28" s="136">
        <v>0</v>
      </c>
      <c r="FW28" s="136">
        <v>0</v>
      </c>
      <c r="FX28" s="136">
        <v>0</v>
      </c>
      <c r="FY28" s="136">
        <v>0</v>
      </c>
      <c r="FZ28" s="136">
        <v>0</v>
      </c>
      <c r="GA28" s="136">
        <v>1533992</v>
      </c>
      <c r="GB28" s="136">
        <v>0</v>
      </c>
      <c r="GC28" s="136">
        <v>442150</v>
      </c>
      <c r="GD28" s="136">
        <v>18510</v>
      </c>
      <c r="GE28" s="136">
        <v>21481</v>
      </c>
      <c r="GF28" s="136">
        <v>21871</v>
      </c>
      <c r="GG28" s="136">
        <v>482343</v>
      </c>
      <c r="GH28" s="136">
        <v>0</v>
      </c>
      <c r="GI28" s="136">
        <v>3002</v>
      </c>
      <c r="GJ28" s="136">
        <v>0</v>
      </c>
      <c r="GK28" s="136">
        <v>0</v>
      </c>
      <c r="GL28" s="136">
        <v>6188</v>
      </c>
      <c r="GM28" s="136">
        <v>0</v>
      </c>
      <c r="GN28" s="136">
        <v>0</v>
      </c>
      <c r="GO28" s="136">
        <v>0</v>
      </c>
      <c r="GP28" s="136">
        <v>0</v>
      </c>
      <c r="GQ28" s="136">
        <v>0</v>
      </c>
      <c r="GR28" s="136">
        <v>0</v>
      </c>
      <c r="GS28" s="136">
        <v>96689003</v>
      </c>
      <c r="GT28" s="136">
        <v>242878997</v>
      </c>
      <c r="GU28" s="136">
        <v>249673418</v>
      </c>
      <c r="GV28" s="35" t="s">
        <v>340</v>
      </c>
      <c r="GW28" s="137">
        <v>9794586077</v>
      </c>
      <c r="GX28" s="35" t="s">
        <v>341</v>
      </c>
      <c r="GY28" s="136">
        <v>232223591</v>
      </c>
      <c r="GZ28" s="136">
        <v>0</v>
      </c>
      <c r="HA28" s="136">
        <v>0</v>
      </c>
      <c r="HB28" s="136">
        <v>0</v>
      </c>
      <c r="HC28" s="136">
        <v>0</v>
      </c>
      <c r="HD28" s="136">
        <v>0</v>
      </c>
      <c r="HE28" s="136">
        <v>0</v>
      </c>
      <c r="HF28" s="136">
        <v>0</v>
      </c>
      <c r="HG28" s="136">
        <v>0</v>
      </c>
      <c r="HH28" s="136">
        <v>0</v>
      </c>
      <c r="HI28" s="35" t="s">
        <v>439</v>
      </c>
      <c r="HJ28" s="35" t="s">
        <v>439</v>
      </c>
      <c r="HK28" s="35" t="s">
        <v>439</v>
      </c>
      <c r="HL28"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108128378</v>
      </c>
      <c r="HM28"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82918032</v>
      </c>
      <c r="HN28"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3159809</v>
      </c>
      <c r="HO28"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58533662</v>
      </c>
      <c r="HP28"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8010444</v>
      </c>
      <c r="HQ28"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9505686</v>
      </c>
      <c r="HR28"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232223591</v>
      </c>
    </row>
    <row r="29" spans="1:226">
      <c r="A29" s="35" t="s">
        <v>55</v>
      </c>
      <c r="B29" s="37" t="s">
        <v>840</v>
      </c>
      <c r="C29" s="37">
        <v>610</v>
      </c>
      <c r="D29" s="37" t="s">
        <v>835</v>
      </c>
      <c r="E29" s="103">
        <v>712</v>
      </c>
      <c r="F29" s="136">
        <v>3918415</v>
      </c>
      <c r="G29" s="136">
        <v>0</v>
      </c>
      <c r="H29" s="136">
        <v>222249915</v>
      </c>
      <c r="I29" s="136">
        <v>38170046</v>
      </c>
      <c r="J29" s="136">
        <v>19672490</v>
      </c>
      <c r="K29" s="136">
        <v>-43480</v>
      </c>
      <c r="L29" s="136">
        <v>0</v>
      </c>
      <c r="M29" s="136">
        <v>42397607</v>
      </c>
      <c r="N29" s="136">
        <v>45197350</v>
      </c>
      <c r="O29" s="136">
        <v>0</v>
      </c>
      <c r="P29" s="136">
        <v>0</v>
      </c>
      <c r="Q29" s="136">
        <v>0</v>
      </c>
      <c r="R29" s="136">
        <v>19007</v>
      </c>
      <c r="S29" s="136">
        <v>0</v>
      </c>
      <c r="T29" s="136">
        <v>0</v>
      </c>
      <c r="U29" s="136">
        <v>24875478</v>
      </c>
      <c r="V29" s="136">
        <v>60820</v>
      </c>
      <c r="W29" s="136">
        <v>1741378</v>
      </c>
      <c r="X29" s="136">
        <v>1449852</v>
      </c>
      <c r="Y29" s="136">
        <v>750446</v>
      </c>
      <c r="Z29" s="136">
        <v>472119</v>
      </c>
      <c r="AA29" s="136">
        <v>7998867</v>
      </c>
      <c r="AB29" s="136">
        <v>130890</v>
      </c>
      <c r="AC29" s="136">
        <v>631999</v>
      </c>
      <c r="AD29" s="136">
        <v>1154599</v>
      </c>
      <c r="AE29" s="136">
        <v>450544</v>
      </c>
      <c r="AF29" s="136">
        <v>377285</v>
      </c>
      <c r="AG29" s="136">
        <v>112118735</v>
      </c>
      <c r="AH29" s="136">
        <v>35809924</v>
      </c>
      <c r="AI29" s="136">
        <v>2857141</v>
      </c>
      <c r="AJ29" s="136">
        <v>43350238</v>
      </c>
      <c r="AK29" s="136">
        <v>14716460</v>
      </c>
      <c r="AL29" s="136">
        <v>20094076</v>
      </c>
      <c r="AM29" s="136">
        <v>596112</v>
      </c>
      <c r="AN29" s="136">
        <v>0</v>
      </c>
      <c r="AO29" s="136">
        <v>164963</v>
      </c>
      <c r="AP29" s="136">
        <v>8754</v>
      </c>
      <c r="AQ29" s="136">
        <v>151738</v>
      </c>
      <c r="AR29" s="136">
        <v>261818</v>
      </c>
      <c r="AS29" s="136">
        <v>31688</v>
      </c>
      <c r="AT29" s="136">
        <v>22951</v>
      </c>
      <c r="AU29" s="136">
        <v>124124</v>
      </c>
      <c r="AV29" s="136">
        <v>3010</v>
      </c>
      <c r="AW29" s="136">
        <v>0</v>
      </c>
      <c r="AX29" s="136">
        <v>1205</v>
      </c>
      <c r="AY29" s="136">
        <v>0</v>
      </c>
      <c r="AZ29" s="136">
        <v>0</v>
      </c>
      <c r="BA29" s="136">
        <v>0</v>
      </c>
      <c r="BB29" s="136">
        <v>1173</v>
      </c>
      <c r="BC29" s="136">
        <v>0</v>
      </c>
      <c r="BD29" s="136">
        <v>0</v>
      </c>
      <c r="BE29" s="136">
        <v>6396832</v>
      </c>
      <c r="BF29" s="136">
        <v>0</v>
      </c>
      <c r="BG29" s="136">
        <v>7626</v>
      </c>
      <c r="BH29" s="136">
        <v>81962</v>
      </c>
      <c r="BI29" s="136">
        <v>923132</v>
      </c>
      <c r="BJ29" s="136">
        <v>600241</v>
      </c>
      <c r="BK29" s="136">
        <v>0</v>
      </c>
      <c r="BL29" s="136">
        <v>0</v>
      </c>
      <c r="BM29" s="136">
        <v>0</v>
      </c>
      <c r="BN29" s="136">
        <v>6396</v>
      </c>
      <c r="BO29" s="136">
        <v>0</v>
      </c>
      <c r="BP29" s="136">
        <v>0</v>
      </c>
      <c r="BQ29" s="136">
        <v>266097</v>
      </c>
      <c r="BR29" s="136">
        <v>0</v>
      </c>
      <c r="BS29" s="136">
        <v>0</v>
      </c>
      <c r="BT29" s="136">
        <v>68491</v>
      </c>
      <c r="BU29" s="136">
        <v>0</v>
      </c>
      <c r="BV29" s="136">
        <v>0</v>
      </c>
      <c r="BW29" s="136">
        <v>447549</v>
      </c>
      <c r="BX29" s="136">
        <v>0</v>
      </c>
      <c r="BY29" s="136">
        <v>0</v>
      </c>
      <c r="BZ29" s="136">
        <v>29209</v>
      </c>
      <c r="CA29" s="136">
        <v>443</v>
      </c>
      <c r="CB29" s="136">
        <v>3000</v>
      </c>
      <c r="CC29" s="136">
        <v>0</v>
      </c>
      <c r="CD29" s="136">
        <v>0</v>
      </c>
      <c r="CE29" s="136">
        <v>0</v>
      </c>
      <c r="CF29" s="136">
        <v>0</v>
      </c>
      <c r="CG29" s="136">
        <v>0</v>
      </c>
      <c r="CH29" s="136">
        <v>0</v>
      </c>
      <c r="CI29" s="136">
        <v>219092</v>
      </c>
      <c r="CJ29" s="136">
        <v>0</v>
      </c>
      <c r="CK29" s="136">
        <v>0</v>
      </c>
      <c r="CL29" s="136">
        <v>0</v>
      </c>
      <c r="CM29" s="136">
        <v>0</v>
      </c>
      <c r="CN29" s="136">
        <v>0</v>
      </c>
      <c r="CO29" s="136">
        <v>571507</v>
      </c>
      <c r="CP29" s="136">
        <v>0</v>
      </c>
      <c r="CQ29" s="136">
        <v>0</v>
      </c>
      <c r="CR29" s="136">
        <v>0</v>
      </c>
      <c r="CS29" s="136">
        <v>0</v>
      </c>
      <c r="CT29" s="136">
        <v>0</v>
      </c>
      <c r="CU29" s="136">
        <v>0</v>
      </c>
      <c r="CV29" s="136">
        <v>0</v>
      </c>
      <c r="CW29" s="136">
        <v>0</v>
      </c>
      <c r="CX29" s="136">
        <v>0</v>
      </c>
      <c r="CY29" s="136">
        <v>0</v>
      </c>
      <c r="CZ29" s="136">
        <v>0</v>
      </c>
      <c r="DA29" s="136"/>
      <c r="DB29" s="136"/>
      <c r="DC29" s="136"/>
      <c r="DD29" s="136"/>
      <c r="DE29" s="136"/>
      <c r="DF29" s="136"/>
      <c r="DG29" s="136">
        <v>0</v>
      </c>
      <c r="DH29" s="136">
        <v>0</v>
      </c>
      <c r="DI29" s="136">
        <v>0</v>
      </c>
      <c r="DJ29" s="136">
        <v>0</v>
      </c>
      <c r="DK29" s="136">
        <v>0</v>
      </c>
      <c r="DL29" s="136">
        <v>0</v>
      </c>
      <c r="DM29" s="136">
        <v>5892625</v>
      </c>
      <c r="DN29" s="136">
        <v>0</v>
      </c>
      <c r="DO29" s="136">
        <v>0</v>
      </c>
      <c r="DP29" s="136">
        <v>0</v>
      </c>
      <c r="DQ29" s="136">
        <v>167465</v>
      </c>
      <c r="DR29" s="136">
        <v>0</v>
      </c>
      <c r="DS29" s="136"/>
      <c r="DT29" s="136"/>
      <c r="DU29" s="136"/>
      <c r="DV29" s="136"/>
      <c r="DW29" s="136"/>
      <c r="DX29" s="136"/>
      <c r="DY29" s="136">
        <v>13295056</v>
      </c>
      <c r="DZ29" s="136">
        <v>0</v>
      </c>
      <c r="EA29" s="136">
        <v>170565</v>
      </c>
      <c r="EB29" s="136">
        <v>0</v>
      </c>
      <c r="EC29" s="136">
        <v>12285</v>
      </c>
      <c r="ED29" s="136">
        <v>17210</v>
      </c>
      <c r="EE29" s="136">
        <v>1251534</v>
      </c>
      <c r="EF29" s="136">
        <v>0</v>
      </c>
      <c r="EG29" s="136">
        <v>1047060</v>
      </c>
      <c r="EH29" s="136">
        <v>0</v>
      </c>
      <c r="EI29" s="136">
        <v>0</v>
      </c>
      <c r="EJ29" s="136">
        <v>4850</v>
      </c>
      <c r="EK29" s="136"/>
      <c r="EL29" s="136"/>
      <c r="EM29" s="136"/>
      <c r="EN29" s="136"/>
      <c r="EO29" s="136"/>
      <c r="EP29" s="136"/>
      <c r="EQ29" s="136">
        <v>9284799</v>
      </c>
      <c r="ER29" s="136">
        <v>0</v>
      </c>
      <c r="ES29" s="136">
        <v>310353</v>
      </c>
      <c r="ET29" s="136">
        <v>0</v>
      </c>
      <c r="EU29" s="136">
        <v>3959247</v>
      </c>
      <c r="EV29" s="136">
        <v>3180347</v>
      </c>
      <c r="EW29" s="136"/>
      <c r="EX29" s="136"/>
      <c r="EY29" s="136"/>
      <c r="EZ29" s="136"/>
      <c r="FA29" s="136"/>
      <c r="FB29" s="136"/>
      <c r="FC29" s="136">
        <v>4123799</v>
      </c>
      <c r="FD29" s="136">
        <v>0</v>
      </c>
      <c r="FE29" s="136">
        <v>0</v>
      </c>
      <c r="FF29" s="136">
        <v>0</v>
      </c>
      <c r="FG29" s="136">
        <v>7682</v>
      </c>
      <c r="FH29" s="136">
        <v>169493</v>
      </c>
      <c r="FI29" s="136"/>
      <c r="FJ29" s="136"/>
      <c r="FK29" s="136"/>
      <c r="FL29" s="136"/>
      <c r="FM29" s="136"/>
      <c r="FN29" s="136"/>
      <c r="FO29" s="136">
        <v>6150208</v>
      </c>
      <c r="FP29" s="136">
        <v>0</v>
      </c>
      <c r="FQ29" s="136">
        <v>22385</v>
      </c>
      <c r="FR29" s="136">
        <v>0</v>
      </c>
      <c r="FS29" s="136">
        <v>956654</v>
      </c>
      <c r="FT29" s="136">
        <v>724930</v>
      </c>
      <c r="FU29" s="136">
        <v>10984626</v>
      </c>
      <c r="FV29" s="136">
        <v>0</v>
      </c>
      <c r="FW29" s="136">
        <v>199606</v>
      </c>
      <c r="FX29" s="136">
        <v>0</v>
      </c>
      <c r="FY29" s="136">
        <v>113450</v>
      </c>
      <c r="FZ29" s="136">
        <v>63573</v>
      </c>
      <c r="GA29" s="136">
        <v>246603</v>
      </c>
      <c r="GB29" s="136">
        <v>0</v>
      </c>
      <c r="GC29" s="136">
        <v>131384</v>
      </c>
      <c r="GD29" s="136">
        <v>0</v>
      </c>
      <c r="GE29" s="136">
        <v>0</v>
      </c>
      <c r="GF29" s="136">
        <v>32168</v>
      </c>
      <c r="GG29" s="136">
        <v>725862</v>
      </c>
      <c r="GH29" s="136">
        <v>0</v>
      </c>
      <c r="GI29" s="136">
        <v>0</v>
      </c>
      <c r="GJ29" s="136">
        <v>0</v>
      </c>
      <c r="GK29" s="136">
        <v>0</v>
      </c>
      <c r="GL29" s="136">
        <v>0</v>
      </c>
      <c r="GM29" s="136">
        <v>0</v>
      </c>
      <c r="GN29" s="136">
        <v>0</v>
      </c>
      <c r="GO29" s="136">
        <v>0</v>
      </c>
      <c r="GP29" s="136">
        <v>0</v>
      </c>
      <c r="GQ29" s="136">
        <v>0</v>
      </c>
      <c r="GR29" s="136">
        <v>0</v>
      </c>
      <c r="GS29" s="136">
        <v>35590271</v>
      </c>
      <c r="GT29" s="136">
        <v>243728387</v>
      </c>
      <c r="GU29" s="136">
        <v>243728387</v>
      </c>
      <c r="GV29" s="35" t="s">
        <v>340</v>
      </c>
      <c r="GW29" s="137">
        <v>9794586077</v>
      </c>
      <c r="GX29" s="35" t="s">
        <v>341</v>
      </c>
      <c r="GY29" s="136">
        <v>226168330</v>
      </c>
      <c r="GZ29" s="136">
        <v>0</v>
      </c>
      <c r="HA29" s="136">
        <v>0</v>
      </c>
      <c r="HB29" s="136">
        <v>0</v>
      </c>
      <c r="HC29" s="136">
        <v>0</v>
      </c>
      <c r="HD29" s="136">
        <v>0</v>
      </c>
      <c r="HE29" s="136">
        <v>0</v>
      </c>
      <c r="HF29" s="136">
        <v>0</v>
      </c>
      <c r="HG29" s="136">
        <v>0</v>
      </c>
      <c r="HH29" s="136">
        <v>0</v>
      </c>
      <c r="HI29" s="35" t="s">
        <v>439</v>
      </c>
      <c r="HJ29" s="35" t="s">
        <v>439</v>
      </c>
      <c r="HK29" s="35" t="s">
        <v>439</v>
      </c>
      <c r="HL29"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153521957</v>
      </c>
      <c r="HM29"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36024585</v>
      </c>
      <c r="HN29"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5527231</v>
      </c>
      <c r="HO29"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46172691</v>
      </c>
      <c r="HP29"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16992763</v>
      </c>
      <c r="HQ29"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21809744</v>
      </c>
      <c r="HR29"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226168330</v>
      </c>
    </row>
    <row r="30" spans="1:226">
      <c r="A30" s="35" t="s">
        <v>56</v>
      </c>
      <c r="B30" s="37" t="s">
        <v>840</v>
      </c>
      <c r="C30" s="37">
        <v>615</v>
      </c>
      <c r="D30" s="37" t="s">
        <v>835</v>
      </c>
      <c r="E30" s="103">
        <v>716</v>
      </c>
      <c r="F30" s="136">
        <v>0</v>
      </c>
      <c r="G30" s="136">
        <v>0</v>
      </c>
      <c r="H30" s="136">
        <v>0</v>
      </c>
      <c r="I30" s="136">
        <v>0</v>
      </c>
      <c r="J30" s="136">
        <v>0</v>
      </c>
      <c r="K30" s="136">
        <v>0</v>
      </c>
      <c r="L30" s="136">
        <v>0</v>
      </c>
      <c r="M30" s="136">
        <v>0</v>
      </c>
      <c r="N30" s="136">
        <v>0</v>
      </c>
      <c r="O30" s="136">
        <v>0</v>
      </c>
      <c r="P30" s="136">
        <v>0</v>
      </c>
      <c r="Q30" s="136">
        <v>0</v>
      </c>
      <c r="R30" s="136">
        <v>0</v>
      </c>
      <c r="S30" s="136">
        <v>0</v>
      </c>
      <c r="T30" s="136">
        <v>0</v>
      </c>
      <c r="U30" s="136">
        <v>0</v>
      </c>
      <c r="V30" s="136">
        <v>0</v>
      </c>
      <c r="W30" s="136">
        <v>0</v>
      </c>
      <c r="X30" s="136">
        <v>0</v>
      </c>
      <c r="Y30" s="136">
        <v>0</v>
      </c>
      <c r="Z30" s="136">
        <v>0</v>
      </c>
      <c r="AA30" s="136">
        <v>0</v>
      </c>
      <c r="AB30" s="136">
        <v>0</v>
      </c>
      <c r="AC30" s="136">
        <v>0</v>
      </c>
      <c r="AD30" s="136">
        <v>0</v>
      </c>
      <c r="AE30" s="136">
        <v>0</v>
      </c>
      <c r="AF30" s="136">
        <v>0</v>
      </c>
      <c r="AG30" s="136">
        <v>0</v>
      </c>
      <c r="AH30" s="136">
        <v>0</v>
      </c>
      <c r="AI30" s="136">
        <v>0</v>
      </c>
      <c r="AJ30" s="136">
        <v>0</v>
      </c>
      <c r="AK30" s="136">
        <v>0</v>
      </c>
      <c r="AL30" s="136">
        <v>0</v>
      </c>
      <c r="AM30" s="136">
        <v>0</v>
      </c>
      <c r="AN30" s="136">
        <v>0</v>
      </c>
      <c r="AO30" s="136">
        <v>0</v>
      </c>
      <c r="AP30" s="136">
        <v>0</v>
      </c>
      <c r="AQ30" s="136">
        <v>0</v>
      </c>
      <c r="AR30" s="136">
        <v>0</v>
      </c>
      <c r="AS30" s="136">
        <v>0</v>
      </c>
      <c r="AT30" s="136">
        <v>0</v>
      </c>
      <c r="AU30" s="136">
        <v>0</v>
      </c>
      <c r="AV30" s="136">
        <v>0</v>
      </c>
      <c r="AW30" s="136">
        <v>0</v>
      </c>
      <c r="AX30" s="136">
        <v>0</v>
      </c>
      <c r="AY30" s="136">
        <v>0</v>
      </c>
      <c r="AZ30" s="136">
        <v>0</v>
      </c>
      <c r="BA30" s="136">
        <v>0</v>
      </c>
      <c r="BB30" s="136">
        <v>0</v>
      </c>
      <c r="BC30" s="136">
        <v>0</v>
      </c>
      <c r="BD30" s="136">
        <v>0</v>
      </c>
      <c r="BE30" s="136">
        <v>0</v>
      </c>
      <c r="BF30" s="136">
        <v>0</v>
      </c>
      <c r="BG30" s="136">
        <v>0</v>
      </c>
      <c r="BH30" s="136">
        <v>0</v>
      </c>
      <c r="BI30" s="136">
        <v>0</v>
      </c>
      <c r="BJ30" s="136">
        <v>0</v>
      </c>
      <c r="BK30" s="136">
        <v>0</v>
      </c>
      <c r="BL30" s="136">
        <v>0</v>
      </c>
      <c r="BM30" s="136">
        <v>0</v>
      </c>
      <c r="BN30" s="136">
        <v>0</v>
      </c>
      <c r="BO30" s="136">
        <v>0</v>
      </c>
      <c r="BP30" s="136">
        <v>0</v>
      </c>
      <c r="BQ30" s="136">
        <v>0</v>
      </c>
      <c r="BR30" s="136">
        <v>0</v>
      </c>
      <c r="BS30" s="136">
        <v>0</v>
      </c>
      <c r="BT30" s="136">
        <v>0</v>
      </c>
      <c r="BU30" s="136">
        <v>0</v>
      </c>
      <c r="BV30" s="136">
        <v>0</v>
      </c>
      <c r="BW30" s="136">
        <v>0</v>
      </c>
      <c r="BX30" s="136">
        <v>0</v>
      </c>
      <c r="BY30" s="136">
        <v>0</v>
      </c>
      <c r="BZ30" s="136">
        <v>0</v>
      </c>
      <c r="CA30" s="136">
        <v>0</v>
      </c>
      <c r="CB30" s="136">
        <v>0</v>
      </c>
      <c r="CC30" s="136">
        <v>0</v>
      </c>
      <c r="CD30" s="136">
        <v>0</v>
      </c>
      <c r="CE30" s="136">
        <v>0</v>
      </c>
      <c r="CF30" s="136">
        <v>0</v>
      </c>
      <c r="CG30" s="136">
        <v>0</v>
      </c>
      <c r="CH30" s="136">
        <v>0</v>
      </c>
      <c r="CI30" s="136">
        <v>0</v>
      </c>
      <c r="CJ30" s="136">
        <v>0</v>
      </c>
      <c r="CK30" s="136">
        <v>0</v>
      </c>
      <c r="CL30" s="136">
        <v>0</v>
      </c>
      <c r="CM30" s="136">
        <v>0</v>
      </c>
      <c r="CN30" s="136">
        <v>0</v>
      </c>
      <c r="CO30" s="136">
        <v>0</v>
      </c>
      <c r="CP30" s="136">
        <v>0</v>
      </c>
      <c r="CQ30" s="136">
        <v>0</v>
      </c>
      <c r="CR30" s="136">
        <v>0</v>
      </c>
      <c r="CS30" s="136">
        <v>0</v>
      </c>
      <c r="CT30" s="136">
        <v>0</v>
      </c>
      <c r="CU30" s="136">
        <v>0</v>
      </c>
      <c r="CV30" s="136">
        <v>0</v>
      </c>
      <c r="CW30" s="136">
        <v>0</v>
      </c>
      <c r="CX30" s="136">
        <v>0</v>
      </c>
      <c r="CY30" s="136">
        <v>0</v>
      </c>
      <c r="CZ30" s="136">
        <v>0</v>
      </c>
      <c r="DA30" s="136"/>
      <c r="DB30" s="136"/>
      <c r="DC30" s="136"/>
      <c r="DD30" s="136"/>
      <c r="DE30" s="136"/>
      <c r="DF30" s="136"/>
      <c r="DG30" s="136">
        <v>0</v>
      </c>
      <c r="DH30" s="136">
        <v>0</v>
      </c>
      <c r="DI30" s="136">
        <v>0</v>
      </c>
      <c r="DJ30" s="136">
        <v>0</v>
      </c>
      <c r="DK30" s="136">
        <v>0</v>
      </c>
      <c r="DL30" s="136">
        <v>0</v>
      </c>
      <c r="DM30" s="136">
        <v>0</v>
      </c>
      <c r="DN30" s="136">
        <v>0</v>
      </c>
      <c r="DO30" s="136">
        <v>0</v>
      </c>
      <c r="DP30" s="136">
        <v>0</v>
      </c>
      <c r="DQ30" s="136">
        <v>0</v>
      </c>
      <c r="DR30" s="136">
        <v>0</v>
      </c>
      <c r="DS30" s="136"/>
      <c r="DT30" s="136"/>
      <c r="DU30" s="136"/>
      <c r="DV30" s="136"/>
      <c r="DW30" s="136"/>
      <c r="DX30" s="136"/>
      <c r="DY30" s="136">
        <v>0</v>
      </c>
      <c r="DZ30" s="136">
        <v>0</v>
      </c>
      <c r="EA30" s="136">
        <v>0</v>
      </c>
      <c r="EB30" s="136">
        <v>0</v>
      </c>
      <c r="EC30" s="136">
        <v>0</v>
      </c>
      <c r="ED30" s="136">
        <v>0</v>
      </c>
      <c r="EE30" s="136">
        <v>0</v>
      </c>
      <c r="EF30" s="136">
        <v>0</v>
      </c>
      <c r="EG30" s="136">
        <v>0</v>
      </c>
      <c r="EH30" s="136">
        <v>0</v>
      </c>
      <c r="EI30" s="136">
        <v>0</v>
      </c>
      <c r="EJ30" s="136">
        <v>0</v>
      </c>
      <c r="EK30" s="136"/>
      <c r="EL30" s="136"/>
      <c r="EM30" s="136"/>
      <c r="EN30" s="136"/>
      <c r="EO30" s="136"/>
      <c r="EP30" s="136"/>
      <c r="EQ30" s="136">
        <v>0</v>
      </c>
      <c r="ER30" s="136">
        <v>0</v>
      </c>
      <c r="ES30" s="136">
        <v>0</v>
      </c>
      <c r="ET30" s="136">
        <v>0</v>
      </c>
      <c r="EU30" s="136">
        <v>0</v>
      </c>
      <c r="EV30" s="136">
        <v>0</v>
      </c>
      <c r="EW30" s="136"/>
      <c r="EX30" s="136"/>
      <c r="EY30" s="136"/>
      <c r="EZ30" s="136"/>
      <c r="FA30" s="136"/>
      <c r="FB30" s="136"/>
      <c r="FC30" s="136">
        <v>0</v>
      </c>
      <c r="FD30" s="136">
        <v>0</v>
      </c>
      <c r="FE30" s="136">
        <v>0</v>
      </c>
      <c r="FF30" s="136">
        <v>0</v>
      </c>
      <c r="FG30" s="136">
        <v>0</v>
      </c>
      <c r="FH30" s="136">
        <v>0</v>
      </c>
      <c r="FI30" s="136"/>
      <c r="FJ30" s="136"/>
      <c r="FK30" s="136"/>
      <c r="FL30" s="136"/>
      <c r="FM30" s="136"/>
      <c r="FN30" s="136"/>
      <c r="FO30" s="136">
        <v>0</v>
      </c>
      <c r="FP30" s="136">
        <v>0</v>
      </c>
      <c r="FQ30" s="136">
        <v>0</v>
      </c>
      <c r="FR30" s="136">
        <v>0</v>
      </c>
      <c r="FS30" s="136">
        <v>0</v>
      </c>
      <c r="FT30" s="136">
        <v>0</v>
      </c>
      <c r="FU30" s="136">
        <v>0</v>
      </c>
      <c r="FV30" s="136">
        <v>0</v>
      </c>
      <c r="FW30" s="136">
        <v>0</v>
      </c>
      <c r="FX30" s="136">
        <v>0</v>
      </c>
      <c r="FY30" s="136">
        <v>0</v>
      </c>
      <c r="FZ30" s="136">
        <v>0</v>
      </c>
      <c r="GA30" s="136">
        <v>0</v>
      </c>
      <c r="GB30" s="136">
        <v>0</v>
      </c>
      <c r="GC30" s="136">
        <v>0</v>
      </c>
      <c r="GD30" s="136">
        <v>0</v>
      </c>
      <c r="GE30" s="136">
        <v>0</v>
      </c>
      <c r="GF30" s="136">
        <v>0</v>
      </c>
      <c r="GG30" s="136">
        <v>0</v>
      </c>
      <c r="GH30" s="136">
        <v>0</v>
      </c>
      <c r="GI30" s="136">
        <v>0</v>
      </c>
      <c r="GJ30" s="136">
        <v>0</v>
      </c>
      <c r="GK30" s="136">
        <v>0</v>
      </c>
      <c r="GL30" s="136">
        <v>0</v>
      </c>
      <c r="GM30" s="136">
        <v>0</v>
      </c>
      <c r="GN30" s="136">
        <v>0</v>
      </c>
      <c r="GO30" s="136">
        <v>0</v>
      </c>
      <c r="GP30" s="136">
        <v>0</v>
      </c>
      <c r="GQ30" s="136">
        <v>0</v>
      </c>
      <c r="GR30" s="136">
        <v>0</v>
      </c>
      <c r="GS30" s="136">
        <v>31889169</v>
      </c>
      <c r="GT30" s="136">
        <v>0</v>
      </c>
      <c r="GU30" s="136">
        <v>112022876</v>
      </c>
      <c r="GV30" s="35" t="s">
        <v>340</v>
      </c>
      <c r="GW30" s="137">
        <v>9794586077</v>
      </c>
      <c r="GX30" s="35" t="s">
        <v>341</v>
      </c>
      <c r="GY30" s="136">
        <v>0</v>
      </c>
      <c r="GZ30" s="136">
        <v>0</v>
      </c>
      <c r="HA30" s="136">
        <v>0</v>
      </c>
      <c r="HB30" s="136">
        <v>0</v>
      </c>
      <c r="HC30" s="136">
        <v>0</v>
      </c>
      <c r="HD30" s="136">
        <v>0</v>
      </c>
      <c r="HE30" s="136">
        <v>0</v>
      </c>
      <c r="HF30" s="136">
        <v>0</v>
      </c>
      <c r="HG30" s="136">
        <v>0</v>
      </c>
      <c r="HH30" s="136">
        <v>0</v>
      </c>
      <c r="HI30" s="35" t="s">
        <v>439</v>
      </c>
      <c r="HJ30" s="35" t="s">
        <v>439</v>
      </c>
      <c r="HK30" s="35" t="s">
        <v>439</v>
      </c>
      <c r="HL30"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30"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30"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30"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30"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30"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30"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31" spans="1:226">
      <c r="A31" s="35" t="s">
        <v>57</v>
      </c>
      <c r="B31" s="37" t="s">
        <v>840</v>
      </c>
      <c r="C31" s="37">
        <v>620</v>
      </c>
      <c r="D31" s="37" t="s">
        <v>835</v>
      </c>
      <c r="E31" s="103">
        <v>576</v>
      </c>
      <c r="F31" s="136">
        <v>4154</v>
      </c>
      <c r="G31" s="136">
        <v>0</v>
      </c>
      <c r="H31" s="136">
        <v>2661328</v>
      </c>
      <c r="I31" s="136">
        <v>16122</v>
      </c>
      <c r="J31" s="136">
        <v>62687</v>
      </c>
      <c r="K31" s="136">
        <v>0</v>
      </c>
      <c r="L31" s="136">
        <v>0</v>
      </c>
      <c r="M31" s="136">
        <v>0</v>
      </c>
      <c r="N31" s="136">
        <v>0</v>
      </c>
      <c r="O31" s="136">
        <v>1577354</v>
      </c>
      <c r="P31" s="136">
        <v>906341</v>
      </c>
      <c r="Q31" s="136">
        <v>0</v>
      </c>
      <c r="R31" s="136">
        <v>62707</v>
      </c>
      <c r="S31" s="136">
        <v>0</v>
      </c>
      <c r="T31" s="136">
        <v>193735</v>
      </c>
      <c r="U31" s="136">
        <v>0</v>
      </c>
      <c r="V31" s="136">
        <v>0</v>
      </c>
      <c r="W31" s="136">
        <v>0</v>
      </c>
      <c r="X31" s="136">
        <v>0</v>
      </c>
      <c r="Y31" s="136">
        <v>0</v>
      </c>
      <c r="Z31" s="136">
        <v>0</v>
      </c>
      <c r="AA31" s="136">
        <v>0</v>
      </c>
      <c r="AB31" s="136">
        <v>0</v>
      </c>
      <c r="AC31" s="136">
        <v>0</v>
      </c>
      <c r="AD31" s="136">
        <v>0</v>
      </c>
      <c r="AE31" s="136">
        <v>0</v>
      </c>
      <c r="AF31" s="136">
        <v>0</v>
      </c>
      <c r="AG31" s="136">
        <v>0</v>
      </c>
      <c r="AH31" s="136">
        <v>0</v>
      </c>
      <c r="AI31" s="136">
        <v>0</v>
      </c>
      <c r="AJ31" s="136">
        <v>0</v>
      </c>
      <c r="AK31" s="136">
        <v>0</v>
      </c>
      <c r="AL31" s="136">
        <v>0</v>
      </c>
      <c r="AM31" s="136">
        <v>0</v>
      </c>
      <c r="AN31" s="136">
        <v>0</v>
      </c>
      <c r="AO31" s="136">
        <v>0</v>
      </c>
      <c r="AP31" s="136">
        <v>0</v>
      </c>
      <c r="AQ31" s="136">
        <v>0</v>
      </c>
      <c r="AR31" s="136">
        <v>0</v>
      </c>
      <c r="AS31" s="136">
        <v>0</v>
      </c>
      <c r="AT31" s="136">
        <v>0</v>
      </c>
      <c r="AU31" s="136">
        <v>0</v>
      </c>
      <c r="AV31" s="136">
        <v>0</v>
      </c>
      <c r="AW31" s="136">
        <v>0</v>
      </c>
      <c r="AX31" s="136">
        <v>0</v>
      </c>
      <c r="AY31" s="136">
        <v>0</v>
      </c>
      <c r="AZ31" s="136">
        <v>0</v>
      </c>
      <c r="BA31" s="136">
        <v>0</v>
      </c>
      <c r="BB31" s="136">
        <v>0</v>
      </c>
      <c r="BC31" s="136">
        <v>0</v>
      </c>
      <c r="BD31" s="136">
        <v>0</v>
      </c>
      <c r="BE31" s="136">
        <v>0</v>
      </c>
      <c r="BF31" s="136">
        <v>0</v>
      </c>
      <c r="BG31" s="136">
        <v>0</v>
      </c>
      <c r="BH31" s="136">
        <v>0</v>
      </c>
      <c r="BI31" s="136">
        <v>0</v>
      </c>
      <c r="BJ31" s="136">
        <v>0</v>
      </c>
      <c r="BK31" s="136">
        <v>0</v>
      </c>
      <c r="BL31" s="136">
        <v>0</v>
      </c>
      <c r="BM31" s="136">
        <v>0</v>
      </c>
      <c r="BN31" s="136">
        <v>0</v>
      </c>
      <c r="BO31" s="136">
        <v>0</v>
      </c>
      <c r="BP31" s="136">
        <v>0</v>
      </c>
      <c r="BQ31" s="136">
        <v>0</v>
      </c>
      <c r="BR31" s="136">
        <v>0</v>
      </c>
      <c r="BS31" s="136">
        <v>0</v>
      </c>
      <c r="BT31" s="136">
        <v>0</v>
      </c>
      <c r="BU31" s="136">
        <v>0</v>
      </c>
      <c r="BV31" s="136">
        <v>0</v>
      </c>
      <c r="BW31" s="136">
        <v>0</v>
      </c>
      <c r="BX31" s="136">
        <v>0</v>
      </c>
      <c r="BY31" s="136">
        <v>0</v>
      </c>
      <c r="BZ31" s="136">
        <v>0</v>
      </c>
      <c r="CA31" s="136">
        <v>0</v>
      </c>
      <c r="CB31" s="136">
        <v>0</v>
      </c>
      <c r="CC31" s="136">
        <v>0</v>
      </c>
      <c r="CD31" s="136">
        <v>0</v>
      </c>
      <c r="CE31" s="136">
        <v>0</v>
      </c>
      <c r="CF31" s="136">
        <v>0</v>
      </c>
      <c r="CG31" s="136">
        <v>0</v>
      </c>
      <c r="CH31" s="136">
        <v>0</v>
      </c>
      <c r="CI31" s="136">
        <v>0</v>
      </c>
      <c r="CJ31" s="136">
        <v>0</v>
      </c>
      <c r="CK31" s="136">
        <v>0</v>
      </c>
      <c r="CL31" s="136">
        <v>0</v>
      </c>
      <c r="CM31" s="136">
        <v>0</v>
      </c>
      <c r="CN31" s="136">
        <v>0</v>
      </c>
      <c r="CO31" s="136">
        <v>0</v>
      </c>
      <c r="CP31" s="136">
        <v>0</v>
      </c>
      <c r="CQ31" s="136">
        <v>0</v>
      </c>
      <c r="CR31" s="136">
        <v>0</v>
      </c>
      <c r="CS31" s="136">
        <v>0</v>
      </c>
      <c r="CT31" s="136">
        <v>0</v>
      </c>
      <c r="CU31" s="136">
        <v>0</v>
      </c>
      <c r="CV31" s="136">
        <v>0</v>
      </c>
      <c r="CW31" s="136">
        <v>0</v>
      </c>
      <c r="CX31" s="136">
        <v>0</v>
      </c>
      <c r="CY31" s="136">
        <v>0</v>
      </c>
      <c r="CZ31" s="136">
        <v>0</v>
      </c>
      <c r="DA31" s="136"/>
      <c r="DB31" s="136"/>
      <c r="DC31" s="136"/>
      <c r="DD31" s="136"/>
      <c r="DE31" s="136"/>
      <c r="DF31" s="136"/>
      <c r="DG31" s="136">
        <v>0</v>
      </c>
      <c r="DH31" s="136">
        <v>0</v>
      </c>
      <c r="DI31" s="136">
        <v>0</v>
      </c>
      <c r="DJ31" s="136">
        <v>0</v>
      </c>
      <c r="DK31" s="136">
        <v>0</v>
      </c>
      <c r="DL31" s="136">
        <v>0</v>
      </c>
      <c r="DM31" s="136">
        <v>0</v>
      </c>
      <c r="DN31" s="136">
        <v>0</v>
      </c>
      <c r="DO31" s="136">
        <v>0</v>
      </c>
      <c r="DP31" s="136">
        <v>0</v>
      </c>
      <c r="DQ31" s="136">
        <v>0</v>
      </c>
      <c r="DR31" s="136">
        <v>0</v>
      </c>
      <c r="DS31" s="136"/>
      <c r="DT31" s="136"/>
      <c r="DU31" s="136"/>
      <c r="DV31" s="136"/>
      <c r="DW31" s="136"/>
      <c r="DX31" s="136"/>
      <c r="DY31" s="136">
        <v>0</v>
      </c>
      <c r="DZ31" s="136">
        <v>0</v>
      </c>
      <c r="EA31" s="136">
        <v>0</v>
      </c>
      <c r="EB31" s="136">
        <v>0</v>
      </c>
      <c r="EC31" s="136">
        <v>0</v>
      </c>
      <c r="ED31" s="136">
        <v>0</v>
      </c>
      <c r="EE31" s="136">
        <v>0</v>
      </c>
      <c r="EF31" s="136">
        <v>0</v>
      </c>
      <c r="EG31" s="136">
        <v>0</v>
      </c>
      <c r="EH31" s="136">
        <v>0</v>
      </c>
      <c r="EI31" s="136">
        <v>0</v>
      </c>
      <c r="EJ31" s="136">
        <v>0</v>
      </c>
      <c r="EK31" s="136"/>
      <c r="EL31" s="136"/>
      <c r="EM31" s="136"/>
      <c r="EN31" s="136"/>
      <c r="EO31" s="136"/>
      <c r="EP31" s="136"/>
      <c r="EQ31" s="136">
        <v>0</v>
      </c>
      <c r="ER31" s="136">
        <v>0</v>
      </c>
      <c r="ES31" s="136">
        <v>0</v>
      </c>
      <c r="ET31" s="136">
        <v>0</v>
      </c>
      <c r="EU31" s="136">
        <v>0</v>
      </c>
      <c r="EV31" s="136">
        <v>0</v>
      </c>
      <c r="EW31" s="136"/>
      <c r="EX31" s="136"/>
      <c r="EY31" s="136"/>
      <c r="EZ31" s="136"/>
      <c r="FA31" s="136"/>
      <c r="FB31" s="136"/>
      <c r="FC31" s="136">
        <v>0</v>
      </c>
      <c r="FD31" s="136">
        <v>0</v>
      </c>
      <c r="FE31" s="136">
        <v>0</v>
      </c>
      <c r="FF31" s="136">
        <v>0</v>
      </c>
      <c r="FG31" s="136">
        <v>0</v>
      </c>
      <c r="FH31" s="136">
        <v>0</v>
      </c>
      <c r="FI31" s="136"/>
      <c r="FJ31" s="136"/>
      <c r="FK31" s="136"/>
      <c r="FL31" s="136"/>
      <c r="FM31" s="136"/>
      <c r="FN31" s="136"/>
      <c r="FO31" s="136">
        <v>0</v>
      </c>
      <c r="FP31" s="136">
        <v>0</v>
      </c>
      <c r="FQ31" s="136">
        <v>0</v>
      </c>
      <c r="FR31" s="136">
        <v>0</v>
      </c>
      <c r="FS31" s="136">
        <v>0</v>
      </c>
      <c r="FT31" s="136">
        <v>0</v>
      </c>
      <c r="FU31" s="136">
        <v>0</v>
      </c>
      <c r="FV31" s="136">
        <v>0</v>
      </c>
      <c r="FW31" s="136">
        <v>0</v>
      </c>
      <c r="FX31" s="136">
        <v>0</v>
      </c>
      <c r="FY31" s="136">
        <v>0</v>
      </c>
      <c r="FZ31" s="136">
        <v>0</v>
      </c>
      <c r="GA31" s="136">
        <v>0</v>
      </c>
      <c r="GB31" s="136">
        <v>0</v>
      </c>
      <c r="GC31" s="136">
        <v>0</v>
      </c>
      <c r="GD31" s="136">
        <v>0</v>
      </c>
      <c r="GE31" s="136">
        <v>0</v>
      </c>
      <c r="GF31" s="136">
        <v>0</v>
      </c>
      <c r="GG31" s="136">
        <v>0</v>
      </c>
      <c r="GH31" s="136">
        <v>0</v>
      </c>
      <c r="GI31" s="136">
        <v>0</v>
      </c>
      <c r="GJ31" s="136">
        <v>0</v>
      </c>
      <c r="GK31" s="136">
        <v>0</v>
      </c>
      <c r="GL31" s="136">
        <v>0</v>
      </c>
      <c r="GM31" s="136">
        <v>0</v>
      </c>
      <c r="GN31" s="136">
        <v>0</v>
      </c>
      <c r="GO31" s="136">
        <v>0</v>
      </c>
      <c r="GP31" s="136">
        <v>0</v>
      </c>
      <c r="GQ31" s="136">
        <v>0</v>
      </c>
      <c r="GR31" s="136">
        <v>0</v>
      </c>
      <c r="GS31" s="136">
        <v>167158686</v>
      </c>
      <c r="GT31" s="136">
        <v>2728169</v>
      </c>
      <c r="GU31" s="136">
        <v>125213687</v>
      </c>
      <c r="GV31" s="35" t="s">
        <v>340</v>
      </c>
      <c r="GW31" s="137">
        <v>9794586077</v>
      </c>
      <c r="GX31" s="35" t="s">
        <v>341</v>
      </c>
      <c r="GY31" s="136">
        <v>2665482</v>
      </c>
      <c r="GZ31" s="136">
        <v>0</v>
      </c>
      <c r="HA31" s="136">
        <v>0</v>
      </c>
      <c r="HB31" s="136">
        <v>0</v>
      </c>
      <c r="HC31" s="136">
        <v>0</v>
      </c>
      <c r="HD31" s="136">
        <v>0</v>
      </c>
      <c r="HE31" s="136">
        <v>0</v>
      </c>
      <c r="HF31" s="136">
        <v>0</v>
      </c>
      <c r="HG31" s="136">
        <v>0</v>
      </c>
      <c r="HH31" s="136">
        <v>0</v>
      </c>
      <c r="HI31" s="35" t="s">
        <v>439</v>
      </c>
      <c r="HJ31" s="35" t="s">
        <v>439</v>
      </c>
      <c r="HK31" s="35" t="s">
        <v>439</v>
      </c>
      <c r="HL31"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1577354</v>
      </c>
      <c r="HM31"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906341</v>
      </c>
      <c r="HN31"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31"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62707</v>
      </c>
      <c r="HP31"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31"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193735</v>
      </c>
      <c r="HR31"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2665482</v>
      </c>
    </row>
    <row r="32" spans="1:226">
      <c r="A32" s="35" t="s">
        <v>33</v>
      </c>
      <c r="B32" s="37" t="s">
        <v>19</v>
      </c>
      <c r="C32" s="37">
        <v>190</v>
      </c>
      <c r="D32" s="37" t="s">
        <v>835</v>
      </c>
      <c r="E32" s="103">
        <v>9651</v>
      </c>
      <c r="F32" s="136">
        <v>0</v>
      </c>
      <c r="G32" s="136">
        <v>0</v>
      </c>
      <c r="H32" s="136">
        <v>4302986</v>
      </c>
      <c r="I32" s="136">
        <v>221294</v>
      </c>
      <c r="J32" s="136">
        <v>223966</v>
      </c>
      <c r="K32" s="136">
        <v>0</v>
      </c>
      <c r="L32" s="136">
        <v>81718</v>
      </c>
      <c r="M32" s="136">
        <v>188555</v>
      </c>
      <c r="N32" s="136">
        <v>0</v>
      </c>
      <c r="O32" s="136">
        <v>0</v>
      </c>
      <c r="P32" s="136">
        <v>0</v>
      </c>
      <c r="Q32" s="136">
        <v>0</v>
      </c>
      <c r="R32" s="136">
        <v>0</v>
      </c>
      <c r="S32" s="136">
        <v>0</v>
      </c>
      <c r="T32" s="136">
        <v>0</v>
      </c>
      <c r="U32" s="136">
        <v>354690</v>
      </c>
      <c r="V32" s="136">
        <v>145129</v>
      </c>
      <c r="W32" s="136">
        <v>18045</v>
      </c>
      <c r="X32" s="136">
        <v>33791</v>
      </c>
      <c r="Y32" s="136">
        <v>0</v>
      </c>
      <c r="Z32" s="136">
        <v>20945</v>
      </c>
      <c r="AA32" s="136">
        <v>0</v>
      </c>
      <c r="AB32" s="136">
        <v>0</v>
      </c>
      <c r="AC32" s="136">
        <v>0</v>
      </c>
      <c r="AD32" s="136">
        <v>0</v>
      </c>
      <c r="AE32" s="136">
        <v>0</v>
      </c>
      <c r="AF32" s="136">
        <v>0</v>
      </c>
      <c r="AG32" s="136">
        <v>179663</v>
      </c>
      <c r="AH32" s="136">
        <v>25343</v>
      </c>
      <c r="AI32" s="136">
        <v>0</v>
      </c>
      <c r="AJ32" s="136">
        <v>32086</v>
      </c>
      <c r="AK32" s="136">
        <v>0</v>
      </c>
      <c r="AL32" s="136">
        <v>0</v>
      </c>
      <c r="AM32" s="136">
        <v>49723</v>
      </c>
      <c r="AN32" s="136">
        <v>41100</v>
      </c>
      <c r="AO32" s="136">
        <v>0</v>
      </c>
      <c r="AP32" s="136">
        <v>71427</v>
      </c>
      <c r="AQ32" s="136">
        <v>0</v>
      </c>
      <c r="AR32" s="136">
        <v>0</v>
      </c>
      <c r="AS32" s="136">
        <v>149930</v>
      </c>
      <c r="AT32" s="136">
        <v>0</v>
      </c>
      <c r="AU32" s="136">
        <v>0</v>
      </c>
      <c r="AV32" s="136">
        <v>1645</v>
      </c>
      <c r="AW32" s="136">
        <v>0</v>
      </c>
      <c r="AX32" s="136">
        <v>0</v>
      </c>
      <c r="AY32" s="136">
        <v>0</v>
      </c>
      <c r="AZ32" s="136">
        <v>0</v>
      </c>
      <c r="BA32" s="136">
        <v>0</v>
      </c>
      <c r="BB32" s="136">
        <v>10411</v>
      </c>
      <c r="BC32" s="136">
        <v>0</v>
      </c>
      <c r="BD32" s="136">
        <v>0</v>
      </c>
      <c r="BE32" s="136">
        <v>154106</v>
      </c>
      <c r="BF32" s="136">
        <v>29423</v>
      </c>
      <c r="BG32" s="136">
        <v>0</v>
      </c>
      <c r="BH32" s="136">
        <v>2430</v>
      </c>
      <c r="BI32" s="136">
        <v>0</v>
      </c>
      <c r="BJ32" s="136">
        <v>0</v>
      </c>
      <c r="BK32" s="136">
        <v>0</v>
      </c>
      <c r="BL32" s="136">
        <v>62083</v>
      </c>
      <c r="BM32" s="136">
        <v>0</v>
      </c>
      <c r="BN32" s="136">
        <v>19064</v>
      </c>
      <c r="BO32" s="136">
        <v>0</v>
      </c>
      <c r="BP32" s="136">
        <v>0</v>
      </c>
      <c r="BQ32" s="136">
        <v>91607</v>
      </c>
      <c r="BR32" s="136">
        <v>4277</v>
      </c>
      <c r="BS32" s="136">
        <v>0</v>
      </c>
      <c r="BT32" s="136">
        <v>57449</v>
      </c>
      <c r="BU32" s="136">
        <v>0</v>
      </c>
      <c r="BV32" s="136">
        <v>4314</v>
      </c>
      <c r="BW32" s="136">
        <v>912748</v>
      </c>
      <c r="BX32" s="136">
        <v>320475</v>
      </c>
      <c r="BY32" s="136">
        <v>0</v>
      </c>
      <c r="BZ32" s="136">
        <v>317043</v>
      </c>
      <c r="CA32" s="136">
        <v>0</v>
      </c>
      <c r="CB32" s="136">
        <v>0</v>
      </c>
      <c r="CC32" s="136">
        <v>0</v>
      </c>
      <c r="CD32" s="136">
        <v>385</v>
      </c>
      <c r="CE32" s="136">
        <v>0</v>
      </c>
      <c r="CF32" s="136">
        <v>19420</v>
      </c>
      <c r="CG32" s="136">
        <v>0</v>
      </c>
      <c r="CH32" s="136">
        <v>0</v>
      </c>
      <c r="CI32" s="136">
        <v>0</v>
      </c>
      <c r="CJ32" s="136">
        <v>0</v>
      </c>
      <c r="CK32" s="136">
        <v>0</v>
      </c>
      <c r="CL32" s="136">
        <v>16397</v>
      </c>
      <c r="CM32" s="136">
        <v>170102</v>
      </c>
      <c r="CN32" s="136">
        <v>27511</v>
      </c>
      <c r="CO32" s="136">
        <v>130265</v>
      </c>
      <c r="CP32" s="136">
        <v>0</v>
      </c>
      <c r="CQ32" s="136">
        <v>0</v>
      </c>
      <c r="CR32" s="136">
        <v>11259</v>
      </c>
      <c r="CS32" s="136">
        <v>0</v>
      </c>
      <c r="CT32" s="136">
        <v>253418</v>
      </c>
      <c r="CU32" s="136">
        <v>0</v>
      </c>
      <c r="CV32" s="136">
        <v>0</v>
      </c>
      <c r="CW32" s="136">
        <v>0</v>
      </c>
      <c r="CX32" s="136">
        <v>0</v>
      </c>
      <c r="CY32" s="136">
        <v>0</v>
      </c>
      <c r="CZ32" s="136">
        <v>0</v>
      </c>
      <c r="DA32" s="136"/>
      <c r="DB32" s="136"/>
      <c r="DC32" s="136"/>
      <c r="DD32" s="136"/>
      <c r="DE32" s="136"/>
      <c r="DF32" s="136"/>
      <c r="DG32" s="136">
        <v>16108</v>
      </c>
      <c r="DH32" s="136">
        <v>365220</v>
      </c>
      <c r="DI32" s="136">
        <v>0</v>
      </c>
      <c r="DJ32" s="136">
        <v>104753</v>
      </c>
      <c r="DK32" s="136">
        <v>0</v>
      </c>
      <c r="DL32" s="136">
        <v>606179</v>
      </c>
      <c r="DM32" s="136">
        <v>0</v>
      </c>
      <c r="DN32" s="136">
        <v>0</v>
      </c>
      <c r="DO32" s="136">
        <v>0</v>
      </c>
      <c r="DP32" s="136">
        <v>0</v>
      </c>
      <c r="DQ32" s="136">
        <v>0</v>
      </c>
      <c r="DR32" s="136">
        <v>0</v>
      </c>
      <c r="DS32" s="136"/>
      <c r="DT32" s="136"/>
      <c r="DU32" s="136"/>
      <c r="DV32" s="136"/>
      <c r="DW32" s="136"/>
      <c r="DX32" s="136"/>
      <c r="DY32" s="136">
        <v>0</v>
      </c>
      <c r="DZ32" s="136">
        <v>0</v>
      </c>
      <c r="EA32" s="136">
        <v>0</v>
      </c>
      <c r="EB32" s="136">
        <v>0</v>
      </c>
      <c r="EC32" s="136">
        <v>0</v>
      </c>
      <c r="ED32" s="136">
        <v>0</v>
      </c>
      <c r="EE32" s="136">
        <v>0</v>
      </c>
      <c r="EF32" s="136">
        <v>0</v>
      </c>
      <c r="EG32" s="136">
        <v>0</v>
      </c>
      <c r="EH32" s="136">
        <v>0</v>
      </c>
      <c r="EI32" s="136">
        <v>0</v>
      </c>
      <c r="EJ32" s="136">
        <v>0</v>
      </c>
      <c r="EK32" s="136"/>
      <c r="EL32" s="136"/>
      <c r="EM32" s="136"/>
      <c r="EN32" s="136"/>
      <c r="EO32" s="136"/>
      <c r="EP32" s="136"/>
      <c r="EQ32" s="136">
        <v>0</v>
      </c>
      <c r="ER32" s="136">
        <v>0</v>
      </c>
      <c r="ES32" s="136">
        <v>0</v>
      </c>
      <c r="ET32" s="136">
        <v>0</v>
      </c>
      <c r="EU32" s="136">
        <v>0</v>
      </c>
      <c r="EV32" s="136">
        <v>0</v>
      </c>
      <c r="EW32" s="136"/>
      <c r="EX32" s="136"/>
      <c r="EY32" s="136"/>
      <c r="EZ32" s="136"/>
      <c r="FA32" s="136"/>
      <c r="FB32" s="136"/>
      <c r="FC32" s="136">
        <v>0</v>
      </c>
      <c r="FD32" s="136">
        <v>0</v>
      </c>
      <c r="FE32" s="136">
        <v>0</v>
      </c>
      <c r="FF32" s="136">
        <v>0</v>
      </c>
      <c r="FG32" s="136">
        <v>0</v>
      </c>
      <c r="FH32" s="136">
        <v>0</v>
      </c>
      <c r="FI32" s="136"/>
      <c r="FJ32" s="136"/>
      <c r="FK32" s="136"/>
      <c r="FL32" s="136"/>
      <c r="FM32" s="136"/>
      <c r="FN32" s="136"/>
      <c r="FO32" s="136">
        <v>0</v>
      </c>
      <c r="FP32" s="136">
        <v>0</v>
      </c>
      <c r="FQ32" s="136">
        <v>0</v>
      </c>
      <c r="FR32" s="136">
        <v>0</v>
      </c>
      <c r="FS32" s="136">
        <v>0</v>
      </c>
      <c r="FT32" s="136">
        <v>0</v>
      </c>
      <c r="FU32" s="136">
        <v>0</v>
      </c>
      <c r="FV32" s="136">
        <v>0</v>
      </c>
      <c r="FW32" s="136">
        <v>0</v>
      </c>
      <c r="FX32" s="136">
        <v>0</v>
      </c>
      <c r="FY32" s="136">
        <v>0</v>
      </c>
      <c r="FZ32" s="136">
        <v>0</v>
      </c>
      <c r="GA32" s="136">
        <v>0</v>
      </c>
      <c r="GB32" s="136">
        <v>0</v>
      </c>
      <c r="GC32" s="136">
        <v>0</v>
      </c>
      <c r="GD32" s="136">
        <v>0</v>
      </c>
      <c r="GE32" s="136">
        <v>0</v>
      </c>
      <c r="GF32" s="136">
        <v>0</v>
      </c>
      <c r="GG32" s="136">
        <v>0</v>
      </c>
      <c r="GH32" s="136">
        <v>0</v>
      </c>
      <c r="GI32" s="136">
        <v>0</v>
      </c>
      <c r="GJ32" s="136">
        <v>0</v>
      </c>
      <c r="GK32" s="136">
        <v>0</v>
      </c>
      <c r="GL32" s="136">
        <v>0</v>
      </c>
      <c r="GM32" s="136">
        <v>0</v>
      </c>
      <c r="GN32" s="136">
        <v>0</v>
      </c>
      <c r="GO32" s="136">
        <v>0</v>
      </c>
      <c r="GP32" s="136">
        <v>0</v>
      </c>
      <c r="GQ32" s="136">
        <v>0</v>
      </c>
      <c r="GR32" s="136">
        <v>0</v>
      </c>
      <c r="GS32" s="136">
        <v>57437142</v>
      </c>
      <c r="GT32" s="136">
        <v>4526952</v>
      </c>
      <c r="GU32" s="136">
        <v>123043159</v>
      </c>
      <c r="GV32" s="35" t="s">
        <v>340</v>
      </c>
      <c r="GW32" s="137">
        <v>9794586077</v>
      </c>
      <c r="GX32" s="35" t="s">
        <v>341</v>
      </c>
      <c r="GY32" s="136">
        <v>4302986</v>
      </c>
      <c r="GZ32" s="136">
        <v>-1437532</v>
      </c>
      <c r="HA32" s="136">
        <v>0</v>
      </c>
      <c r="HB32" s="136">
        <v>0</v>
      </c>
      <c r="HC32" s="136">
        <v>0</v>
      </c>
      <c r="HD32" s="136">
        <v>0</v>
      </c>
      <c r="HE32" s="136">
        <v>0</v>
      </c>
      <c r="HF32" s="136">
        <v>0</v>
      </c>
      <c r="HG32" s="136">
        <v>0</v>
      </c>
      <c r="HH32" s="136">
        <v>0</v>
      </c>
      <c r="HI32" s="35" t="s">
        <v>439</v>
      </c>
      <c r="HJ32" s="35" t="s">
        <v>439</v>
      </c>
      <c r="HK32" s="35" t="s">
        <v>439</v>
      </c>
      <c r="HL32"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2038840</v>
      </c>
      <c r="HM32"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993435</v>
      </c>
      <c r="HN32"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18045</v>
      </c>
      <c r="HO32"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608530</v>
      </c>
      <c r="HP32"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170102</v>
      </c>
      <c r="HQ32"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912367</v>
      </c>
      <c r="HR32"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2865454</v>
      </c>
    </row>
    <row r="33" spans="1:226">
      <c r="A33" s="35" t="s">
        <v>61</v>
      </c>
      <c r="B33" s="37" t="s">
        <v>840</v>
      </c>
      <c r="C33" s="37">
        <v>650</v>
      </c>
      <c r="D33" s="37" t="s">
        <v>835</v>
      </c>
      <c r="E33" s="103">
        <v>708</v>
      </c>
      <c r="F33" s="136">
        <v>3783274</v>
      </c>
      <c r="G33" s="136">
        <v>0</v>
      </c>
      <c r="H33" s="136">
        <v>4854197</v>
      </c>
      <c r="I33" s="136">
        <v>984959</v>
      </c>
      <c r="J33" s="136">
        <v>33245</v>
      </c>
      <c r="K33" s="136">
        <v>0</v>
      </c>
      <c r="L33" s="136">
        <v>0</v>
      </c>
      <c r="M33" s="136">
        <v>6753827</v>
      </c>
      <c r="N33" s="136">
        <v>0</v>
      </c>
      <c r="O33" s="136">
        <v>0</v>
      </c>
      <c r="P33" s="136">
        <v>0</v>
      </c>
      <c r="Q33" s="136">
        <v>0</v>
      </c>
      <c r="R33" s="136">
        <v>0</v>
      </c>
      <c r="S33" s="136">
        <v>0</v>
      </c>
      <c r="T33" s="136">
        <v>0</v>
      </c>
      <c r="U33" s="136">
        <v>64723</v>
      </c>
      <c r="V33" s="136">
        <v>0</v>
      </c>
      <c r="W33" s="136">
        <v>0</v>
      </c>
      <c r="X33" s="136">
        <v>0</v>
      </c>
      <c r="Y33" s="136">
        <v>0</v>
      </c>
      <c r="Z33" s="136">
        <v>0</v>
      </c>
      <c r="AA33" s="136">
        <v>234150</v>
      </c>
      <c r="AB33" s="136">
        <v>0</v>
      </c>
      <c r="AC33" s="136">
        <v>0</v>
      </c>
      <c r="AD33" s="136">
        <v>0</v>
      </c>
      <c r="AE33" s="136">
        <v>0</v>
      </c>
      <c r="AF33" s="136">
        <v>40044</v>
      </c>
      <c r="AG33" s="136">
        <v>3174250</v>
      </c>
      <c r="AH33" s="136">
        <v>0</v>
      </c>
      <c r="AI33" s="136">
        <v>0</v>
      </c>
      <c r="AJ33" s="136">
        <v>0</v>
      </c>
      <c r="AK33" s="136">
        <v>0</v>
      </c>
      <c r="AL33" s="136">
        <v>0</v>
      </c>
      <c r="AM33" s="136">
        <v>8048</v>
      </c>
      <c r="AN33" s="136">
        <v>0</v>
      </c>
      <c r="AO33" s="136">
        <v>0</v>
      </c>
      <c r="AP33" s="136">
        <v>0</v>
      </c>
      <c r="AQ33" s="136">
        <v>0</v>
      </c>
      <c r="AR33" s="136">
        <v>0</v>
      </c>
      <c r="AS33" s="136">
        <v>0</v>
      </c>
      <c r="AT33" s="136">
        <v>0</v>
      </c>
      <c r="AU33" s="136">
        <v>0</v>
      </c>
      <c r="AV33" s="136">
        <v>0</v>
      </c>
      <c r="AW33" s="136">
        <v>0</v>
      </c>
      <c r="AX33" s="136">
        <v>0</v>
      </c>
      <c r="AY33" s="136">
        <v>0</v>
      </c>
      <c r="AZ33" s="136">
        <v>0</v>
      </c>
      <c r="BA33" s="136">
        <v>0</v>
      </c>
      <c r="BB33" s="136">
        <v>0</v>
      </c>
      <c r="BC33" s="136">
        <v>0</v>
      </c>
      <c r="BD33" s="136">
        <v>0</v>
      </c>
      <c r="BE33" s="136">
        <v>225595</v>
      </c>
      <c r="BF33" s="136">
        <v>0</v>
      </c>
      <c r="BG33" s="136">
        <v>0</v>
      </c>
      <c r="BH33" s="136">
        <v>0</v>
      </c>
      <c r="BI33" s="136">
        <v>0</v>
      </c>
      <c r="BJ33" s="136">
        <v>0</v>
      </c>
      <c r="BK33" s="136">
        <v>0</v>
      </c>
      <c r="BL33" s="136">
        <v>0</v>
      </c>
      <c r="BM33" s="136">
        <v>0</v>
      </c>
      <c r="BN33" s="136">
        <v>0</v>
      </c>
      <c r="BO33" s="136">
        <v>0</v>
      </c>
      <c r="BP33" s="136">
        <v>0</v>
      </c>
      <c r="BQ33" s="136">
        <v>402692</v>
      </c>
      <c r="BR33" s="136">
        <v>0</v>
      </c>
      <c r="BS33" s="136">
        <v>0</v>
      </c>
      <c r="BT33" s="136">
        <v>0</v>
      </c>
      <c r="BU33" s="136">
        <v>0</v>
      </c>
      <c r="BV33" s="136">
        <v>357040</v>
      </c>
      <c r="BW33" s="136">
        <v>144032</v>
      </c>
      <c r="BX33" s="136">
        <v>0</v>
      </c>
      <c r="BY33" s="136">
        <v>0</v>
      </c>
      <c r="BZ33" s="136">
        <v>0</v>
      </c>
      <c r="CA33" s="136">
        <v>0</v>
      </c>
      <c r="CB33" s="136">
        <v>0</v>
      </c>
      <c r="CC33" s="136">
        <v>0</v>
      </c>
      <c r="CD33" s="136">
        <v>0</v>
      </c>
      <c r="CE33" s="136">
        <v>0</v>
      </c>
      <c r="CF33" s="136">
        <v>0</v>
      </c>
      <c r="CG33" s="136">
        <v>0</v>
      </c>
      <c r="CH33" s="136">
        <v>4083</v>
      </c>
      <c r="CI33" s="136">
        <v>0</v>
      </c>
      <c r="CJ33" s="136">
        <v>0</v>
      </c>
      <c r="CK33" s="136">
        <v>0</v>
      </c>
      <c r="CL33" s="136">
        <v>0</v>
      </c>
      <c r="CM33" s="136">
        <v>0</v>
      </c>
      <c r="CN33" s="136">
        <v>0</v>
      </c>
      <c r="CO33" s="136">
        <v>361091</v>
      </c>
      <c r="CP33" s="136">
        <v>0</v>
      </c>
      <c r="CQ33" s="136">
        <v>698667</v>
      </c>
      <c r="CR33" s="136">
        <v>0</v>
      </c>
      <c r="CS33" s="136">
        <v>0</v>
      </c>
      <c r="CT33" s="136">
        <v>428</v>
      </c>
      <c r="CU33" s="136">
        <v>0</v>
      </c>
      <c r="CV33" s="136">
        <v>0</v>
      </c>
      <c r="CW33" s="136">
        <v>0</v>
      </c>
      <c r="CX33" s="136">
        <v>0</v>
      </c>
      <c r="CY33" s="136">
        <v>0</v>
      </c>
      <c r="CZ33" s="136">
        <v>0</v>
      </c>
      <c r="DA33" s="136"/>
      <c r="DB33" s="136"/>
      <c r="DC33" s="136"/>
      <c r="DD33" s="136"/>
      <c r="DE33" s="136"/>
      <c r="DF33" s="136"/>
      <c r="DG33" s="136">
        <v>157558</v>
      </c>
      <c r="DH33" s="136">
        <v>0</v>
      </c>
      <c r="DI33" s="136">
        <v>0</v>
      </c>
      <c r="DJ33" s="136">
        <v>0</v>
      </c>
      <c r="DK33" s="136">
        <v>0</v>
      </c>
      <c r="DL33" s="136">
        <v>0</v>
      </c>
      <c r="DM33" s="136">
        <v>0</v>
      </c>
      <c r="DN33" s="136">
        <v>0</v>
      </c>
      <c r="DO33" s="136">
        <v>0</v>
      </c>
      <c r="DP33" s="136">
        <v>0</v>
      </c>
      <c r="DQ33" s="136">
        <v>0</v>
      </c>
      <c r="DR33" s="136">
        <v>0</v>
      </c>
      <c r="DS33" s="136"/>
      <c r="DT33" s="136"/>
      <c r="DU33" s="136"/>
      <c r="DV33" s="136"/>
      <c r="DW33" s="136"/>
      <c r="DX33" s="136"/>
      <c r="DY33" s="136">
        <v>64723</v>
      </c>
      <c r="DZ33" s="136">
        <v>0</v>
      </c>
      <c r="EA33" s="136">
        <v>0</v>
      </c>
      <c r="EB33" s="136">
        <v>0</v>
      </c>
      <c r="EC33" s="136">
        <v>0</v>
      </c>
      <c r="ED33" s="136">
        <v>0</v>
      </c>
      <c r="EE33" s="136">
        <v>0</v>
      </c>
      <c r="EF33" s="136">
        <v>0</v>
      </c>
      <c r="EG33" s="136">
        <v>0</v>
      </c>
      <c r="EH33" s="136">
        <v>0</v>
      </c>
      <c r="EI33" s="136">
        <v>0</v>
      </c>
      <c r="EJ33" s="136">
        <v>0</v>
      </c>
      <c r="EK33" s="136"/>
      <c r="EL33" s="136"/>
      <c r="EM33" s="136"/>
      <c r="EN33" s="136"/>
      <c r="EO33" s="136"/>
      <c r="EP33" s="136"/>
      <c r="EQ33" s="136">
        <v>174171</v>
      </c>
      <c r="ER33" s="136">
        <v>0</v>
      </c>
      <c r="ES33" s="136">
        <v>0</v>
      </c>
      <c r="ET33" s="136">
        <v>0</v>
      </c>
      <c r="EU33" s="136">
        <v>0</v>
      </c>
      <c r="EV33" s="136">
        <v>0</v>
      </c>
      <c r="EW33" s="136"/>
      <c r="EX33" s="136"/>
      <c r="EY33" s="136"/>
      <c r="EZ33" s="136"/>
      <c r="FA33" s="136"/>
      <c r="FB33" s="136"/>
      <c r="FC33" s="136">
        <v>0</v>
      </c>
      <c r="FD33" s="136">
        <v>0</v>
      </c>
      <c r="FE33" s="136">
        <v>0</v>
      </c>
      <c r="FF33" s="136">
        <v>0</v>
      </c>
      <c r="FG33" s="136">
        <v>0</v>
      </c>
      <c r="FH33" s="136">
        <v>0</v>
      </c>
      <c r="FI33" s="136"/>
      <c r="FJ33" s="136"/>
      <c r="FK33" s="136"/>
      <c r="FL33" s="136"/>
      <c r="FM33" s="136"/>
      <c r="FN33" s="136"/>
      <c r="FO33" s="136">
        <v>133127</v>
      </c>
      <c r="FP33" s="136">
        <v>0</v>
      </c>
      <c r="FQ33" s="136">
        <v>0</v>
      </c>
      <c r="FR33" s="136">
        <v>0</v>
      </c>
      <c r="FS33" s="136">
        <v>0</v>
      </c>
      <c r="FT33" s="136">
        <v>0</v>
      </c>
      <c r="FU33" s="136">
        <v>66235</v>
      </c>
      <c r="FV33" s="136">
        <v>0</v>
      </c>
      <c r="FW33" s="136">
        <v>0</v>
      </c>
      <c r="FX33" s="136">
        <v>0</v>
      </c>
      <c r="FY33" s="136">
        <v>0</v>
      </c>
      <c r="FZ33" s="136">
        <v>0</v>
      </c>
      <c r="GA33" s="136">
        <v>0</v>
      </c>
      <c r="GB33" s="136">
        <v>0</v>
      </c>
      <c r="GC33" s="136">
        <v>0</v>
      </c>
      <c r="GD33" s="136">
        <v>0</v>
      </c>
      <c r="GE33" s="136">
        <v>0</v>
      </c>
      <c r="GF33" s="136">
        <v>0</v>
      </c>
      <c r="GG33" s="136">
        <v>0</v>
      </c>
      <c r="GH33" s="136">
        <v>0</v>
      </c>
      <c r="GI33" s="136">
        <v>0</v>
      </c>
      <c r="GJ33" s="136">
        <v>0</v>
      </c>
      <c r="GK33" s="136">
        <v>0</v>
      </c>
      <c r="GL33" s="136">
        <v>0</v>
      </c>
      <c r="GM33" s="136">
        <v>0</v>
      </c>
      <c r="GN33" s="136">
        <v>0</v>
      </c>
      <c r="GO33" s="136">
        <v>0</v>
      </c>
      <c r="GP33" s="136">
        <v>0</v>
      </c>
      <c r="GQ33" s="136">
        <v>0</v>
      </c>
      <c r="GR33" s="136">
        <v>0</v>
      </c>
      <c r="GS33" s="136">
        <v>0</v>
      </c>
      <c r="GT33" s="136">
        <v>8521757</v>
      </c>
      <c r="GU33" s="136">
        <v>19284112</v>
      </c>
      <c r="GV33" s="35" t="s">
        <v>340</v>
      </c>
      <c r="GW33" s="137">
        <v>9794586077</v>
      </c>
      <c r="GX33" s="35" t="s">
        <v>341</v>
      </c>
      <c r="GY33" s="136">
        <v>8637471</v>
      </c>
      <c r="GZ33" s="136">
        <v>0</v>
      </c>
      <c r="HA33" s="136">
        <v>0</v>
      </c>
      <c r="HB33" s="136">
        <v>0</v>
      </c>
      <c r="HC33" s="136">
        <v>0</v>
      </c>
      <c r="HD33" s="136">
        <v>0</v>
      </c>
      <c r="HE33" s="136">
        <v>0</v>
      </c>
      <c r="HF33" s="136">
        <v>0</v>
      </c>
      <c r="HG33" s="136">
        <v>0</v>
      </c>
      <c r="HH33" s="136">
        <v>0</v>
      </c>
      <c r="HI33" s="35" t="s">
        <v>439</v>
      </c>
      <c r="HJ33" s="35" t="s">
        <v>439</v>
      </c>
      <c r="HK33" s="35" t="s">
        <v>439</v>
      </c>
      <c r="HL33"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4772139</v>
      </c>
      <c r="HM33"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33"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698667</v>
      </c>
      <c r="HO33"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157558</v>
      </c>
      <c r="HP33"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33"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401595</v>
      </c>
      <c r="HR33"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8637471</v>
      </c>
    </row>
    <row r="34" spans="1:226">
      <c r="A34" s="35" t="s">
        <v>58</v>
      </c>
      <c r="B34" s="37" t="s">
        <v>840</v>
      </c>
      <c r="C34" s="37">
        <v>625</v>
      </c>
      <c r="D34" s="37" t="s">
        <v>835</v>
      </c>
      <c r="E34" s="103">
        <v>727</v>
      </c>
      <c r="F34" s="136">
        <v>157491</v>
      </c>
      <c r="G34" s="136">
        <v>973468</v>
      </c>
      <c r="H34" s="136">
        <v>92245199</v>
      </c>
      <c r="I34" s="136">
        <v>19555124</v>
      </c>
      <c r="J34" s="136">
        <v>154590</v>
      </c>
      <c r="K34" s="136">
        <v>0</v>
      </c>
      <c r="L34" s="136">
        <v>0</v>
      </c>
      <c r="M34" s="136">
        <v>14522532</v>
      </c>
      <c r="N34" s="136">
        <v>4699589</v>
      </c>
      <c r="O34" s="136">
        <v>19369</v>
      </c>
      <c r="P34" s="136">
        <v>0</v>
      </c>
      <c r="Q34" s="136">
        <v>0</v>
      </c>
      <c r="R34" s="136">
        <v>0</v>
      </c>
      <c r="S34" s="136">
        <v>0</v>
      </c>
      <c r="T34" s="136">
        <v>0</v>
      </c>
      <c r="U34" s="136">
        <v>64197</v>
      </c>
      <c r="V34" s="136">
        <v>0</v>
      </c>
      <c r="W34" s="136">
        <v>26119</v>
      </c>
      <c r="X34" s="136">
        <v>0</v>
      </c>
      <c r="Y34" s="136">
        <v>0</v>
      </c>
      <c r="Z34" s="136">
        <v>0</v>
      </c>
      <c r="AA34" s="136">
        <v>0</v>
      </c>
      <c r="AB34" s="136">
        <v>0</v>
      </c>
      <c r="AC34" s="136">
        <v>0</v>
      </c>
      <c r="AD34" s="136">
        <v>0</v>
      </c>
      <c r="AE34" s="136">
        <v>0</v>
      </c>
      <c r="AF34" s="136">
        <v>0</v>
      </c>
      <c r="AG34" s="136">
        <v>17071696</v>
      </c>
      <c r="AH34" s="136">
        <v>10193454</v>
      </c>
      <c r="AI34" s="136">
        <v>34875630</v>
      </c>
      <c r="AJ34" s="136">
        <v>28596436</v>
      </c>
      <c r="AK34" s="136">
        <v>2593232</v>
      </c>
      <c r="AL34" s="136">
        <v>286942</v>
      </c>
      <c r="AM34" s="136">
        <v>752478</v>
      </c>
      <c r="AN34" s="136">
        <v>0</v>
      </c>
      <c r="AO34" s="136">
        <v>10522</v>
      </c>
      <c r="AP34" s="136">
        <v>0</v>
      </c>
      <c r="AQ34" s="136">
        <v>0</v>
      </c>
      <c r="AR34" s="136">
        <v>0</v>
      </c>
      <c r="AS34" s="136">
        <v>228655</v>
      </c>
      <c r="AT34" s="136">
        <v>0</v>
      </c>
      <c r="AU34" s="136">
        <v>0</v>
      </c>
      <c r="AV34" s="136">
        <v>0</v>
      </c>
      <c r="AW34" s="136">
        <v>0</v>
      </c>
      <c r="AX34" s="136">
        <v>0</v>
      </c>
      <c r="AY34" s="136">
        <v>463839</v>
      </c>
      <c r="AZ34" s="136">
        <v>0</v>
      </c>
      <c r="BA34" s="136">
        <v>0</v>
      </c>
      <c r="BB34" s="136">
        <v>14364</v>
      </c>
      <c r="BC34" s="136">
        <v>0</v>
      </c>
      <c r="BD34" s="136">
        <v>0</v>
      </c>
      <c r="BE34" s="136">
        <v>0</v>
      </c>
      <c r="BF34" s="136">
        <v>0</v>
      </c>
      <c r="BG34" s="136">
        <v>1795531</v>
      </c>
      <c r="BH34" s="136">
        <v>14258</v>
      </c>
      <c r="BI34" s="136">
        <v>0</v>
      </c>
      <c r="BJ34" s="136">
        <v>0</v>
      </c>
      <c r="BK34" s="136">
        <v>867821</v>
      </c>
      <c r="BL34" s="136">
        <v>0</v>
      </c>
      <c r="BM34" s="136">
        <v>336836</v>
      </c>
      <c r="BN34" s="136">
        <v>0</v>
      </c>
      <c r="BO34" s="136">
        <v>0</v>
      </c>
      <c r="BP34" s="136">
        <v>0</v>
      </c>
      <c r="BQ34" s="136">
        <v>693509</v>
      </c>
      <c r="BR34" s="136">
        <v>0</v>
      </c>
      <c r="BS34" s="136">
        <v>922498</v>
      </c>
      <c r="BT34" s="136">
        <v>0</v>
      </c>
      <c r="BU34" s="136">
        <v>55298</v>
      </c>
      <c r="BV34" s="136">
        <v>195165</v>
      </c>
      <c r="BW34" s="136">
        <v>251638</v>
      </c>
      <c r="BX34" s="136">
        <v>0</v>
      </c>
      <c r="BY34" s="136">
        <v>639426</v>
      </c>
      <c r="BZ34" s="136">
        <v>49135</v>
      </c>
      <c r="CA34" s="136">
        <v>113764</v>
      </c>
      <c r="CB34" s="136">
        <v>0</v>
      </c>
      <c r="CC34" s="136">
        <v>0</v>
      </c>
      <c r="CD34" s="136">
        <v>0</v>
      </c>
      <c r="CE34" s="136">
        <v>0</v>
      </c>
      <c r="CF34" s="136">
        <v>0</v>
      </c>
      <c r="CG34" s="136">
        <v>0</v>
      </c>
      <c r="CH34" s="136">
        <v>0</v>
      </c>
      <c r="CI34" s="136">
        <v>0</v>
      </c>
      <c r="CJ34" s="136">
        <v>0</v>
      </c>
      <c r="CK34" s="136">
        <v>0</v>
      </c>
      <c r="CL34" s="136">
        <v>0</v>
      </c>
      <c r="CM34" s="136">
        <v>0</v>
      </c>
      <c r="CN34" s="136">
        <v>0</v>
      </c>
      <c r="CO34" s="136">
        <v>636620</v>
      </c>
      <c r="CP34" s="136">
        <v>0</v>
      </c>
      <c r="CQ34" s="136">
        <v>55766</v>
      </c>
      <c r="CR34" s="136">
        <v>0</v>
      </c>
      <c r="CS34" s="136">
        <v>42336</v>
      </c>
      <c r="CT34" s="136">
        <v>12481</v>
      </c>
      <c r="CU34" s="136">
        <v>0</v>
      </c>
      <c r="CV34" s="136">
        <v>0</v>
      </c>
      <c r="CW34" s="136">
        <v>161120</v>
      </c>
      <c r="CX34" s="136">
        <v>0</v>
      </c>
      <c r="CY34" s="136">
        <v>0</v>
      </c>
      <c r="CZ34" s="136">
        <v>0</v>
      </c>
      <c r="DA34" s="136"/>
      <c r="DB34" s="136"/>
      <c r="DC34" s="136"/>
      <c r="DD34" s="136"/>
      <c r="DE34" s="136"/>
      <c r="DF34" s="136"/>
      <c r="DG34" s="136">
        <v>655577</v>
      </c>
      <c r="DH34" s="136">
        <v>0</v>
      </c>
      <c r="DI34" s="136">
        <v>8458213</v>
      </c>
      <c r="DJ34" s="136">
        <v>730724</v>
      </c>
      <c r="DK34" s="136">
        <v>25687</v>
      </c>
      <c r="DL34" s="136">
        <v>44577</v>
      </c>
      <c r="DM34" s="136">
        <v>0</v>
      </c>
      <c r="DN34" s="136">
        <v>0</v>
      </c>
      <c r="DO34" s="136">
        <v>0</v>
      </c>
      <c r="DP34" s="136">
        <v>0</v>
      </c>
      <c r="DQ34" s="136">
        <v>0</v>
      </c>
      <c r="DR34" s="136">
        <v>0</v>
      </c>
      <c r="DS34" s="136"/>
      <c r="DT34" s="136"/>
      <c r="DU34" s="136"/>
      <c r="DV34" s="136"/>
      <c r="DW34" s="136"/>
      <c r="DX34" s="136"/>
      <c r="DY34" s="136">
        <v>0</v>
      </c>
      <c r="DZ34" s="136">
        <v>0</v>
      </c>
      <c r="EA34" s="136">
        <v>0</v>
      </c>
      <c r="EB34" s="136">
        <v>0</v>
      </c>
      <c r="EC34" s="136">
        <v>0</v>
      </c>
      <c r="ED34" s="136">
        <v>0</v>
      </c>
      <c r="EE34" s="136">
        <v>0</v>
      </c>
      <c r="EF34" s="136">
        <v>0</v>
      </c>
      <c r="EG34" s="136">
        <v>0</v>
      </c>
      <c r="EH34" s="136">
        <v>0</v>
      </c>
      <c r="EI34" s="136">
        <v>0</v>
      </c>
      <c r="EJ34" s="136">
        <v>0</v>
      </c>
      <c r="EK34" s="136"/>
      <c r="EL34" s="136"/>
      <c r="EM34" s="136"/>
      <c r="EN34" s="136"/>
      <c r="EO34" s="136"/>
      <c r="EP34" s="136"/>
      <c r="EQ34" s="136">
        <v>0</v>
      </c>
      <c r="ER34" s="136">
        <v>0</v>
      </c>
      <c r="ES34" s="136">
        <v>0</v>
      </c>
      <c r="ET34" s="136">
        <v>0</v>
      </c>
      <c r="EU34" s="136">
        <v>0</v>
      </c>
      <c r="EV34" s="136">
        <v>0</v>
      </c>
      <c r="EW34" s="136"/>
      <c r="EX34" s="136"/>
      <c r="EY34" s="136"/>
      <c r="EZ34" s="136"/>
      <c r="FA34" s="136"/>
      <c r="FB34" s="136"/>
      <c r="FC34" s="136">
        <v>0</v>
      </c>
      <c r="FD34" s="136">
        <v>0</v>
      </c>
      <c r="FE34" s="136">
        <v>0</v>
      </c>
      <c r="FF34" s="136">
        <v>0</v>
      </c>
      <c r="FG34" s="136">
        <v>0</v>
      </c>
      <c r="FH34" s="136">
        <v>0</v>
      </c>
      <c r="FI34" s="136"/>
      <c r="FJ34" s="136"/>
      <c r="FK34" s="136"/>
      <c r="FL34" s="136"/>
      <c r="FM34" s="136"/>
      <c r="FN34" s="136"/>
      <c r="FO34" s="136">
        <v>1225667</v>
      </c>
      <c r="FP34" s="136">
        <v>0</v>
      </c>
      <c r="FQ34" s="136">
        <v>2626690</v>
      </c>
      <c r="FR34" s="136">
        <v>0</v>
      </c>
      <c r="FS34" s="136">
        <v>60685</v>
      </c>
      <c r="FT34" s="136">
        <v>70410</v>
      </c>
      <c r="FU34" s="136">
        <v>0</v>
      </c>
      <c r="FV34" s="136">
        <v>0</v>
      </c>
      <c r="FW34" s="136">
        <v>0</v>
      </c>
      <c r="FX34" s="136">
        <v>0</v>
      </c>
      <c r="FY34" s="136">
        <v>0</v>
      </c>
      <c r="FZ34" s="136">
        <v>0</v>
      </c>
      <c r="GA34" s="136">
        <v>0</v>
      </c>
      <c r="GB34" s="136">
        <v>0</v>
      </c>
      <c r="GC34" s="136">
        <v>0</v>
      </c>
      <c r="GD34" s="136">
        <v>0</v>
      </c>
      <c r="GE34" s="136">
        <v>0</v>
      </c>
      <c r="GF34" s="136">
        <v>0</v>
      </c>
      <c r="GG34" s="136">
        <v>0</v>
      </c>
      <c r="GH34" s="136">
        <v>0</v>
      </c>
      <c r="GI34" s="136">
        <v>0</v>
      </c>
      <c r="GJ34" s="136">
        <v>0</v>
      </c>
      <c r="GK34" s="136">
        <v>0</v>
      </c>
      <c r="GL34" s="136">
        <v>0</v>
      </c>
      <c r="GM34" s="136">
        <v>0</v>
      </c>
      <c r="GN34" s="136">
        <v>0</v>
      </c>
      <c r="GO34" s="136">
        <v>0</v>
      </c>
      <c r="GP34" s="136">
        <v>0</v>
      </c>
      <c r="GQ34" s="136">
        <v>0</v>
      </c>
      <c r="GR34" s="136">
        <v>0</v>
      </c>
      <c r="GS34" s="136">
        <v>14415444</v>
      </c>
      <c r="GT34" s="136">
        <v>92403253</v>
      </c>
      <c r="GU34" s="136">
        <v>92403253</v>
      </c>
      <c r="GV34" s="35" t="s">
        <v>340</v>
      </c>
      <c r="GW34" s="137">
        <v>9794586077</v>
      </c>
      <c r="GX34" s="35" t="s">
        <v>341</v>
      </c>
      <c r="GY34" s="136">
        <v>92402690</v>
      </c>
      <c r="GZ34" s="136">
        <v>0</v>
      </c>
      <c r="HA34" s="136">
        <v>0</v>
      </c>
      <c r="HB34" s="136">
        <v>0</v>
      </c>
      <c r="HC34" s="136">
        <v>0</v>
      </c>
      <c r="HD34" s="136">
        <v>0</v>
      </c>
      <c r="HE34" s="136">
        <v>0</v>
      </c>
      <c r="HF34" s="136">
        <v>0</v>
      </c>
      <c r="HG34" s="136">
        <v>0</v>
      </c>
      <c r="HH34" s="136">
        <v>0</v>
      </c>
      <c r="HI34" s="35" t="s">
        <v>439</v>
      </c>
      <c r="HJ34" s="35" t="s">
        <v>439</v>
      </c>
      <c r="HK34" s="35" t="s">
        <v>439</v>
      </c>
      <c r="HL34"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21705399</v>
      </c>
      <c r="HM34"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10193454</v>
      </c>
      <c r="HN34"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47281661</v>
      </c>
      <c r="HO34"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29329770</v>
      </c>
      <c r="HP34"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2830317</v>
      </c>
      <c r="HQ34"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539165</v>
      </c>
      <c r="HR34"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92402690</v>
      </c>
    </row>
    <row r="35" spans="1:226">
      <c r="A35" s="35" t="s">
        <v>27</v>
      </c>
      <c r="B35" s="37" t="s">
        <v>19</v>
      </c>
      <c r="C35" s="37">
        <v>130</v>
      </c>
      <c r="D35" s="37" t="s">
        <v>835</v>
      </c>
      <c r="E35" s="103">
        <v>3632</v>
      </c>
      <c r="F35" s="136">
        <v>26065820</v>
      </c>
      <c r="G35" s="136">
        <v>0</v>
      </c>
      <c r="H35" s="136">
        <v>252034037</v>
      </c>
      <c r="I35" s="136">
        <v>29264984</v>
      </c>
      <c r="J35" s="136">
        <v>18777002</v>
      </c>
      <c r="K35" s="136">
        <v>65803046</v>
      </c>
      <c r="L35" s="136">
        <v>0</v>
      </c>
      <c r="M35" s="136">
        <v>39642805</v>
      </c>
      <c r="N35" s="136">
        <v>13041424</v>
      </c>
      <c r="O35" s="136">
        <v>64120</v>
      </c>
      <c r="P35" s="136">
        <v>1492102</v>
      </c>
      <c r="Q35" s="136">
        <v>40619</v>
      </c>
      <c r="R35" s="136">
        <v>12377386</v>
      </c>
      <c r="S35" s="136">
        <v>180220</v>
      </c>
      <c r="T35" s="136">
        <v>2945135</v>
      </c>
      <c r="U35" s="136">
        <v>15898717</v>
      </c>
      <c r="V35" s="136">
        <v>1749889</v>
      </c>
      <c r="W35" s="136">
        <v>336255</v>
      </c>
      <c r="X35" s="136">
        <v>11425799</v>
      </c>
      <c r="Y35" s="136">
        <v>1315070</v>
      </c>
      <c r="Z35" s="136">
        <v>2530320</v>
      </c>
      <c r="AA35" s="136">
        <v>8546611</v>
      </c>
      <c r="AB35" s="136">
        <v>0</v>
      </c>
      <c r="AC35" s="136">
        <v>237046</v>
      </c>
      <c r="AD35" s="136">
        <v>2309322</v>
      </c>
      <c r="AE35" s="136">
        <v>39702</v>
      </c>
      <c r="AF35" s="136">
        <v>463963</v>
      </c>
      <c r="AG35" s="136">
        <v>8621597</v>
      </c>
      <c r="AH35" s="136">
        <v>2326568</v>
      </c>
      <c r="AI35" s="136">
        <v>4200964</v>
      </c>
      <c r="AJ35" s="136">
        <v>27283849</v>
      </c>
      <c r="AK35" s="136">
        <v>1611548</v>
      </c>
      <c r="AL35" s="136">
        <v>25679390</v>
      </c>
      <c r="AM35" s="136">
        <v>91058899</v>
      </c>
      <c r="AN35" s="136">
        <v>1326459</v>
      </c>
      <c r="AO35" s="136">
        <v>1979104</v>
      </c>
      <c r="AP35" s="136">
        <v>5857778</v>
      </c>
      <c r="AQ35" s="136">
        <v>1298775</v>
      </c>
      <c r="AR35" s="136">
        <v>3147651</v>
      </c>
      <c r="AS35" s="136">
        <v>5717998</v>
      </c>
      <c r="AT35" s="136">
        <v>150954</v>
      </c>
      <c r="AU35" s="136">
        <v>2</v>
      </c>
      <c r="AV35" s="136">
        <v>1677720</v>
      </c>
      <c r="AW35" s="136">
        <v>0</v>
      </c>
      <c r="AX35" s="136">
        <v>364012</v>
      </c>
      <c r="AY35" s="136">
        <v>3314128</v>
      </c>
      <c r="AZ35" s="136">
        <v>1304864</v>
      </c>
      <c r="BA35" s="136">
        <v>110277</v>
      </c>
      <c r="BB35" s="136">
        <v>4596461</v>
      </c>
      <c r="BC35" s="136">
        <v>743418</v>
      </c>
      <c r="BD35" s="136">
        <v>856113</v>
      </c>
      <c r="BE35" s="136">
        <v>24079900</v>
      </c>
      <c r="BF35" s="136">
        <v>1425924</v>
      </c>
      <c r="BG35" s="136">
        <v>1809940</v>
      </c>
      <c r="BH35" s="136">
        <v>11410760</v>
      </c>
      <c r="BI35" s="136">
        <v>650437</v>
      </c>
      <c r="BJ35" s="136">
        <v>7373938</v>
      </c>
      <c r="BK35" s="136">
        <v>4193099</v>
      </c>
      <c r="BL35" s="136">
        <v>97992</v>
      </c>
      <c r="BM35" s="136">
        <v>95280</v>
      </c>
      <c r="BN35" s="136">
        <v>1938810</v>
      </c>
      <c r="BO35" s="136">
        <v>0</v>
      </c>
      <c r="BP35" s="136">
        <v>573596</v>
      </c>
      <c r="BQ35" s="136">
        <v>7435120</v>
      </c>
      <c r="BR35" s="136">
        <v>521206</v>
      </c>
      <c r="BS35" s="136">
        <v>1709737</v>
      </c>
      <c r="BT35" s="136">
        <v>2663183</v>
      </c>
      <c r="BU35" s="136">
        <v>0</v>
      </c>
      <c r="BV35" s="136">
        <v>4634549</v>
      </c>
      <c r="BW35" s="136">
        <v>492685</v>
      </c>
      <c r="BX35" s="136">
        <v>29033</v>
      </c>
      <c r="BY35" s="136">
        <v>106671</v>
      </c>
      <c r="BZ35" s="136">
        <v>5429055</v>
      </c>
      <c r="CA35" s="136">
        <v>7372</v>
      </c>
      <c r="CB35" s="136">
        <v>733692</v>
      </c>
      <c r="CC35" s="136">
        <v>556424</v>
      </c>
      <c r="CD35" s="136">
        <v>273878</v>
      </c>
      <c r="CE35" s="136">
        <v>113377</v>
      </c>
      <c r="CF35" s="136">
        <v>906885</v>
      </c>
      <c r="CG35" s="136">
        <v>760</v>
      </c>
      <c r="CH35" s="136">
        <v>451695</v>
      </c>
      <c r="CI35" s="136">
        <v>601139</v>
      </c>
      <c r="CJ35" s="136">
        <v>356935</v>
      </c>
      <c r="CK35" s="136">
        <v>20000</v>
      </c>
      <c r="CL35" s="136">
        <v>2274111</v>
      </c>
      <c r="CM35" s="136">
        <v>5314364</v>
      </c>
      <c r="CN35" s="136">
        <v>704478</v>
      </c>
      <c r="CO35" s="136">
        <v>14391270</v>
      </c>
      <c r="CP35" s="136">
        <v>799568</v>
      </c>
      <c r="CQ35" s="136">
        <v>3098198</v>
      </c>
      <c r="CR35" s="136">
        <v>2630089</v>
      </c>
      <c r="CS35" s="136">
        <v>0</v>
      </c>
      <c r="CT35" s="136">
        <v>616296</v>
      </c>
      <c r="CU35" s="136">
        <v>0</v>
      </c>
      <c r="CV35" s="136">
        <v>0</v>
      </c>
      <c r="CW35" s="136">
        <v>0</v>
      </c>
      <c r="CX35" s="136">
        <v>37315</v>
      </c>
      <c r="CY35" s="136">
        <v>0</v>
      </c>
      <c r="CZ35" s="136">
        <v>139503</v>
      </c>
      <c r="DA35" s="136"/>
      <c r="DB35" s="136"/>
      <c r="DC35" s="136"/>
      <c r="DD35" s="136"/>
      <c r="DE35" s="136"/>
      <c r="DF35" s="136"/>
      <c r="DG35" s="136">
        <v>0</v>
      </c>
      <c r="DH35" s="136">
        <v>0</v>
      </c>
      <c r="DI35" s="136">
        <v>0</v>
      </c>
      <c r="DJ35" s="136">
        <v>0</v>
      </c>
      <c r="DK35" s="136">
        <v>0</v>
      </c>
      <c r="DL35" s="136">
        <v>0</v>
      </c>
      <c r="DM35" s="136">
        <v>233837</v>
      </c>
      <c r="DN35" s="136">
        <v>3662</v>
      </c>
      <c r="DO35" s="136">
        <v>0</v>
      </c>
      <c r="DP35" s="136">
        <v>0</v>
      </c>
      <c r="DQ35" s="136">
        <v>0</v>
      </c>
      <c r="DR35" s="136">
        <v>1</v>
      </c>
      <c r="DS35" s="136"/>
      <c r="DT35" s="136"/>
      <c r="DU35" s="136"/>
      <c r="DV35" s="136"/>
      <c r="DW35" s="136"/>
      <c r="DX35" s="136"/>
      <c r="DY35" s="136">
        <v>1242342</v>
      </c>
      <c r="DZ35" s="136">
        <v>30507</v>
      </c>
      <c r="EA35" s="136">
        <v>0</v>
      </c>
      <c r="EB35" s="136">
        <v>25685</v>
      </c>
      <c r="EC35" s="136">
        <v>0</v>
      </c>
      <c r="ED35" s="136">
        <v>441579</v>
      </c>
      <c r="EE35" s="136">
        <v>981040</v>
      </c>
      <c r="EF35" s="136">
        <v>23780</v>
      </c>
      <c r="EG35" s="136">
        <v>0</v>
      </c>
      <c r="EH35" s="136">
        <v>25443</v>
      </c>
      <c r="EI35" s="136">
        <v>0</v>
      </c>
      <c r="EJ35" s="136">
        <v>288377</v>
      </c>
      <c r="EK35" s="136"/>
      <c r="EL35" s="136"/>
      <c r="EM35" s="136"/>
      <c r="EN35" s="136"/>
      <c r="EO35" s="136"/>
      <c r="EP35" s="136"/>
      <c r="EQ35" s="136">
        <v>2289778</v>
      </c>
      <c r="ER35" s="136">
        <v>5913</v>
      </c>
      <c r="ES35" s="136">
        <v>1315415</v>
      </c>
      <c r="ET35" s="136">
        <v>16072</v>
      </c>
      <c r="EU35" s="136">
        <v>494765</v>
      </c>
      <c r="EV35" s="136">
        <v>461711</v>
      </c>
      <c r="EW35" s="136"/>
      <c r="EX35" s="136"/>
      <c r="EY35" s="136"/>
      <c r="EZ35" s="136"/>
      <c r="FA35" s="136"/>
      <c r="FB35" s="136"/>
      <c r="FC35" s="136">
        <v>88586</v>
      </c>
      <c r="FD35" s="136">
        <v>56180</v>
      </c>
      <c r="FE35" s="136">
        <v>0</v>
      </c>
      <c r="FF35" s="136">
        <v>30821</v>
      </c>
      <c r="FG35" s="136">
        <v>45918</v>
      </c>
      <c r="FH35" s="136">
        <v>59907</v>
      </c>
      <c r="FI35" s="136"/>
      <c r="FJ35" s="136"/>
      <c r="FK35" s="136"/>
      <c r="FL35" s="136"/>
      <c r="FM35" s="136"/>
      <c r="FN35" s="136"/>
      <c r="FO35" s="136">
        <v>2089722</v>
      </c>
      <c r="FP35" s="136">
        <v>35187</v>
      </c>
      <c r="FQ35" s="136">
        <v>0</v>
      </c>
      <c r="FR35" s="136">
        <v>76387</v>
      </c>
      <c r="FS35" s="136">
        <v>54694</v>
      </c>
      <c r="FT35" s="136">
        <v>478595</v>
      </c>
      <c r="FU35" s="136">
        <v>942553</v>
      </c>
      <c r="FV35" s="136">
        <v>0</v>
      </c>
      <c r="FW35" s="136">
        <v>0</v>
      </c>
      <c r="FX35" s="136">
        <v>0</v>
      </c>
      <c r="FY35" s="136">
        <v>0</v>
      </c>
      <c r="FZ35" s="136">
        <v>0</v>
      </c>
      <c r="GA35" s="136">
        <v>121362</v>
      </c>
      <c r="GB35" s="136">
        <v>0</v>
      </c>
      <c r="GC35" s="136">
        <v>149995</v>
      </c>
      <c r="GD35" s="136">
        <v>0</v>
      </c>
      <c r="GE35" s="136">
        <v>0</v>
      </c>
      <c r="GF35" s="136">
        <v>251116</v>
      </c>
      <c r="GG35" s="136">
        <v>458651</v>
      </c>
      <c r="GH35" s="136">
        <v>11388</v>
      </c>
      <c r="GI35" s="136">
        <v>0</v>
      </c>
      <c r="GJ35" s="136">
        <v>59475</v>
      </c>
      <c r="GK35" s="136">
        <v>0</v>
      </c>
      <c r="GL35" s="136">
        <v>-72758</v>
      </c>
      <c r="GM35" s="136">
        <v>0</v>
      </c>
      <c r="GN35" s="136">
        <v>0</v>
      </c>
      <c r="GO35" s="136">
        <v>0</v>
      </c>
      <c r="GP35" s="136">
        <v>0</v>
      </c>
      <c r="GQ35" s="136">
        <v>0</v>
      </c>
      <c r="GR35" s="136">
        <v>0</v>
      </c>
      <c r="GS35" s="136">
        <v>492652347</v>
      </c>
      <c r="GT35" s="136">
        <v>296707176</v>
      </c>
      <c r="GU35" s="136">
        <v>1786892203</v>
      </c>
      <c r="GV35" s="35" t="s">
        <v>338</v>
      </c>
      <c r="GW35" s="137">
        <v>9794581866</v>
      </c>
      <c r="GX35" s="35" t="s">
        <v>339</v>
      </c>
      <c r="GY35" s="136">
        <v>278099857</v>
      </c>
      <c r="GZ35" s="136">
        <v>0</v>
      </c>
      <c r="HA35" s="136">
        <v>0</v>
      </c>
      <c r="HB35" s="136">
        <v>0</v>
      </c>
      <c r="HC35" s="136">
        <v>0</v>
      </c>
      <c r="HD35" s="136">
        <v>0</v>
      </c>
      <c r="HE35" s="136">
        <v>0</v>
      </c>
      <c r="HF35" s="136">
        <v>0</v>
      </c>
      <c r="HG35" s="136">
        <v>0</v>
      </c>
      <c r="HH35" s="136">
        <v>0</v>
      </c>
      <c r="HI35" s="35" t="s">
        <v>439</v>
      </c>
      <c r="HJ35" s="35" t="s">
        <v>439</v>
      </c>
      <c r="HK35" s="35" t="s">
        <v>439</v>
      </c>
      <c r="HL35"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184971707</v>
      </c>
      <c r="HM35"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11855372</v>
      </c>
      <c r="HN35"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13857470</v>
      </c>
      <c r="HO35"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92818523</v>
      </c>
      <c r="HP35"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11161666</v>
      </c>
      <c r="HQ35"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51214331</v>
      </c>
      <c r="HR35"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278099857</v>
      </c>
    </row>
    <row r="36" spans="1:226">
      <c r="A36" s="35" t="s">
        <v>37</v>
      </c>
      <c r="B36" s="37" t="s">
        <v>19</v>
      </c>
      <c r="C36" s="37">
        <v>223</v>
      </c>
      <c r="D36" s="37" t="s">
        <v>835</v>
      </c>
      <c r="E36" s="103">
        <v>42295</v>
      </c>
      <c r="F36" s="136">
        <v>334817</v>
      </c>
      <c r="G36" s="136">
        <v>0</v>
      </c>
      <c r="H36" s="136">
        <v>1264893</v>
      </c>
      <c r="I36" s="136">
        <v>59958</v>
      </c>
      <c r="J36" s="136">
        <v>0</v>
      </c>
      <c r="K36" s="136">
        <v>0</v>
      </c>
      <c r="L36" s="136">
        <v>3686</v>
      </c>
      <c r="M36" s="136">
        <v>17255</v>
      </c>
      <c r="N36" s="136">
        <v>48833</v>
      </c>
      <c r="O36" s="136">
        <v>0</v>
      </c>
      <c r="P36" s="136">
        <v>0</v>
      </c>
      <c r="Q36" s="136">
        <v>0</v>
      </c>
      <c r="R36" s="136">
        <v>0</v>
      </c>
      <c r="S36" s="136">
        <v>0</v>
      </c>
      <c r="T36" s="136">
        <v>0</v>
      </c>
      <c r="U36" s="136">
        <v>0</v>
      </c>
      <c r="V36" s="136">
        <v>0</v>
      </c>
      <c r="W36" s="136">
        <v>0</v>
      </c>
      <c r="X36" s="136">
        <v>0</v>
      </c>
      <c r="Y36" s="136">
        <v>0</v>
      </c>
      <c r="Z36" s="136">
        <v>0</v>
      </c>
      <c r="AA36" s="136">
        <v>624379</v>
      </c>
      <c r="AB36" s="136">
        <v>0</v>
      </c>
      <c r="AC36" s="136">
        <v>0</v>
      </c>
      <c r="AD36" s="136">
        <v>0</v>
      </c>
      <c r="AE36" s="136">
        <v>0</v>
      </c>
      <c r="AF36" s="136">
        <v>0</v>
      </c>
      <c r="AG36" s="136">
        <v>53</v>
      </c>
      <c r="AH36" s="136">
        <v>0</v>
      </c>
      <c r="AI36" s="136">
        <v>26622</v>
      </c>
      <c r="AJ36" s="136">
        <v>3633</v>
      </c>
      <c r="AK36" s="136">
        <v>0</v>
      </c>
      <c r="AL36" s="136">
        <v>0</v>
      </c>
      <c r="AM36" s="136">
        <v>0</v>
      </c>
      <c r="AN36" s="136">
        <v>0</v>
      </c>
      <c r="AO36" s="136">
        <v>0</v>
      </c>
      <c r="AP36" s="136">
        <v>0</v>
      </c>
      <c r="AQ36" s="136">
        <v>0</v>
      </c>
      <c r="AR36" s="136">
        <v>0</v>
      </c>
      <c r="AS36" s="136">
        <v>0</v>
      </c>
      <c r="AT36" s="136">
        <v>0</v>
      </c>
      <c r="AU36" s="136">
        <v>0</v>
      </c>
      <c r="AV36" s="136">
        <v>18538</v>
      </c>
      <c r="AW36" s="136">
        <v>0</v>
      </c>
      <c r="AX36" s="136">
        <v>0</v>
      </c>
      <c r="AY36" s="136">
        <v>0</v>
      </c>
      <c r="AZ36" s="136">
        <v>0</v>
      </c>
      <c r="BA36" s="136">
        <v>0</v>
      </c>
      <c r="BB36" s="136">
        <v>0</v>
      </c>
      <c r="BC36" s="136">
        <v>0</v>
      </c>
      <c r="BD36" s="136">
        <v>0</v>
      </c>
      <c r="BE36" s="136">
        <v>0</v>
      </c>
      <c r="BF36" s="136">
        <v>0</v>
      </c>
      <c r="BG36" s="136">
        <v>0</v>
      </c>
      <c r="BH36" s="136">
        <v>0</v>
      </c>
      <c r="BI36" s="136">
        <v>0</v>
      </c>
      <c r="BJ36" s="136">
        <v>0</v>
      </c>
      <c r="BK36" s="136">
        <v>0</v>
      </c>
      <c r="BL36" s="136">
        <v>0</v>
      </c>
      <c r="BM36" s="136">
        <v>0</v>
      </c>
      <c r="BN36" s="136">
        <v>0</v>
      </c>
      <c r="BO36" s="136">
        <v>0</v>
      </c>
      <c r="BP36" s="136">
        <v>0</v>
      </c>
      <c r="BQ36" s="136">
        <v>0</v>
      </c>
      <c r="BR36" s="136">
        <v>0</v>
      </c>
      <c r="BS36" s="136">
        <v>0</v>
      </c>
      <c r="BT36" s="136">
        <v>0</v>
      </c>
      <c r="BU36" s="136">
        <v>0</v>
      </c>
      <c r="BV36" s="136">
        <v>0</v>
      </c>
      <c r="BW36" s="136">
        <v>0</v>
      </c>
      <c r="BX36" s="136">
        <v>0</v>
      </c>
      <c r="BY36" s="136">
        <v>0</v>
      </c>
      <c r="BZ36" s="136">
        <v>637376</v>
      </c>
      <c r="CA36" s="136">
        <v>0</v>
      </c>
      <c r="CB36" s="136">
        <v>3620</v>
      </c>
      <c r="CC36" s="136">
        <v>13391</v>
      </c>
      <c r="CD36" s="136">
        <v>0</v>
      </c>
      <c r="CE36" s="136">
        <v>0</v>
      </c>
      <c r="CF36" s="136">
        <v>0</v>
      </c>
      <c r="CG36" s="136">
        <v>0</v>
      </c>
      <c r="CH36" s="136">
        <v>0</v>
      </c>
      <c r="CI36" s="136">
        <v>0</v>
      </c>
      <c r="CJ36" s="136">
        <v>0</v>
      </c>
      <c r="CK36" s="136">
        <v>0</v>
      </c>
      <c r="CL36" s="136">
        <v>83</v>
      </c>
      <c r="CM36" s="136">
        <v>0</v>
      </c>
      <c r="CN36" s="136">
        <v>0</v>
      </c>
      <c r="CO36" s="136">
        <v>0</v>
      </c>
      <c r="CP36" s="136">
        <v>0</v>
      </c>
      <c r="CQ36" s="136">
        <v>0</v>
      </c>
      <c r="CR36" s="136">
        <v>842</v>
      </c>
      <c r="CS36" s="136">
        <v>0</v>
      </c>
      <c r="CT36" s="136">
        <v>0</v>
      </c>
      <c r="CU36" s="136">
        <v>0</v>
      </c>
      <c r="CV36" s="136">
        <v>0</v>
      </c>
      <c r="CW36" s="136">
        <v>0</v>
      </c>
      <c r="CX36" s="136">
        <v>0</v>
      </c>
      <c r="CY36" s="136">
        <v>0</v>
      </c>
      <c r="CZ36" s="136">
        <v>0</v>
      </c>
      <c r="DA36" s="136"/>
      <c r="DB36" s="136"/>
      <c r="DC36" s="136"/>
      <c r="DD36" s="136"/>
      <c r="DE36" s="136"/>
      <c r="DF36" s="136"/>
      <c r="DG36" s="136">
        <v>0</v>
      </c>
      <c r="DH36" s="136">
        <v>0</v>
      </c>
      <c r="DI36" s="136">
        <v>0</v>
      </c>
      <c r="DJ36" s="136">
        <v>0</v>
      </c>
      <c r="DK36" s="136">
        <v>0</v>
      </c>
      <c r="DL36" s="136">
        <v>0</v>
      </c>
      <c r="DM36" s="136">
        <v>0</v>
      </c>
      <c r="DN36" s="136">
        <v>0</v>
      </c>
      <c r="DO36" s="136">
        <v>0</v>
      </c>
      <c r="DP36" s="136">
        <v>0</v>
      </c>
      <c r="DQ36" s="136">
        <v>0</v>
      </c>
      <c r="DR36" s="136">
        <v>0</v>
      </c>
      <c r="DS36" s="136"/>
      <c r="DT36" s="136"/>
      <c r="DU36" s="136"/>
      <c r="DV36" s="136"/>
      <c r="DW36" s="136"/>
      <c r="DX36" s="136"/>
      <c r="DY36" s="136">
        <v>0</v>
      </c>
      <c r="DZ36" s="136">
        <v>0</v>
      </c>
      <c r="EA36" s="136">
        <v>0</v>
      </c>
      <c r="EB36" s="136">
        <v>0</v>
      </c>
      <c r="EC36" s="136">
        <v>0</v>
      </c>
      <c r="ED36" s="136">
        <v>0</v>
      </c>
      <c r="EE36" s="136">
        <v>0</v>
      </c>
      <c r="EF36" s="136">
        <v>0</v>
      </c>
      <c r="EG36" s="136">
        <v>0</v>
      </c>
      <c r="EH36" s="136">
        <v>0</v>
      </c>
      <c r="EI36" s="136">
        <v>0</v>
      </c>
      <c r="EJ36" s="136">
        <v>0</v>
      </c>
      <c r="EK36" s="136"/>
      <c r="EL36" s="136"/>
      <c r="EM36" s="136"/>
      <c r="EN36" s="136"/>
      <c r="EO36" s="136"/>
      <c r="EP36" s="136"/>
      <c r="EQ36" s="136">
        <v>0</v>
      </c>
      <c r="ER36" s="136">
        <v>0</v>
      </c>
      <c r="ES36" s="136">
        <v>0</v>
      </c>
      <c r="ET36" s="136">
        <v>0</v>
      </c>
      <c r="EU36" s="136">
        <v>0</v>
      </c>
      <c r="EV36" s="136">
        <v>0</v>
      </c>
      <c r="EW36" s="136"/>
      <c r="EX36" s="136"/>
      <c r="EY36" s="136"/>
      <c r="EZ36" s="136"/>
      <c r="FA36" s="136"/>
      <c r="FB36" s="136"/>
      <c r="FC36" s="136">
        <v>0</v>
      </c>
      <c r="FD36" s="136">
        <v>0</v>
      </c>
      <c r="FE36" s="136">
        <v>0</v>
      </c>
      <c r="FF36" s="136">
        <v>0</v>
      </c>
      <c r="FG36" s="136">
        <v>0</v>
      </c>
      <c r="FH36" s="136">
        <v>0</v>
      </c>
      <c r="FI36" s="136"/>
      <c r="FJ36" s="136"/>
      <c r="FK36" s="136"/>
      <c r="FL36" s="136"/>
      <c r="FM36" s="136"/>
      <c r="FN36" s="136"/>
      <c r="FO36" s="136">
        <v>0</v>
      </c>
      <c r="FP36" s="136">
        <v>0</v>
      </c>
      <c r="FQ36" s="136">
        <v>0</v>
      </c>
      <c r="FR36" s="136">
        <v>0</v>
      </c>
      <c r="FS36" s="136">
        <v>0</v>
      </c>
      <c r="FT36" s="136">
        <v>0</v>
      </c>
      <c r="FU36" s="136">
        <v>0</v>
      </c>
      <c r="FV36" s="136">
        <v>0</v>
      </c>
      <c r="FW36" s="136">
        <v>0</v>
      </c>
      <c r="FX36" s="136">
        <v>0</v>
      </c>
      <c r="FY36" s="136">
        <v>0</v>
      </c>
      <c r="FZ36" s="136">
        <v>0</v>
      </c>
      <c r="GA36" s="136">
        <v>0</v>
      </c>
      <c r="GB36" s="136">
        <v>0</v>
      </c>
      <c r="GC36" s="136">
        <v>0</v>
      </c>
      <c r="GD36" s="136">
        <v>0</v>
      </c>
      <c r="GE36" s="136">
        <v>0</v>
      </c>
      <c r="GF36" s="136">
        <v>0</v>
      </c>
      <c r="GG36" s="136">
        <v>0</v>
      </c>
      <c r="GH36" s="136">
        <v>0</v>
      </c>
      <c r="GI36" s="136">
        <v>0</v>
      </c>
      <c r="GJ36" s="136">
        <v>0</v>
      </c>
      <c r="GK36" s="136">
        <v>0</v>
      </c>
      <c r="GL36" s="136">
        <v>0</v>
      </c>
      <c r="GM36" s="136">
        <v>0</v>
      </c>
      <c r="GN36" s="136">
        <v>0</v>
      </c>
      <c r="GO36" s="136">
        <v>0</v>
      </c>
      <c r="GP36" s="136">
        <v>0</v>
      </c>
      <c r="GQ36" s="136">
        <v>0</v>
      </c>
      <c r="GR36" s="136">
        <v>0</v>
      </c>
      <c r="GS36" s="136">
        <v>22715895</v>
      </c>
      <c r="GT36" s="136">
        <v>1333613</v>
      </c>
      <c r="GU36" s="136">
        <v>40799699</v>
      </c>
      <c r="GV36" s="35" t="s">
        <v>340</v>
      </c>
      <c r="GW36" s="137">
        <v>9794586077</v>
      </c>
      <c r="GX36" s="35" t="s">
        <v>341</v>
      </c>
      <c r="GY36" s="136">
        <v>1599710</v>
      </c>
      <c r="GZ36" s="136">
        <v>-636810</v>
      </c>
      <c r="HA36" s="136">
        <v>0</v>
      </c>
      <c r="HB36" s="136">
        <v>-118991</v>
      </c>
      <c r="HC36" s="136">
        <v>0</v>
      </c>
      <c r="HD36" s="136">
        <v>-266097</v>
      </c>
      <c r="HE36" s="136">
        <v>0</v>
      </c>
      <c r="HF36" s="136">
        <v>0</v>
      </c>
      <c r="HG36" s="136">
        <v>0</v>
      </c>
      <c r="HH36" s="136">
        <v>0</v>
      </c>
      <c r="HI36" s="35" t="s">
        <v>439</v>
      </c>
      <c r="HJ36" s="35" t="s">
        <v>439</v>
      </c>
      <c r="HK36" s="35" t="s">
        <v>439</v>
      </c>
      <c r="HL36"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637823</v>
      </c>
      <c r="HM36"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36"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26622</v>
      </c>
      <c r="HO36"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660472</v>
      </c>
      <c r="HP36"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36"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3620</v>
      </c>
      <c r="HR36"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577812</v>
      </c>
    </row>
    <row r="37" spans="1:226">
      <c r="A37" s="35" t="s">
        <v>35</v>
      </c>
      <c r="B37" s="37" t="s">
        <v>19</v>
      </c>
      <c r="C37" s="37">
        <v>210</v>
      </c>
      <c r="D37" s="37" t="s">
        <v>835</v>
      </c>
      <c r="E37" s="103">
        <v>3565</v>
      </c>
      <c r="F37" s="136">
        <v>17839</v>
      </c>
      <c r="G37" s="136">
        <v>0</v>
      </c>
      <c r="H37" s="136">
        <v>5818705</v>
      </c>
      <c r="I37" s="136">
        <v>272589</v>
      </c>
      <c r="J37" s="136">
        <v>938372</v>
      </c>
      <c r="K37" s="136">
        <v>0</v>
      </c>
      <c r="L37" s="136">
        <v>11700</v>
      </c>
      <c r="M37" s="136">
        <v>152123</v>
      </c>
      <c r="N37" s="136">
        <v>86</v>
      </c>
      <c r="O37" s="136">
        <v>139453</v>
      </c>
      <c r="P37" s="136">
        <v>132755</v>
      </c>
      <c r="Q37" s="136">
        <v>0</v>
      </c>
      <c r="R37" s="136">
        <v>449493</v>
      </c>
      <c r="S37" s="136">
        <v>47675</v>
      </c>
      <c r="T37" s="136">
        <v>42158</v>
      </c>
      <c r="U37" s="136">
        <v>1218</v>
      </c>
      <c r="V37" s="136">
        <v>0</v>
      </c>
      <c r="W37" s="136">
        <v>0</v>
      </c>
      <c r="X37" s="136">
        <v>86518</v>
      </c>
      <c r="Y37" s="136">
        <v>0</v>
      </c>
      <c r="Z37" s="136">
        <v>0</v>
      </c>
      <c r="AA37" s="136">
        <v>59821</v>
      </c>
      <c r="AB37" s="136">
        <v>213723</v>
      </c>
      <c r="AC37" s="136">
        <v>0</v>
      </c>
      <c r="AD37" s="136">
        <v>189250</v>
      </c>
      <c r="AE37" s="136">
        <v>0</v>
      </c>
      <c r="AF37" s="136">
        <v>0</v>
      </c>
      <c r="AG37" s="136">
        <v>1217</v>
      </c>
      <c r="AH37" s="136">
        <v>2278</v>
      </c>
      <c r="AI37" s="136">
        <v>0</v>
      </c>
      <c r="AJ37" s="136">
        <v>53849</v>
      </c>
      <c r="AK37" s="136">
        <v>2257</v>
      </c>
      <c r="AL37" s="136">
        <v>0</v>
      </c>
      <c r="AM37" s="136">
        <v>0</v>
      </c>
      <c r="AN37" s="136">
        <v>0</v>
      </c>
      <c r="AO37" s="136">
        <v>0</v>
      </c>
      <c r="AP37" s="136">
        <v>0</v>
      </c>
      <c r="AQ37" s="136">
        <v>0</v>
      </c>
      <c r="AR37" s="136">
        <v>0</v>
      </c>
      <c r="AS37" s="136">
        <v>108889</v>
      </c>
      <c r="AT37" s="136">
        <v>0</v>
      </c>
      <c r="AU37" s="136">
        <v>0</v>
      </c>
      <c r="AV37" s="136">
        <v>107505</v>
      </c>
      <c r="AW37" s="136">
        <v>0</v>
      </c>
      <c r="AX37" s="136">
        <v>3304</v>
      </c>
      <c r="AY37" s="136">
        <v>0</v>
      </c>
      <c r="AZ37" s="136">
        <v>19000</v>
      </c>
      <c r="BA37" s="136">
        <v>0</v>
      </c>
      <c r="BB37" s="136">
        <v>117142</v>
      </c>
      <c r="BC37" s="136">
        <v>0</v>
      </c>
      <c r="BD37" s="136">
        <v>0</v>
      </c>
      <c r="BE37" s="136">
        <v>622992</v>
      </c>
      <c r="BF37" s="136">
        <v>139902</v>
      </c>
      <c r="BG37" s="136">
        <v>0</v>
      </c>
      <c r="BH37" s="136">
        <v>349800</v>
      </c>
      <c r="BI37" s="136">
        <v>24222</v>
      </c>
      <c r="BJ37" s="136">
        <v>0</v>
      </c>
      <c r="BK37" s="136">
        <v>23813</v>
      </c>
      <c r="BL37" s="136">
        <v>0</v>
      </c>
      <c r="BM37" s="136">
        <v>0</v>
      </c>
      <c r="BN37" s="136">
        <v>116753</v>
      </c>
      <c r="BO37" s="136" t="s">
        <v>319</v>
      </c>
      <c r="BP37" s="136">
        <v>0</v>
      </c>
      <c r="BQ37" s="136">
        <v>543</v>
      </c>
      <c r="BR37" s="136">
        <v>0</v>
      </c>
      <c r="BS37" s="136">
        <v>0</v>
      </c>
      <c r="BT37" s="136">
        <v>121611</v>
      </c>
      <c r="BU37" s="136">
        <v>0</v>
      </c>
      <c r="BV37" s="136">
        <v>0</v>
      </c>
      <c r="BW37" s="136">
        <v>3579</v>
      </c>
      <c r="BX37" s="136">
        <v>234774</v>
      </c>
      <c r="BY37" s="136">
        <v>0</v>
      </c>
      <c r="BZ37" s="136">
        <v>560673</v>
      </c>
      <c r="CA37" s="136">
        <v>0</v>
      </c>
      <c r="CB37" s="136">
        <v>0</v>
      </c>
      <c r="CC37" s="136">
        <v>29055</v>
      </c>
      <c r="CD37" s="136">
        <v>0</v>
      </c>
      <c r="CE37" s="136">
        <v>0</v>
      </c>
      <c r="CF37" s="136">
        <v>183378</v>
      </c>
      <c r="CG37" s="136">
        <v>0</v>
      </c>
      <c r="CH37" s="136">
        <v>0</v>
      </c>
      <c r="CI37" s="136">
        <v>3579</v>
      </c>
      <c r="CJ37" s="136">
        <v>0</v>
      </c>
      <c r="CK37" s="136">
        <v>0</v>
      </c>
      <c r="CL37" s="136">
        <v>169029</v>
      </c>
      <c r="CM37" s="136">
        <v>0</v>
      </c>
      <c r="CN37" s="136">
        <v>0</v>
      </c>
      <c r="CO37" s="136">
        <v>464230</v>
      </c>
      <c r="CP37" s="136">
        <v>140206</v>
      </c>
      <c r="CQ37" s="136">
        <v>0</v>
      </c>
      <c r="CR37" s="136">
        <v>432002</v>
      </c>
      <c r="CS37" s="136">
        <v>0</v>
      </c>
      <c r="CT37" s="136">
        <v>0</v>
      </c>
      <c r="CU37" s="136">
        <v>0</v>
      </c>
      <c r="CV37" s="136">
        <v>0</v>
      </c>
      <c r="CW37" s="136">
        <v>0</v>
      </c>
      <c r="CX37" s="136">
        <v>0</v>
      </c>
      <c r="CY37" s="136">
        <v>0</v>
      </c>
      <c r="CZ37" s="136">
        <v>0</v>
      </c>
      <c r="DA37" s="136"/>
      <c r="DB37" s="136"/>
      <c r="DC37" s="136"/>
      <c r="DD37" s="136"/>
      <c r="DE37" s="136"/>
      <c r="DF37" s="136"/>
      <c r="DG37" s="136">
        <v>223141</v>
      </c>
      <c r="DH37" s="136">
        <v>21848</v>
      </c>
      <c r="DI37" s="136">
        <v>0</v>
      </c>
      <c r="DJ37" s="136">
        <v>1398731</v>
      </c>
      <c r="DK37" s="136">
        <v>0</v>
      </c>
      <c r="DL37" s="136">
        <v>0</v>
      </c>
      <c r="DM37" s="136">
        <v>0</v>
      </c>
      <c r="DN37" s="136">
        <v>0</v>
      </c>
      <c r="DO37" s="136">
        <v>0</v>
      </c>
      <c r="DP37" s="136">
        <v>0</v>
      </c>
      <c r="DQ37" s="136">
        <v>0</v>
      </c>
      <c r="DR37" s="136">
        <v>0</v>
      </c>
      <c r="DS37" s="136"/>
      <c r="DT37" s="136"/>
      <c r="DU37" s="136"/>
      <c r="DV37" s="136"/>
      <c r="DW37" s="136"/>
      <c r="DX37" s="136"/>
      <c r="DY37" s="136">
        <v>0</v>
      </c>
      <c r="DZ37" s="136">
        <v>0</v>
      </c>
      <c r="EA37" s="136">
        <v>0</v>
      </c>
      <c r="EB37" s="136">
        <v>0</v>
      </c>
      <c r="EC37" s="136">
        <v>0</v>
      </c>
      <c r="ED37" s="136">
        <v>0</v>
      </c>
      <c r="EE37" s="136">
        <v>0</v>
      </c>
      <c r="EF37" s="136">
        <v>0</v>
      </c>
      <c r="EG37" s="136">
        <v>0</v>
      </c>
      <c r="EH37" s="136">
        <v>0</v>
      </c>
      <c r="EI37" s="136">
        <v>0</v>
      </c>
      <c r="EJ37" s="136">
        <v>0</v>
      </c>
      <c r="EK37" s="136"/>
      <c r="EL37" s="136"/>
      <c r="EM37" s="136"/>
      <c r="EN37" s="136"/>
      <c r="EO37" s="136"/>
      <c r="EP37" s="136"/>
      <c r="EQ37" s="136">
        <v>0</v>
      </c>
      <c r="ER37" s="136">
        <v>0</v>
      </c>
      <c r="ES37" s="136">
        <v>0</v>
      </c>
      <c r="ET37" s="136">
        <v>0</v>
      </c>
      <c r="EU37" s="136">
        <v>0</v>
      </c>
      <c r="EV37" s="136">
        <v>0</v>
      </c>
      <c r="EW37" s="136"/>
      <c r="EX37" s="136"/>
      <c r="EY37" s="136"/>
      <c r="EZ37" s="136"/>
      <c r="FA37" s="136"/>
      <c r="FB37" s="136"/>
      <c r="FC37" s="136">
        <v>0</v>
      </c>
      <c r="FD37" s="136">
        <v>0</v>
      </c>
      <c r="FE37" s="136">
        <v>0</v>
      </c>
      <c r="FF37" s="136">
        <v>0</v>
      </c>
      <c r="FG37" s="136">
        <v>0</v>
      </c>
      <c r="FH37" s="136">
        <v>0</v>
      </c>
      <c r="FI37" s="136"/>
      <c r="FJ37" s="136"/>
      <c r="FK37" s="136"/>
      <c r="FL37" s="136"/>
      <c r="FM37" s="136"/>
      <c r="FN37" s="136"/>
      <c r="FO37" s="136">
        <v>0</v>
      </c>
      <c r="FP37" s="136">
        <v>0</v>
      </c>
      <c r="FQ37" s="136">
        <v>0</v>
      </c>
      <c r="FR37" s="136">
        <v>0</v>
      </c>
      <c r="FS37" s="136">
        <v>0</v>
      </c>
      <c r="FT37" s="136">
        <v>0</v>
      </c>
      <c r="FU37" s="136">
        <v>0</v>
      </c>
      <c r="FV37" s="136">
        <v>0</v>
      </c>
      <c r="FW37" s="136">
        <v>0</v>
      </c>
      <c r="FX37" s="136">
        <v>0</v>
      </c>
      <c r="FY37" s="136">
        <v>0</v>
      </c>
      <c r="FZ37" s="136">
        <v>0</v>
      </c>
      <c r="GA37" s="136">
        <v>0</v>
      </c>
      <c r="GB37" s="136">
        <v>0</v>
      </c>
      <c r="GC37" s="136">
        <v>0</v>
      </c>
      <c r="GD37" s="136">
        <v>0</v>
      </c>
      <c r="GE37" s="136">
        <v>0</v>
      </c>
      <c r="GF37" s="136">
        <v>0</v>
      </c>
      <c r="GG37" s="136">
        <v>0</v>
      </c>
      <c r="GH37" s="136">
        <v>0</v>
      </c>
      <c r="GI37" s="136">
        <v>0</v>
      </c>
      <c r="GJ37" s="136">
        <v>0</v>
      </c>
      <c r="GK37" s="136">
        <v>0</v>
      </c>
      <c r="GL37" s="136">
        <v>0</v>
      </c>
      <c r="GM37" s="136">
        <v>0</v>
      </c>
      <c r="GN37" s="136">
        <v>0</v>
      </c>
      <c r="GO37" s="136">
        <v>0</v>
      </c>
      <c r="GP37" s="136">
        <v>0</v>
      </c>
      <c r="GQ37" s="136">
        <v>0</v>
      </c>
      <c r="GR37" s="136">
        <v>0</v>
      </c>
      <c r="GS37" s="136">
        <v>62664028</v>
      </c>
      <c r="GT37" s="136">
        <v>6757077</v>
      </c>
      <c r="GU37" s="136">
        <v>153559247</v>
      </c>
      <c r="GV37" s="35" t="s">
        <v>340</v>
      </c>
      <c r="GW37" s="137">
        <v>9794586077</v>
      </c>
      <c r="GX37" s="35" t="s">
        <v>341</v>
      </c>
      <c r="GY37" s="136">
        <v>5836544</v>
      </c>
      <c r="GZ37" s="136">
        <v>-3667267</v>
      </c>
      <c r="HA37" s="136">
        <v>619057</v>
      </c>
      <c r="HB37" s="136">
        <v>0</v>
      </c>
      <c r="HC37" s="136">
        <v>0</v>
      </c>
      <c r="HD37" s="136">
        <v>0</v>
      </c>
      <c r="HE37" s="136">
        <v>0</v>
      </c>
      <c r="HF37" s="136">
        <v>0</v>
      </c>
      <c r="HG37" s="136">
        <v>0</v>
      </c>
      <c r="HH37" s="136">
        <v>0</v>
      </c>
      <c r="HI37" s="35" t="s">
        <v>439</v>
      </c>
      <c r="HJ37" s="35" t="s">
        <v>439</v>
      </c>
      <c r="HK37" s="35" t="s">
        <v>439</v>
      </c>
      <c r="HL37"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1681530</v>
      </c>
      <c r="HM37"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904486</v>
      </c>
      <c r="HN37"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37"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3160144</v>
      </c>
      <c r="HP37"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74154</v>
      </c>
      <c r="HQ37"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45462</v>
      </c>
      <c r="HR37"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2788334</v>
      </c>
    </row>
    <row r="38" spans="1:226">
      <c r="A38" s="35" t="s">
        <v>31</v>
      </c>
      <c r="B38" s="37" t="s">
        <v>19</v>
      </c>
      <c r="C38" s="37">
        <v>170</v>
      </c>
      <c r="D38" s="37" t="s">
        <v>835</v>
      </c>
      <c r="E38" s="103">
        <v>11161</v>
      </c>
      <c r="F38" s="136">
        <v>1760084</v>
      </c>
      <c r="G38" s="136">
        <v>0</v>
      </c>
      <c r="H38" s="136">
        <v>31876256</v>
      </c>
      <c r="I38" s="136">
        <v>4164490</v>
      </c>
      <c r="J38" s="136">
        <v>1839746</v>
      </c>
      <c r="K38" s="136">
        <v>0</v>
      </c>
      <c r="L38" s="136">
        <v>121724</v>
      </c>
      <c r="M38" s="136">
        <v>6962958</v>
      </c>
      <c r="N38" s="136">
        <v>1663368</v>
      </c>
      <c r="O38" s="136">
        <v>141919</v>
      </c>
      <c r="P38" s="136">
        <v>0</v>
      </c>
      <c r="Q38" s="136">
        <v>27085</v>
      </c>
      <c r="R38" s="136">
        <v>23159</v>
      </c>
      <c r="S38" s="136">
        <v>0</v>
      </c>
      <c r="T38" s="136">
        <v>194256</v>
      </c>
      <c r="U38" s="136">
        <v>1537721</v>
      </c>
      <c r="V38" s="136">
        <v>142902</v>
      </c>
      <c r="W38" s="136">
        <v>1192091</v>
      </c>
      <c r="X38" s="136">
        <v>223609</v>
      </c>
      <c r="Y38" s="136">
        <v>41433</v>
      </c>
      <c r="Z38" s="136">
        <v>504948</v>
      </c>
      <c r="AA38" s="136">
        <v>408902</v>
      </c>
      <c r="AB38" s="136">
        <v>0</v>
      </c>
      <c r="AC38" s="136">
        <v>61145</v>
      </c>
      <c r="AD38" s="136">
        <v>2555</v>
      </c>
      <c r="AE38" s="136">
        <v>82160</v>
      </c>
      <c r="AF38" s="136">
        <v>413545</v>
      </c>
      <c r="AG38" s="136">
        <v>1907585</v>
      </c>
      <c r="AH38" s="136">
        <v>5529500</v>
      </c>
      <c r="AI38" s="136">
        <v>1980279</v>
      </c>
      <c r="AJ38" s="136">
        <v>124193</v>
      </c>
      <c r="AK38" s="136">
        <v>1183</v>
      </c>
      <c r="AL38" s="136">
        <v>6158</v>
      </c>
      <c r="AM38" s="136">
        <v>5452731</v>
      </c>
      <c r="AN38" s="136">
        <v>637461</v>
      </c>
      <c r="AO38" s="136">
        <v>3210275</v>
      </c>
      <c r="AP38" s="136">
        <v>1015330</v>
      </c>
      <c r="AQ38" s="136">
        <v>351067</v>
      </c>
      <c r="AR38" s="136">
        <v>4076095</v>
      </c>
      <c r="AS38" s="136">
        <v>78013</v>
      </c>
      <c r="AT38" s="136">
        <v>0</v>
      </c>
      <c r="AU38" s="136">
        <v>0</v>
      </c>
      <c r="AV38" s="136">
        <v>23012</v>
      </c>
      <c r="AW38" s="136">
        <v>0</v>
      </c>
      <c r="AX38" s="136">
        <v>0</v>
      </c>
      <c r="AY38" s="136">
        <v>181629</v>
      </c>
      <c r="AZ38" s="136">
        <v>2468</v>
      </c>
      <c r="BA38" s="136">
        <v>182952</v>
      </c>
      <c r="BB38" s="136">
        <v>13789</v>
      </c>
      <c r="BC38" s="136">
        <v>0</v>
      </c>
      <c r="BD38" s="136">
        <v>0</v>
      </c>
      <c r="BE38" s="136">
        <v>1312290</v>
      </c>
      <c r="BF38" s="136">
        <v>4774</v>
      </c>
      <c r="BG38" s="136">
        <v>0</v>
      </c>
      <c r="BH38" s="136">
        <v>26529</v>
      </c>
      <c r="BI38" s="136">
        <v>50888</v>
      </c>
      <c r="BJ38" s="136">
        <v>214434</v>
      </c>
      <c r="BK38" s="136">
        <v>0</v>
      </c>
      <c r="BL38" s="136">
        <v>800</v>
      </c>
      <c r="BM38" s="136">
        <v>0</v>
      </c>
      <c r="BN38" s="136">
        <v>6141</v>
      </c>
      <c r="BO38" s="136">
        <v>0</v>
      </c>
      <c r="BP38" s="136">
        <v>993</v>
      </c>
      <c r="BQ38" s="136">
        <v>876458</v>
      </c>
      <c r="BR38" s="136">
        <v>0</v>
      </c>
      <c r="BS38" s="136">
        <v>16374</v>
      </c>
      <c r="BT38" s="136">
        <v>87813</v>
      </c>
      <c r="BU38" s="136">
        <v>0</v>
      </c>
      <c r="BV38" s="136">
        <v>57017</v>
      </c>
      <c r="BW38" s="136">
        <v>228437</v>
      </c>
      <c r="BX38" s="136">
        <v>108784</v>
      </c>
      <c r="BY38" s="136">
        <v>134220</v>
      </c>
      <c r="BZ38" s="136">
        <v>235365</v>
      </c>
      <c r="CA38" s="136">
        <v>0</v>
      </c>
      <c r="CB38" s="136">
        <v>492547</v>
      </c>
      <c r="CC38" s="136">
        <v>15396</v>
      </c>
      <c r="CD38" s="136">
        <v>4120</v>
      </c>
      <c r="CE38" s="136">
        <v>0</v>
      </c>
      <c r="CF38" s="136">
        <v>34247</v>
      </c>
      <c r="CG38" s="136">
        <v>0</v>
      </c>
      <c r="CH38" s="136">
        <v>63318</v>
      </c>
      <c r="CI38" s="136">
        <v>-851</v>
      </c>
      <c r="CJ38" s="136">
        <v>0</v>
      </c>
      <c r="CK38" s="136">
        <v>0</v>
      </c>
      <c r="CL38" s="136">
        <v>8873</v>
      </c>
      <c r="CM38" s="136">
        <v>2660</v>
      </c>
      <c r="CN38" s="136">
        <v>0</v>
      </c>
      <c r="CO38" s="136">
        <v>1160525</v>
      </c>
      <c r="CP38" s="136">
        <v>756</v>
      </c>
      <c r="CQ38" s="136">
        <v>0</v>
      </c>
      <c r="CR38" s="136">
        <v>35361</v>
      </c>
      <c r="CS38" s="136">
        <v>0</v>
      </c>
      <c r="CT38" s="136">
        <v>24092</v>
      </c>
      <c r="CU38" s="136">
        <v>0</v>
      </c>
      <c r="CV38" s="136">
        <v>0</v>
      </c>
      <c r="CW38" s="136">
        <v>0</v>
      </c>
      <c r="CX38" s="136">
        <v>0</v>
      </c>
      <c r="CY38" s="136">
        <v>0</v>
      </c>
      <c r="CZ38" s="136">
        <v>0</v>
      </c>
      <c r="DA38" s="136"/>
      <c r="DB38" s="136"/>
      <c r="DC38" s="136"/>
      <c r="DD38" s="136"/>
      <c r="DE38" s="136"/>
      <c r="DF38" s="136"/>
      <c r="DG38" s="136">
        <v>946039</v>
      </c>
      <c r="DH38" s="136">
        <v>1297846</v>
      </c>
      <c r="DI38" s="136">
        <v>53264</v>
      </c>
      <c r="DJ38" s="136">
        <v>716569</v>
      </c>
      <c r="DK38" s="136">
        <v>3015</v>
      </c>
      <c r="DL38" s="136">
        <v>11972</v>
      </c>
      <c r="DM38" s="136">
        <v>23257</v>
      </c>
      <c r="DN38" s="136">
        <v>1718796</v>
      </c>
      <c r="DO38" s="136">
        <v>41397</v>
      </c>
      <c r="DP38" s="136">
        <v>5080</v>
      </c>
      <c r="DQ38" s="136">
        <v>0</v>
      </c>
      <c r="DR38" s="136">
        <v>0</v>
      </c>
      <c r="DS38" s="136"/>
      <c r="DT38" s="136"/>
      <c r="DU38" s="136"/>
      <c r="DV38" s="136"/>
      <c r="DW38" s="136"/>
      <c r="DX38" s="136"/>
      <c r="DY38" s="136">
        <v>0</v>
      </c>
      <c r="DZ38" s="136">
        <v>3560</v>
      </c>
      <c r="EA38" s="136">
        <v>0</v>
      </c>
      <c r="EB38" s="136">
        <v>0</v>
      </c>
      <c r="EC38" s="136">
        <v>0</v>
      </c>
      <c r="ED38" s="136">
        <v>0</v>
      </c>
      <c r="EE38" s="136">
        <v>0</v>
      </c>
      <c r="EF38" s="136">
        <v>0</v>
      </c>
      <c r="EG38" s="136">
        <v>182130</v>
      </c>
      <c r="EH38" s="136">
        <v>0</v>
      </c>
      <c r="EI38" s="136">
        <v>0</v>
      </c>
      <c r="EJ38" s="136">
        <v>0</v>
      </c>
      <c r="EK38" s="136"/>
      <c r="EL38" s="136"/>
      <c r="EM38" s="136"/>
      <c r="EN38" s="136"/>
      <c r="EO38" s="136"/>
      <c r="EP38" s="136"/>
      <c r="EQ38" s="136">
        <v>0</v>
      </c>
      <c r="ER38" s="136">
        <v>0</v>
      </c>
      <c r="ES38" s="136">
        <v>0</v>
      </c>
      <c r="ET38" s="136">
        <v>3431</v>
      </c>
      <c r="EU38" s="136">
        <v>0</v>
      </c>
      <c r="EV38" s="136">
        <v>0</v>
      </c>
      <c r="EW38" s="136"/>
      <c r="EX38" s="136"/>
      <c r="EY38" s="136"/>
      <c r="EZ38" s="136"/>
      <c r="FA38" s="136"/>
      <c r="FB38" s="136"/>
      <c r="FC38" s="136">
        <v>0</v>
      </c>
      <c r="FD38" s="136">
        <v>0</v>
      </c>
      <c r="FE38" s="136">
        <v>0</v>
      </c>
      <c r="FF38" s="136">
        <v>8490</v>
      </c>
      <c r="FG38" s="136">
        <v>0</v>
      </c>
      <c r="FH38" s="136">
        <v>0</v>
      </c>
      <c r="FI38" s="136"/>
      <c r="FJ38" s="136"/>
      <c r="FK38" s="136"/>
      <c r="FL38" s="136"/>
      <c r="FM38" s="136"/>
      <c r="FN38" s="136"/>
      <c r="FO38" s="136">
        <v>279140</v>
      </c>
      <c r="FP38" s="136">
        <v>0</v>
      </c>
      <c r="FQ38" s="136">
        <v>0</v>
      </c>
      <c r="FR38" s="136">
        <v>9645</v>
      </c>
      <c r="FS38" s="136">
        <v>0</v>
      </c>
      <c r="FT38" s="136">
        <v>45825</v>
      </c>
      <c r="FU38" s="136">
        <v>40544</v>
      </c>
      <c r="FV38" s="136">
        <v>0</v>
      </c>
      <c r="FW38" s="136">
        <v>0</v>
      </c>
      <c r="FX38" s="136">
        <v>0</v>
      </c>
      <c r="FY38" s="136">
        <v>0</v>
      </c>
      <c r="FZ38" s="136">
        <v>0</v>
      </c>
      <c r="GA38" s="136">
        <v>584080</v>
      </c>
      <c r="GB38" s="136">
        <v>0</v>
      </c>
      <c r="GC38" s="136">
        <v>393113</v>
      </c>
      <c r="GD38" s="136">
        <v>10000</v>
      </c>
      <c r="GE38" s="136">
        <v>0</v>
      </c>
      <c r="GF38" s="136">
        <v>47585</v>
      </c>
      <c r="GG38" s="136">
        <v>0</v>
      </c>
      <c r="GH38" s="136">
        <v>0</v>
      </c>
      <c r="GI38" s="136">
        <v>0</v>
      </c>
      <c r="GJ38" s="136">
        <v>0</v>
      </c>
      <c r="GK38" s="136">
        <v>0</v>
      </c>
      <c r="GL38" s="136">
        <v>0</v>
      </c>
      <c r="GM38" s="136">
        <v>0</v>
      </c>
      <c r="GN38" s="136">
        <v>0</v>
      </c>
      <c r="GO38" s="136">
        <v>0</v>
      </c>
      <c r="GP38" s="136">
        <v>0</v>
      </c>
      <c r="GQ38" s="136">
        <v>0</v>
      </c>
      <c r="GR38" s="136">
        <v>0</v>
      </c>
      <c r="GS38" s="136">
        <v>72246506</v>
      </c>
      <c r="GT38" s="136">
        <v>34764962</v>
      </c>
      <c r="GU38" s="136">
        <v>203864983</v>
      </c>
      <c r="GV38" s="35" t="s">
        <v>340</v>
      </c>
      <c r="GW38" s="137">
        <v>9794586077</v>
      </c>
      <c r="GX38" s="35" t="s">
        <v>341</v>
      </c>
      <c r="GY38" s="136">
        <v>33636340</v>
      </c>
      <c r="GZ38" s="136">
        <v>-10400397</v>
      </c>
      <c r="HA38" s="136">
        <v>619057</v>
      </c>
      <c r="HB38" s="136">
        <v>-16709</v>
      </c>
      <c r="HC38" s="136">
        <v>0</v>
      </c>
      <c r="HD38" s="136">
        <v>-681568</v>
      </c>
      <c r="HE38" s="136">
        <v>0</v>
      </c>
      <c r="HF38" s="136">
        <v>121724</v>
      </c>
      <c r="HG38" s="136">
        <v>0</v>
      </c>
      <c r="HH38" s="136">
        <v>0</v>
      </c>
      <c r="HI38" s="35" t="s">
        <v>377</v>
      </c>
      <c r="HJ38" s="35"/>
      <c r="HK38" s="35"/>
      <c r="HL38"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14246794</v>
      </c>
      <c r="HM38"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7729411</v>
      </c>
      <c r="HN38"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6857685</v>
      </c>
      <c r="HO38"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2806015</v>
      </c>
      <c r="HP38"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532406</v>
      </c>
      <c r="HQ38"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6059375</v>
      </c>
      <c r="HR38"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23278447</v>
      </c>
    </row>
    <row r="39" spans="1:226">
      <c r="A39" s="35" t="s">
        <v>32</v>
      </c>
      <c r="B39" s="37" t="s">
        <v>19</v>
      </c>
      <c r="C39" s="37">
        <v>180</v>
      </c>
      <c r="D39" s="37" t="s">
        <v>835</v>
      </c>
      <c r="E39" s="103">
        <v>3639</v>
      </c>
      <c r="F39" s="136">
        <v>111927</v>
      </c>
      <c r="G39" s="136">
        <v>0</v>
      </c>
      <c r="H39" s="136">
        <v>20648833</v>
      </c>
      <c r="I39" s="136">
        <v>2079397</v>
      </c>
      <c r="J39" s="136">
        <v>2035755</v>
      </c>
      <c r="K39" s="136">
        <v>0</v>
      </c>
      <c r="L39" s="136">
        <v>22433</v>
      </c>
      <c r="M39" s="136">
        <v>2294667</v>
      </c>
      <c r="N39" s="136">
        <v>223479</v>
      </c>
      <c r="O39" s="136">
        <v>2009984</v>
      </c>
      <c r="P39" s="136">
        <v>4080110</v>
      </c>
      <c r="Q39" s="136">
        <v>530872</v>
      </c>
      <c r="R39" s="136">
        <v>850842</v>
      </c>
      <c r="S39" s="136">
        <v>376067</v>
      </c>
      <c r="T39" s="136">
        <v>5792441</v>
      </c>
      <c r="U39" s="136">
        <v>1796459</v>
      </c>
      <c r="V39" s="136">
        <v>870870</v>
      </c>
      <c r="W39" s="136">
        <v>36175</v>
      </c>
      <c r="X39" s="136">
        <v>109715</v>
      </c>
      <c r="Y39" s="136">
        <v>76652</v>
      </c>
      <c r="Z39" s="136">
        <v>74517</v>
      </c>
      <c r="AA39" s="136">
        <v>784181</v>
      </c>
      <c r="AB39" s="136">
        <v>0</v>
      </c>
      <c r="AC39" s="136">
        <v>0</v>
      </c>
      <c r="AD39" s="136">
        <v>0</v>
      </c>
      <c r="AE39" s="136">
        <v>0</v>
      </c>
      <c r="AF39" s="136">
        <v>0</v>
      </c>
      <c r="AG39" s="136">
        <v>3689753</v>
      </c>
      <c r="AH39" s="136">
        <v>695180</v>
      </c>
      <c r="AI39" s="136">
        <v>210881</v>
      </c>
      <c r="AJ39" s="136">
        <v>157057</v>
      </c>
      <c r="AK39" s="136">
        <v>35223</v>
      </c>
      <c r="AL39" s="136">
        <v>78397</v>
      </c>
      <c r="AM39" s="136">
        <v>0</v>
      </c>
      <c r="AN39" s="136">
        <v>1869</v>
      </c>
      <c r="AO39" s="136">
        <v>0</v>
      </c>
      <c r="AP39" s="136">
        <v>124827</v>
      </c>
      <c r="AQ39" s="136">
        <v>0</v>
      </c>
      <c r="AR39" s="136">
        <v>85758</v>
      </c>
      <c r="AS39" s="136">
        <v>0</v>
      </c>
      <c r="AT39" s="136">
        <v>0</v>
      </c>
      <c r="AU39" s="136">
        <v>0</v>
      </c>
      <c r="AV39" s="136">
        <v>0</v>
      </c>
      <c r="AW39" s="136">
        <v>0</v>
      </c>
      <c r="AX39" s="136">
        <v>0</v>
      </c>
      <c r="AY39" s="136">
        <v>0</v>
      </c>
      <c r="AZ39" s="136">
        <v>15669</v>
      </c>
      <c r="BA39" s="136">
        <v>0</v>
      </c>
      <c r="BB39" s="136">
        <v>95276</v>
      </c>
      <c r="BC39" s="136">
        <v>0</v>
      </c>
      <c r="BD39" s="136">
        <v>0</v>
      </c>
      <c r="BE39" s="136">
        <v>119065</v>
      </c>
      <c r="BF39" s="136">
        <v>84078</v>
      </c>
      <c r="BG39" s="136">
        <v>0</v>
      </c>
      <c r="BH39" s="136">
        <v>7734</v>
      </c>
      <c r="BI39" s="136">
        <v>0</v>
      </c>
      <c r="BJ39" s="136">
        <v>47342</v>
      </c>
      <c r="BK39" s="136">
        <v>54109</v>
      </c>
      <c r="BL39" s="136">
        <v>16295</v>
      </c>
      <c r="BM39" s="136">
        <v>0</v>
      </c>
      <c r="BN39" s="136">
        <v>566</v>
      </c>
      <c r="BO39" s="136">
        <v>0</v>
      </c>
      <c r="BP39" s="136">
        <v>0</v>
      </c>
      <c r="BQ39" s="136">
        <v>24040</v>
      </c>
      <c r="BR39" s="136">
        <v>0</v>
      </c>
      <c r="BS39" s="136">
        <v>0</v>
      </c>
      <c r="BT39" s="136">
        <v>0</v>
      </c>
      <c r="BU39" s="136">
        <v>0</v>
      </c>
      <c r="BV39" s="136">
        <v>0</v>
      </c>
      <c r="BW39" s="136">
        <v>0</v>
      </c>
      <c r="BX39" s="136">
        <v>0</v>
      </c>
      <c r="BY39" s="136">
        <v>0</v>
      </c>
      <c r="BZ39" s="136">
        <v>0</v>
      </c>
      <c r="CA39" s="136">
        <v>0</v>
      </c>
      <c r="CB39" s="136">
        <v>0</v>
      </c>
      <c r="CC39" s="136">
        <v>0</v>
      </c>
      <c r="CD39" s="136">
        <v>0</v>
      </c>
      <c r="CE39" s="136">
        <v>0</v>
      </c>
      <c r="CF39" s="136">
        <v>0</v>
      </c>
      <c r="CG39" s="136">
        <v>0</v>
      </c>
      <c r="CH39" s="136">
        <v>0</v>
      </c>
      <c r="CI39" s="136">
        <v>0</v>
      </c>
      <c r="CJ39" s="136">
        <v>9305</v>
      </c>
      <c r="CK39" s="136">
        <v>0</v>
      </c>
      <c r="CL39" s="136">
        <v>0</v>
      </c>
      <c r="CM39" s="136">
        <v>0</v>
      </c>
      <c r="CN39" s="136">
        <v>2495</v>
      </c>
      <c r="CO39" s="136">
        <v>318870</v>
      </c>
      <c r="CP39" s="136">
        <v>140920</v>
      </c>
      <c r="CQ39" s="136">
        <v>0</v>
      </c>
      <c r="CR39" s="136">
        <v>22130</v>
      </c>
      <c r="CS39" s="136">
        <v>0</v>
      </c>
      <c r="CT39" s="136">
        <v>0</v>
      </c>
      <c r="CU39" s="136">
        <v>0</v>
      </c>
      <c r="CV39" s="136">
        <v>0</v>
      </c>
      <c r="CW39" s="136">
        <v>0</v>
      </c>
      <c r="CX39" s="136">
        <v>0</v>
      </c>
      <c r="CY39" s="136">
        <v>0</v>
      </c>
      <c r="CZ39" s="136">
        <v>0</v>
      </c>
      <c r="DA39" s="136"/>
      <c r="DB39" s="136"/>
      <c r="DC39" s="136"/>
      <c r="DD39" s="136"/>
      <c r="DE39" s="136"/>
      <c r="DF39" s="136"/>
      <c r="DG39" s="136">
        <v>787640</v>
      </c>
      <c r="DH39" s="136">
        <v>187608</v>
      </c>
      <c r="DI39" s="136">
        <v>2865</v>
      </c>
      <c r="DJ39" s="136">
        <v>328124</v>
      </c>
      <c r="DK39" s="136">
        <v>0</v>
      </c>
      <c r="DL39" s="136">
        <v>54457</v>
      </c>
      <c r="DM39" s="136">
        <v>0</v>
      </c>
      <c r="DN39" s="136">
        <v>0</v>
      </c>
      <c r="DO39" s="136">
        <v>0</v>
      </c>
      <c r="DP39" s="136">
        <v>0</v>
      </c>
      <c r="DQ39" s="136">
        <v>0</v>
      </c>
      <c r="DR39" s="136">
        <v>0</v>
      </c>
      <c r="DS39" s="136"/>
      <c r="DT39" s="136"/>
      <c r="DU39" s="136"/>
      <c r="DV39" s="136"/>
      <c r="DW39" s="136"/>
      <c r="DX39" s="136"/>
      <c r="DY39" s="136">
        <v>0</v>
      </c>
      <c r="DZ39" s="136">
        <v>0</v>
      </c>
      <c r="EA39" s="136">
        <v>0</v>
      </c>
      <c r="EB39" s="136">
        <v>0</v>
      </c>
      <c r="EC39" s="136">
        <v>0</v>
      </c>
      <c r="ED39" s="136">
        <v>0</v>
      </c>
      <c r="EE39" s="136">
        <v>0</v>
      </c>
      <c r="EF39" s="136">
        <v>0</v>
      </c>
      <c r="EG39" s="136">
        <v>0</v>
      </c>
      <c r="EH39" s="136">
        <v>0</v>
      </c>
      <c r="EI39" s="136">
        <v>0</v>
      </c>
      <c r="EJ39" s="136">
        <v>0</v>
      </c>
      <c r="EK39" s="136"/>
      <c r="EL39" s="136"/>
      <c r="EM39" s="136"/>
      <c r="EN39" s="136"/>
      <c r="EO39" s="136"/>
      <c r="EP39" s="136"/>
      <c r="EQ39" s="136">
        <v>0</v>
      </c>
      <c r="ER39" s="136">
        <v>0</v>
      </c>
      <c r="ES39" s="136">
        <v>0</v>
      </c>
      <c r="ET39" s="136">
        <v>0</v>
      </c>
      <c r="EU39" s="136">
        <v>0</v>
      </c>
      <c r="EV39" s="136">
        <v>0</v>
      </c>
      <c r="EW39" s="136"/>
      <c r="EX39" s="136"/>
      <c r="EY39" s="136"/>
      <c r="EZ39" s="136"/>
      <c r="FA39" s="136"/>
      <c r="FB39" s="136"/>
      <c r="FC39" s="136">
        <v>0</v>
      </c>
      <c r="FD39" s="136">
        <v>0</v>
      </c>
      <c r="FE39" s="136">
        <v>0</v>
      </c>
      <c r="FF39" s="136">
        <v>0</v>
      </c>
      <c r="FG39" s="136">
        <v>0</v>
      </c>
      <c r="FH39" s="136">
        <v>0</v>
      </c>
      <c r="FI39" s="136"/>
      <c r="FJ39" s="136"/>
      <c r="FK39" s="136"/>
      <c r="FL39" s="136"/>
      <c r="FM39" s="136"/>
      <c r="FN39" s="136"/>
      <c r="FO39" s="136">
        <v>0</v>
      </c>
      <c r="FP39" s="136">
        <v>0</v>
      </c>
      <c r="FQ39" s="136">
        <v>0</v>
      </c>
      <c r="FR39" s="136">
        <v>0</v>
      </c>
      <c r="FS39" s="136">
        <v>0</v>
      </c>
      <c r="FT39" s="136">
        <v>0</v>
      </c>
      <c r="FU39" s="136">
        <v>0</v>
      </c>
      <c r="FV39" s="136">
        <v>0</v>
      </c>
      <c r="FW39" s="136">
        <v>0</v>
      </c>
      <c r="FX39" s="136">
        <v>0</v>
      </c>
      <c r="FY39" s="136">
        <v>0</v>
      </c>
      <c r="FZ39" s="136">
        <v>0</v>
      </c>
      <c r="GA39" s="136">
        <v>0</v>
      </c>
      <c r="GB39" s="136">
        <v>0</v>
      </c>
      <c r="GC39" s="136">
        <v>0</v>
      </c>
      <c r="GD39" s="136">
        <v>0</v>
      </c>
      <c r="GE39" s="136">
        <v>0</v>
      </c>
      <c r="GF39" s="136">
        <v>0</v>
      </c>
      <c r="GG39" s="136">
        <v>0</v>
      </c>
      <c r="GH39" s="136">
        <v>0</v>
      </c>
      <c r="GI39" s="136">
        <v>0</v>
      </c>
      <c r="GJ39" s="136">
        <v>0</v>
      </c>
      <c r="GK39" s="136">
        <v>0</v>
      </c>
      <c r="GL39" s="136">
        <v>0</v>
      </c>
      <c r="GM39" s="136">
        <v>0</v>
      </c>
      <c r="GN39" s="136">
        <v>0</v>
      </c>
      <c r="GO39" s="136">
        <v>0</v>
      </c>
      <c r="GP39" s="136">
        <v>0</v>
      </c>
      <c r="GQ39" s="136">
        <v>0</v>
      </c>
      <c r="GR39" s="136">
        <v>0</v>
      </c>
      <c r="GS39" s="136">
        <v>56672951</v>
      </c>
      <c r="GT39" s="136">
        <v>22684588</v>
      </c>
      <c r="GU39" s="136">
        <v>145333471</v>
      </c>
      <c r="GV39" s="35" t="s">
        <v>340</v>
      </c>
      <c r="GW39" s="137">
        <v>9794586077</v>
      </c>
      <c r="GX39" s="35" t="s">
        <v>341</v>
      </c>
      <c r="GY39" s="136">
        <v>20760760</v>
      </c>
      <c r="GZ39" s="136">
        <v>-4533357</v>
      </c>
      <c r="HA39" s="136">
        <v>1512222</v>
      </c>
      <c r="HB39" s="136">
        <v>0</v>
      </c>
      <c r="HC39" s="136">
        <v>0</v>
      </c>
      <c r="HD39" s="136">
        <v>0</v>
      </c>
      <c r="HE39" s="136">
        <v>0</v>
      </c>
      <c r="HF39" s="136">
        <v>22433</v>
      </c>
      <c r="HG39" s="136">
        <v>0</v>
      </c>
      <c r="HH39" s="136">
        <v>0</v>
      </c>
      <c r="HI39" s="35" t="s">
        <v>377</v>
      </c>
      <c r="HJ39" s="35"/>
      <c r="HK39" s="35"/>
      <c r="HL39"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9584101</v>
      </c>
      <c r="HM39"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6101904</v>
      </c>
      <c r="HN39"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780793</v>
      </c>
      <c r="HO39"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2155787</v>
      </c>
      <c r="HP39"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487942</v>
      </c>
      <c r="HQ39"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6135407</v>
      </c>
      <c r="HR39"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17762058</v>
      </c>
    </row>
    <row r="40" spans="1:226">
      <c r="A40" s="35" t="s">
        <v>38</v>
      </c>
      <c r="B40" s="37" t="s">
        <v>19</v>
      </c>
      <c r="C40" s="37">
        <v>226</v>
      </c>
      <c r="D40" s="37" t="s">
        <v>835</v>
      </c>
      <c r="E40" s="103">
        <v>42485</v>
      </c>
      <c r="F40" s="136">
        <v>1609269</v>
      </c>
      <c r="G40" s="136">
        <v>0</v>
      </c>
      <c r="H40" s="136">
        <v>1501402</v>
      </c>
      <c r="I40" s="136">
        <v>228212</v>
      </c>
      <c r="J40" s="136">
        <v>9205</v>
      </c>
      <c r="K40" s="136">
        <v>0</v>
      </c>
      <c r="L40" s="136">
        <v>0</v>
      </c>
      <c r="M40" s="136">
        <v>81911</v>
      </c>
      <c r="N40" s="136">
        <v>23702</v>
      </c>
      <c r="O40" s="136">
        <v>0</v>
      </c>
      <c r="P40" s="136">
        <v>0</v>
      </c>
      <c r="Q40" s="136">
        <v>0</v>
      </c>
      <c r="R40" s="136">
        <v>0</v>
      </c>
      <c r="S40" s="136">
        <v>0</v>
      </c>
      <c r="T40" s="136">
        <v>0</v>
      </c>
      <c r="U40" s="136">
        <v>213817</v>
      </c>
      <c r="V40" s="136">
        <v>0</v>
      </c>
      <c r="W40" s="136">
        <v>0</v>
      </c>
      <c r="X40" s="136">
        <v>0</v>
      </c>
      <c r="Y40" s="136">
        <v>0</v>
      </c>
      <c r="Z40" s="136">
        <v>3914</v>
      </c>
      <c r="AA40" s="136">
        <v>132668</v>
      </c>
      <c r="AB40" s="136">
        <v>0</v>
      </c>
      <c r="AC40" s="136">
        <v>0</v>
      </c>
      <c r="AD40" s="136">
        <v>0</v>
      </c>
      <c r="AE40" s="136">
        <v>0</v>
      </c>
      <c r="AF40" s="136">
        <v>0</v>
      </c>
      <c r="AG40" s="136">
        <v>0</v>
      </c>
      <c r="AH40" s="136">
        <v>0</v>
      </c>
      <c r="AI40" s="136">
        <v>0</v>
      </c>
      <c r="AJ40" s="136">
        <v>0</v>
      </c>
      <c r="AK40" s="136">
        <v>0</v>
      </c>
      <c r="AL40" s="136">
        <v>33969</v>
      </c>
      <c r="AM40" s="136">
        <v>39270</v>
      </c>
      <c r="AN40" s="136">
        <v>0</v>
      </c>
      <c r="AO40" s="136">
        <v>0</v>
      </c>
      <c r="AP40" s="136">
        <v>0</v>
      </c>
      <c r="AQ40" s="136">
        <v>0</v>
      </c>
      <c r="AR40" s="136">
        <v>0</v>
      </c>
      <c r="AS40" s="136">
        <v>11574</v>
      </c>
      <c r="AT40" s="136">
        <v>0</v>
      </c>
      <c r="AU40" s="136">
        <v>0</v>
      </c>
      <c r="AV40" s="136">
        <v>0</v>
      </c>
      <c r="AW40" s="136">
        <v>0</v>
      </c>
      <c r="AX40" s="136">
        <v>0</v>
      </c>
      <c r="AY40" s="136">
        <v>0</v>
      </c>
      <c r="AZ40" s="136">
        <v>0</v>
      </c>
      <c r="BA40" s="136">
        <v>1561</v>
      </c>
      <c r="BB40" s="136">
        <v>0</v>
      </c>
      <c r="BC40" s="136">
        <v>0</v>
      </c>
      <c r="BD40" s="136">
        <v>11057</v>
      </c>
      <c r="BE40" s="136">
        <v>0</v>
      </c>
      <c r="BF40" s="136">
        <v>0</v>
      </c>
      <c r="BG40" s="136">
        <v>0</v>
      </c>
      <c r="BH40" s="136">
        <v>0</v>
      </c>
      <c r="BI40" s="136">
        <v>0</v>
      </c>
      <c r="BJ40" s="136">
        <v>0</v>
      </c>
      <c r="BK40" s="136">
        <v>85739</v>
      </c>
      <c r="BL40" s="136">
        <v>0</v>
      </c>
      <c r="BM40" s="136">
        <v>0</v>
      </c>
      <c r="BN40" s="136">
        <v>0</v>
      </c>
      <c r="BO40" s="136">
        <v>0</v>
      </c>
      <c r="BP40" s="136">
        <v>1500</v>
      </c>
      <c r="BQ40" s="136">
        <v>46335</v>
      </c>
      <c r="BR40" s="136">
        <v>0</v>
      </c>
      <c r="BS40" s="136">
        <v>33334</v>
      </c>
      <c r="BT40" s="136">
        <v>0</v>
      </c>
      <c r="BU40" s="136">
        <v>0</v>
      </c>
      <c r="BV40" s="136">
        <v>0</v>
      </c>
      <c r="BW40" s="136">
        <v>128585</v>
      </c>
      <c r="BX40" s="136">
        <v>0</v>
      </c>
      <c r="BY40" s="136">
        <v>0</v>
      </c>
      <c r="BZ40" s="136">
        <v>0</v>
      </c>
      <c r="CA40" s="136">
        <v>0</v>
      </c>
      <c r="CB40" s="136">
        <v>0</v>
      </c>
      <c r="CC40" s="136">
        <v>8075</v>
      </c>
      <c r="CD40" s="136">
        <v>0</v>
      </c>
      <c r="CE40" s="136">
        <v>0</v>
      </c>
      <c r="CF40" s="136">
        <v>0</v>
      </c>
      <c r="CG40" s="136">
        <v>0</v>
      </c>
      <c r="CH40" s="136">
        <v>37840</v>
      </c>
      <c r="CI40" s="136">
        <v>0</v>
      </c>
      <c r="CJ40" s="136">
        <v>0</v>
      </c>
      <c r="CK40" s="136">
        <v>0</v>
      </c>
      <c r="CL40" s="136">
        <v>0</v>
      </c>
      <c r="CM40" s="136">
        <v>0</v>
      </c>
      <c r="CN40" s="136">
        <v>0</v>
      </c>
      <c r="CO40" s="136">
        <v>121798</v>
      </c>
      <c r="CP40" s="136">
        <v>0</v>
      </c>
      <c r="CQ40" s="136">
        <v>3338</v>
      </c>
      <c r="CR40" s="136">
        <v>0</v>
      </c>
      <c r="CS40" s="136">
        <v>0</v>
      </c>
      <c r="CT40" s="136">
        <v>120160</v>
      </c>
      <c r="CU40" s="136">
        <v>0</v>
      </c>
      <c r="CV40" s="136">
        <v>0</v>
      </c>
      <c r="CW40" s="136">
        <v>0</v>
      </c>
      <c r="CX40" s="136">
        <v>0</v>
      </c>
      <c r="CY40" s="136">
        <v>0</v>
      </c>
      <c r="CZ40" s="136">
        <v>0</v>
      </c>
      <c r="DA40" s="136"/>
      <c r="DB40" s="136"/>
      <c r="DC40" s="136"/>
      <c r="DD40" s="136"/>
      <c r="DE40" s="136"/>
      <c r="DF40" s="136"/>
      <c r="DG40" s="136">
        <v>460168</v>
      </c>
      <c r="DH40" s="136">
        <v>0</v>
      </c>
      <c r="DI40" s="136">
        <v>244117</v>
      </c>
      <c r="DJ40" s="136">
        <v>0</v>
      </c>
      <c r="DK40" s="136">
        <v>0</v>
      </c>
      <c r="DL40" s="136">
        <v>0</v>
      </c>
      <c r="DM40" s="136">
        <v>0</v>
      </c>
      <c r="DN40" s="136">
        <v>0</v>
      </c>
      <c r="DO40" s="136">
        <v>0</v>
      </c>
      <c r="DP40" s="136">
        <v>0</v>
      </c>
      <c r="DQ40" s="136">
        <v>0</v>
      </c>
      <c r="DR40" s="136">
        <v>0</v>
      </c>
      <c r="DS40" s="136"/>
      <c r="DT40" s="136"/>
      <c r="DU40" s="136"/>
      <c r="DV40" s="136"/>
      <c r="DW40" s="136"/>
      <c r="DX40" s="136"/>
      <c r="DY40" s="136">
        <v>0</v>
      </c>
      <c r="DZ40" s="136">
        <v>0</v>
      </c>
      <c r="EA40" s="136">
        <v>0</v>
      </c>
      <c r="EB40" s="136">
        <v>0</v>
      </c>
      <c r="EC40" s="136">
        <v>0</v>
      </c>
      <c r="ED40" s="136">
        <v>0</v>
      </c>
      <c r="EE40" s="136">
        <v>0</v>
      </c>
      <c r="EF40" s="136">
        <v>0</v>
      </c>
      <c r="EG40" s="136">
        <v>0</v>
      </c>
      <c r="EH40" s="136">
        <v>0</v>
      </c>
      <c r="EI40" s="136">
        <v>0</v>
      </c>
      <c r="EJ40" s="136">
        <v>0</v>
      </c>
      <c r="EK40" s="136"/>
      <c r="EL40" s="136"/>
      <c r="EM40" s="136"/>
      <c r="EN40" s="136"/>
      <c r="EO40" s="136"/>
      <c r="EP40" s="136"/>
      <c r="EQ40" s="136">
        <v>0</v>
      </c>
      <c r="ER40" s="136">
        <v>0</v>
      </c>
      <c r="ES40" s="136">
        <v>0</v>
      </c>
      <c r="ET40" s="136">
        <v>0</v>
      </c>
      <c r="EU40" s="136">
        <v>0</v>
      </c>
      <c r="EV40" s="136">
        <v>0</v>
      </c>
      <c r="EW40" s="136"/>
      <c r="EX40" s="136"/>
      <c r="EY40" s="136"/>
      <c r="EZ40" s="136"/>
      <c r="FA40" s="136"/>
      <c r="FB40" s="136"/>
      <c r="FC40" s="136">
        <v>0</v>
      </c>
      <c r="FD40" s="136">
        <v>0</v>
      </c>
      <c r="FE40" s="136">
        <v>0</v>
      </c>
      <c r="FF40" s="136">
        <v>0</v>
      </c>
      <c r="FG40" s="136">
        <v>0</v>
      </c>
      <c r="FH40" s="136">
        <v>0</v>
      </c>
      <c r="FI40" s="136"/>
      <c r="FJ40" s="136"/>
      <c r="FK40" s="136"/>
      <c r="FL40" s="136"/>
      <c r="FM40" s="136"/>
      <c r="FN40" s="136"/>
      <c r="FO40" s="136">
        <v>0</v>
      </c>
      <c r="FP40" s="136">
        <v>0</v>
      </c>
      <c r="FQ40" s="136">
        <v>0</v>
      </c>
      <c r="FR40" s="136">
        <v>0</v>
      </c>
      <c r="FS40" s="136">
        <v>0</v>
      </c>
      <c r="FT40" s="136">
        <v>0</v>
      </c>
      <c r="FU40" s="136">
        <v>0</v>
      </c>
      <c r="FV40" s="136">
        <v>0</v>
      </c>
      <c r="FW40" s="136">
        <v>0</v>
      </c>
      <c r="FX40" s="136">
        <v>0</v>
      </c>
      <c r="FY40" s="136">
        <v>0</v>
      </c>
      <c r="FZ40" s="136">
        <v>0</v>
      </c>
      <c r="GA40" s="136">
        <v>0</v>
      </c>
      <c r="GB40" s="136">
        <v>0</v>
      </c>
      <c r="GC40" s="136">
        <v>0</v>
      </c>
      <c r="GD40" s="136">
        <v>0</v>
      </c>
      <c r="GE40" s="136">
        <v>0</v>
      </c>
      <c r="GF40" s="136">
        <v>0</v>
      </c>
      <c r="GG40" s="136">
        <v>0</v>
      </c>
      <c r="GH40" s="136">
        <v>0</v>
      </c>
      <c r="GI40" s="136">
        <v>0</v>
      </c>
      <c r="GJ40" s="136">
        <v>0</v>
      </c>
      <c r="GK40" s="136">
        <v>0</v>
      </c>
      <c r="GL40" s="136">
        <v>0</v>
      </c>
      <c r="GM40" s="136">
        <v>0</v>
      </c>
      <c r="GN40" s="136">
        <v>0</v>
      </c>
      <c r="GO40" s="136">
        <v>0</v>
      </c>
      <c r="GP40" s="136">
        <v>0</v>
      </c>
      <c r="GQ40" s="136">
        <v>0</v>
      </c>
      <c r="GR40" s="136">
        <v>0</v>
      </c>
      <c r="GS40" s="136">
        <v>40443851</v>
      </c>
      <c r="GT40" s="136">
        <v>3119876</v>
      </c>
      <c r="GU40" s="136">
        <v>98346117</v>
      </c>
      <c r="GV40" s="35" t="s">
        <v>340</v>
      </c>
      <c r="GW40" s="137">
        <v>9794586077</v>
      </c>
      <c r="GX40" s="35" t="s">
        <v>341</v>
      </c>
      <c r="GY40" s="136">
        <v>3110671</v>
      </c>
      <c r="GZ40" s="136">
        <v>-1571077</v>
      </c>
      <c r="HA40" s="136">
        <v>0</v>
      </c>
      <c r="HB40" s="136">
        <v>-38192</v>
      </c>
      <c r="HC40" s="136">
        <v>0</v>
      </c>
      <c r="HD40" s="136">
        <v>0</v>
      </c>
      <c r="HE40" s="136">
        <v>0</v>
      </c>
      <c r="HF40" s="136">
        <v>0</v>
      </c>
      <c r="HG40" s="136">
        <v>0</v>
      </c>
      <c r="HH40" s="136">
        <v>0</v>
      </c>
      <c r="HI40" s="35" t="s">
        <v>439</v>
      </c>
      <c r="HJ40" s="35" t="s">
        <v>439</v>
      </c>
      <c r="HK40" s="35" t="s">
        <v>439</v>
      </c>
      <c r="HL40"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1248029</v>
      </c>
      <c r="HM40"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40"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282350</v>
      </c>
      <c r="HO40"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460168</v>
      </c>
      <c r="HP40"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40"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208440</v>
      </c>
      <c r="HR40"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1501402</v>
      </c>
    </row>
    <row r="41" spans="1:226">
      <c r="A41" s="35" t="s">
        <v>829</v>
      </c>
      <c r="B41" s="37" t="s">
        <v>828</v>
      </c>
      <c r="C41" s="37" t="s">
        <v>651</v>
      </c>
      <c r="D41" s="37" t="s">
        <v>835</v>
      </c>
      <c r="E41" s="103">
        <v>3629</v>
      </c>
      <c r="F41" s="136">
        <v>7486745</v>
      </c>
      <c r="G41" s="136">
        <v>0</v>
      </c>
      <c r="H41" s="136">
        <v>237919</v>
      </c>
      <c r="I41" s="136">
        <v>-7923</v>
      </c>
      <c r="J41" s="136">
        <v>0</v>
      </c>
      <c r="K41" s="136">
        <v>0</v>
      </c>
      <c r="L41" s="136">
        <v>0</v>
      </c>
      <c r="M41" s="136">
        <v>-124572</v>
      </c>
      <c r="N41" s="136">
        <v>17364</v>
      </c>
      <c r="O41" s="136">
        <v>0</v>
      </c>
      <c r="P41" s="136">
        <v>0</v>
      </c>
      <c r="Q41" s="136">
        <v>0</v>
      </c>
      <c r="R41" s="136">
        <v>0</v>
      </c>
      <c r="S41" s="136">
        <v>0</v>
      </c>
      <c r="T41" s="136">
        <v>0</v>
      </c>
      <c r="U41" s="136">
        <v>0</v>
      </c>
      <c r="V41" s="136">
        <v>0</v>
      </c>
      <c r="W41" s="136">
        <v>0</v>
      </c>
      <c r="X41" s="136">
        <v>0</v>
      </c>
      <c r="Y41" s="136">
        <v>0</v>
      </c>
      <c r="Z41" s="136">
        <v>0</v>
      </c>
      <c r="AA41" s="136">
        <v>0</v>
      </c>
      <c r="AB41" s="136">
        <v>0</v>
      </c>
      <c r="AC41" s="136">
        <v>72476</v>
      </c>
      <c r="AD41" s="136">
        <v>0</v>
      </c>
      <c r="AE41" s="136">
        <v>0</v>
      </c>
      <c r="AF41" s="136">
        <v>0</v>
      </c>
      <c r="AG41" s="136">
        <v>26818</v>
      </c>
      <c r="AH41" s="136">
        <v>0</v>
      </c>
      <c r="AI41" s="136">
        <v>0</v>
      </c>
      <c r="AJ41" s="136">
        <v>0</v>
      </c>
      <c r="AK41" s="136">
        <v>0</v>
      </c>
      <c r="AL41" s="136">
        <v>0</v>
      </c>
      <c r="AM41" s="136">
        <v>0</v>
      </c>
      <c r="AN41" s="136">
        <v>0</v>
      </c>
      <c r="AO41" s="136">
        <v>0</v>
      </c>
      <c r="AP41" s="136">
        <v>0</v>
      </c>
      <c r="AQ41" s="136">
        <v>0</v>
      </c>
      <c r="AR41" s="136">
        <v>0</v>
      </c>
      <c r="AS41" s="136">
        <v>0</v>
      </c>
      <c r="AT41" s="136">
        <v>0</v>
      </c>
      <c r="AU41" s="136">
        <v>0</v>
      </c>
      <c r="AV41" s="136">
        <v>0</v>
      </c>
      <c r="AW41" s="136">
        <v>0</v>
      </c>
      <c r="AX41" s="136">
        <v>0</v>
      </c>
      <c r="AY41" s="136">
        <v>0</v>
      </c>
      <c r="AZ41" s="136">
        <v>0</v>
      </c>
      <c r="BA41" s="136">
        <v>0</v>
      </c>
      <c r="BB41" s="136">
        <v>0</v>
      </c>
      <c r="BC41" s="136">
        <v>0</v>
      </c>
      <c r="BD41" s="136">
        <v>0</v>
      </c>
      <c r="BE41" s="136">
        <v>0</v>
      </c>
      <c r="BF41" s="136">
        <v>0</v>
      </c>
      <c r="BG41" s="136">
        <v>0</v>
      </c>
      <c r="BH41" s="136">
        <v>0</v>
      </c>
      <c r="BI41" s="136">
        <v>0</v>
      </c>
      <c r="BJ41" s="136">
        <v>0</v>
      </c>
      <c r="BK41" s="136">
        <v>0</v>
      </c>
      <c r="BL41" s="136">
        <v>0</v>
      </c>
      <c r="BM41" s="136">
        <v>0</v>
      </c>
      <c r="BN41" s="136">
        <v>0</v>
      </c>
      <c r="BO41" s="136">
        <v>0</v>
      </c>
      <c r="BP41" s="136">
        <v>0</v>
      </c>
      <c r="BQ41" s="136">
        <v>0</v>
      </c>
      <c r="BR41" s="136">
        <v>0</v>
      </c>
      <c r="BS41" s="136">
        <v>0</v>
      </c>
      <c r="BT41" s="136">
        <v>0</v>
      </c>
      <c r="BU41" s="136">
        <v>0</v>
      </c>
      <c r="BV41" s="136">
        <v>0</v>
      </c>
      <c r="BW41" s="136">
        <v>0</v>
      </c>
      <c r="BX41" s="136">
        <v>0</v>
      </c>
      <c r="BY41" s="136">
        <v>17363</v>
      </c>
      <c r="BZ41" s="136">
        <v>0</v>
      </c>
      <c r="CA41" s="136">
        <v>0</v>
      </c>
      <c r="CB41" s="136">
        <v>0</v>
      </c>
      <c r="CC41" s="136">
        <v>0</v>
      </c>
      <c r="CD41" s="136">
        <v>0</v>
      </c>
      <c r="CE41" s="136">
        <v>0</v>
      </c>
      <c r="CF41" s="136">
        <v>0</v>
      </c>
      <c r="CG41" s="136">
        <v>0</v>
      </c>
      <c r="CH41" s="136">
        <v>0</v>
      </c>
      <c r="CI41" s="136">
        <v>0</v>
      </c>
      <c r="CJ41" s="136">
        <v>0</v>
      </c>
      <c r="CK41" s="136">
        <v>0</v>
      </c>
      <c r="CL41" s="136">
        <v>0</v>
      </c>
      <c r="CM41" s="136">
        <v>0</v>
      </c>
      <c r="CN41" s="136">
        <v>0</v>
      </c>
      <c r="CO41" s="136">
        <v>0</v>
      </c>
      <c r="CP41" s="136">
        <v>0</v>
      </c>
      <c r="CQ41" s="136">
        <v>113339</v>
      </c>
      <c r="CR41" s="136">
        <v>0</v>
      </c>
      <c r="CS41" s="136">
        <v>0</v>
      </c>
      <c r="CT41" s="136">
        <v>0</v>
      </c>
      <c r="CU41" s="136">
        <v>0</v>
      </c>
      <c r="CV41" s="136">
        <v>0</v>
      </c>
      <c r="CW41" s="136">
        <v>0</v>
      </c>
      <c r="CX41" s="136">
        <v>0</v>
      </c>
      <c r="CY41" s="136">
        <v>0</v>
      </c>
      <c r="CZ41" s="136">
        <v>0</v>
      </c>
      <c r="DA41" s="136"/>
      <c r="DB41" s="136"/>
      <c r="DC41" s="136"/>
      <c r="DD41" s="136"/>
      <c r="DE41" s="136"/>
      <c r="DF41" s="136"/>
      <c r="DG41" s="136">
        <v>0</v>
      </c>
      <c r="DH41" s="136">
        <v>0</v>
      </c>
      <c r="DI41" s="136">
        <v>0</v>
      </c>
      <c r="DJ41" s="136">
        <v>0</v>
      </c>
      <c r="DK41" s="136">
        <v>0</v>
      </c>
      <c r="DL41" s="136">
        <v>0</v>
      </c>
      <c r="DM41" s="136">
        <v>0</v>
      </c>
      <c r="DN41" s="136">
        <v>0</v>
      </c>
      <c r="DO41" s="136">
        <v>0</v>
      </c>
      <c r="DP41" s="136">
        <v>0</v>
      </c>
      <c r="DQ41" s="136">
        <v>0</v>
      </c>
      <c r="DR41" s="136">
        <v>0</v>
      </c>
      <c r="DS41" s="136"/>
      <c r="DT41" s="136"/>
      <c r="DU41" s="136"/>
      <c r="DV41" s="136"/>
      <c r="DW41" s="136"/>
      <c r="DX41" s="136"/>
      <c r="DY41" s="136">
        <v>0</v>
      </c>
      <c r="DZ41" s="136">
        <v>0</v>
      </c>
      <c r="EA41" s="136">
        <v>0</v>
      </c>
      <c r="EB41" s="136">
        <v>0</v>
      </c>
      <c r="EC41" s="136">
        <v>0</v>
      </c>
      <c r="ED41" s="136">
        <v>0</v>
      </c>
      <c r="EE41" s="136">
        <v>0</v>
      </c>
      <c r="EF41" s="136">
        <v>0</v>
      </c>
      <c r="EG41" s="136">
        <v>0</v>
      </c>
      <c r="EH41" s="136">
        <v>0</v>
      </c>
      <c r="EI41" s="136">
        <v>0</v>
      </c>
      <c r="EJ41" s="136">
        <v>0</v>
      </c>
      <c r="EK41" s="136"/>
      <c r="EL41" s="136"/>
      <c r="EM41" s="136"/>
      <c r="EN41" s="136"/>
      <c r="EO41" s="136"/>
      <c r="EP41" s="136"/>
      <c r="EQ41" s="136">
        <v>0</v>
      </c>
      <c r="ER41" s="136">
        <v>0</v>
      </c>
      <c r="ES41" s="136">
        <v>0</v>
      </c>
      <c r="ET41" s="136">
        <v>0</v>
      </c>
      <c r="EU41" s="136">
        <v>0</v>
      </c>
      <c r="EV41" s="136">
        <v>0</v>
      </c>
      <c r="EW41" s="136"/>
      <c r="EX41" s="136"/>
      <c r="EY41" s="136"/>
      <c r="EZ41" s="136"/>
      <c r="FA41" s="136"/>
      <c r="FB41" s="136"/>
      <c r="FC41" s="136">
        <v>0</v>
      </c>
      <c r="FD41" s="136">
        <v>0</v>
      </c>
      <c r="FE41" s="136">
        <v>0</v>
      </c>
      <c r="FF41" s="136">
        <v>0</v>
      </c>
      <c r="FG41" s="136">
        <v>0</v>
      </c>
      <c r="FH41" s="136">
        <v>0</v>
      </c>
      <c r="FI41" s="136"/>
      <c r="FJ41" s="136"/>
      <c r="FK41" s="136"/>
      <c r="FL41" s="136"/>
      <c r="FM41" s="136"/>
      <c r="FN41" s="136"/>
      <c r="FO41" s="136">
        <v>-3450</v>
      </c>
      <c r="FP41" s="136">
        <v>0</v>
      </c>
      <c r="FQ41" s="136">
        <v>0</v>
      </c>
      <c r="FR41" s="136">
        <v>0</v>
      </c>
      <c r="FS41" s="136">
        <v>0</v>
      </c>
      <c r="FT41" s="136">
        <v>0</v>
      </c>
      <c r="FU41" s="136">
        <v>0</v>
      </c>
      <c r="FV41" s="136">
        <v>0</v>
      </c>
      <c r="FW41" s="136">
        <v>0</v>
      </c>
      <c r="FX41" s="136">
        <v>0</v>
      </c>
      <c r="FY41" s="136">
        <v>0</v>
      </c>
      <c r="FZ41" s="136">
        <v>0</v>
      </c>
      <c r="GA41" s="136">
        <v>0</v>
      </c>
      <c r="GB41" s="136">
        <v>0</v>
      </c>
      <c r="GC41" s="136">
        <v>0</v>
      </c>
      <c r="GD41" s="136">
        <v>0</v>
      </c>
      <c r="GE41" s="136">
        <v>0</v>
      </c>
      <c r="GF41" s="136">
        <v>0</v>
      </c>
      <c r="GG41" s="136">
        <v>0</v>
      </c>
      <c r="GH41" s="136">
        <v>0</v>
      </c>
      <c r="GI41" s="136">
        <v>0</v>
      </c>
      <c r="GJ41" s="136">
        <v>0</v>
      </c>
      <c r="GK41" s="136">
        <v>0</v>
      </c>
      <c r="GL41" s="136">
        <v>0</v>
      </c>
      <c r="GM41" s="136">
        <v>0</v>
      </c>
      <c r="GN41" s="136">
        <v>0</v>
      </c>
      <c r="GO41" s="136">
        <v>0</v>
      </c>
      <c r="GP41" s="136">
        <v>0</v>
      </c>
      <c r="GQ41" s="136">
        <v>0</v>
      </c>
      <c r="GR41" s="136">
        <v>0</v>
      </c>
      <c r="GS41" s="136">
        <v>342668516</v>
      </c>
      <c r="GT41" s="136">
        <v>240003</v>
      </c>
      <c r="GU41" s="136">
        <v>239102389</v>
      </c>
      <c r="GV41" s="35" t="s">
        <v>340</v>
      </c>
      <c r="GW41" s="137">
        <v>9794586077</v>
      </c>
      <c r="GX41" s="35" t="s">
        <v>341</v>
      </c>
      <c r="GY41" s="141">
        <v>0</v>
      </c>
      <c r="GZ41" s="141">
        <v>0</v>
      </c>
      <c r="HA41" s="136">
        <v>0</v>
      </c>
      <c r="HB41" s="136">
        <v>0</v>
      </c>
      <c r="HC41" s="136">
        <v>0</v>
      </c>
      <c r="HD41" s="136">
        <v>0</v>
      </c>
      <c r="HE41" s="136">
        <v>0</v>
      </c>
      <c r="HF41" s="136">
        <v>0</v>
      </c>
      <c r="HG41" s="136">
        <v>0</v>
      </c>
      <c r="HH41" s="136">
        <v>0</v>
      </c>
      <c r="HI41" s="35" t="s">
        <v>439</v>
      </c>
      <c r="HJ41" s="35" t="s">
        <v>439</v>
      </c>
      <c r="HK41" s="35" t="s">
        <v>439</v>
      </c>
      <c r="HL41"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26818</v>
      </c>
      <c r="HM41"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41"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203178</v>
      </c>
      <c r="HO41"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41"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41"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41"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42" spans="1:226">
      <c r="A42" s="35" t="s">
        <v>36</v>
      </c>
      <c r="B42" s="37" t="s">
        <v>19</v>
      </c>
      <c r="C42" s="37">
        <v>220</v>
      </c>
      <c r="D42" s="37" t="s">
        <v>835</v>
      </c>
      <c r="E42" s="103">
        <v>29269</v>
      </c>
      <c r="F42" s="136">
        <v>0</v>
      </c>
      <c r="G42" s="136">
        <v>0</v>
      </c>
      <c r="H42" s="136">
        <v>13323</v>
      </c>
      <c r="I42" s="136">
        <v>0</v>
      </c>
      <c r="J42" s="136">
        <v>2600</v>
      </c>
      <c r="K42" s="136">
        <v>0</v>
      </c>
      <c r="L42" s="136">
        <v>0</v>
      </c>
      <c r="M42" s="136">
        <v>0</v>
      </c>
      <c r="N42" s="136">
        <v>0</v>
      </c>
      <c r="O42" s="136">
        <v>0</v>
      </c>
      <c r="P42" s="136">
        <v>0</v>
      </c>
      <c r="Q42" s="136">
        <v>0</v>
      </c>
      <c r="R42" s="136">
        <v>0</v>
      </c>
      <c r="S42" s="136">
        <v>0</v>
      </c>
      <c r="T42" s="136">
        <v>0</v>
      </c>
      <c r="U42" s="136">
        <v>0</v>
      </c>
      <c r="V42" s="136">
        <v>0</v>
      </c>
      <c r="W42" s="136">
        <v>0</v>
      </c>
      <c r="X42" s="136">
        <v>0</v>
      </c>
      <c r="Y42" s="136">
        <v>0</v>
      </c>
      <c r="Z42" s="136">
        <v>0</v>
      </c>
      <c r="AA42" s="136">
        <v>0</v>
      </c>
      <c r="AB42" s="136">
        <v>0</v>
      </c>
      <c r="AC42" s="136">
        <v>0</v>
      </c>
      <c r="AD42" s="136">
        <v>0</v>
      </c>
      <c r="AE42" s="136">
        <v>0</v>
      </c>
      <c r="AF42" s="136">
        <v>0</v>
      </c>
      <c r="AG42" s="136">
        <v>0</v>
      </c>
      <c r="AH42" s="136">
        <v>0</v>
      </c>
      <c r="AI42" s="136">
        <v>0</v>
      </c>
      <c r="AJ42" s="136">
        <v>0</v>
      </c>
      <c r="AK42" s="136">
        <v>0</v>
      </c>
      <c r="AL42" s="136">
        <v>0</v>
      </c>
      <c r="AM42" s="136">
        <v>0</v>
      </c>
      <c r="AN42" s="136">
        <v>0</v>
      </c>
      <c r="AO42" s="136">
        <v>0</v>
      </c>
      <c r="AP42" s="136">
        <v>0</v>
      </c>
      <c r="AQ42" s="136">
        <v>0</v>
      </c>
      <c r="AR42" s="136">
        <v>0</v>
      </c>
      <c r="AS42" s="136">
        <v>0</v>
      </c>
      <c r="AT42" s="136">
        <v>0</v>
      </c>
      <c r="AU42" s="136">
        <v>0</v>
      </c>
      <c r="AV42" s="136">
        <v>0</v>
      </c>
      <c r="AW42" s="136">
        <v>0</v>
      </c>
      <c r="AX42" s="136">
        <v>1004</v>
      </c>
      <c r="AY42" s="136">
        <v>0</v>
      </c>
      <c r="AZ42" s="136">
        <v>0</v>
      </c>
      <c r="BA42" s="136">
        <v>0</v>
      </c>
      <c r="BB42" s="136">
        <v>0</v>
      </c>
      <c r="BC42" s="136">
        <v>0</v>
      </c>
      <c r="BD42" s="136">
        <v>0</v>
      </c>
      <c r="BE42" s="136">
        <v>0</v>
      </c>
      <c r="BF42" s="136">
        <v>0</v>
      </c>
      <c r="BG42" s="136">
        <v>0</v>
      </c>
      <c r="BH42" s="136">
        <v>0</v>
      </c>
      <c r="BI42" s="136">
        <v>0</v>
      </c>
      <c r="BJ42" s="136">
        <v>5732</v>
      </c>
      <c r="BK42" s="136">
        <v>0</v>
      </c>
      <c r="BL42" s="136">
        <v>0</v>
      </c>
      <c r="BM42" s="136">
        <v>0</v>
      </c>
      <c r="BN42" s="136">
        <v>0</v>
      </c>
      <c r="BO42" s="136">
        <v>0</v>
      </c>
      <c r="BP42" s="136">
        <v>0</v>
      </c>
      <c r="BQ42" s="136">
        <v>0</v>
      </c>
      <c r="BR42" s="136">
        <v>0</v>
      </c>
      <c r="BS42" s="136">
        <v>0</v>
      </c>
      <c r="BT42" s="136">
        <v>0</v>
      </c>
      <c r="BU42" s="136">
        <v>0</v>
      </c>
      <c r="BV42" s="136">
        <v>200</v>
      </c>
      <c r="BW42" s="136">
        <v>0</v>
      </c>
      <c r="BX42" s="136">
        <v>0</v>
      </c>
      <c r="BY42" s="136">
        <v>0</v>
      </c>
      <c r="BZ42" s="136">
        <v>0</v>
      </c>
      <c r="CA42" s="136">
        <v>0</v>
      </c>
      <c r="CB42" s="136">
        <v>2971</v>
      </c>
      <c r="CC42" s="136">
        <v>0</v>
      </c>
      <c r="CD42" s="136">
        <v>0</v>
      </c>
      <c r="CE42" s="136">
        <v>0</v>
      </c>
      <c r="CF42" s="136">
        <v>0</v>
      </c>
      <c r="CG42" s="136">
        <v>0</v>
      </c>
      <c r="CH42" s="136">
        <v>3772</v>
      </c>
      <c r="CI42" s="136">
        <v>0</v>
      </c>
      <c r="CJ42" s="136">
        <v>0</v>
      </c>
      <c r="CK42" s="136">
        <v>0</v>
      </c>
      <c r="CL42" s="136">
        <v>0</v>
      </c>
      <c r="CM42" s="136">
        <v>0</v>
      </c>
      <c r="CN42" s="136">
        <v>1325</v>
      </c>
      <c r="CO42" s="136">
        <v>0</v>
      </c>
      <c r="CP42" s="136">
        <v>0</v>
      </c>
      <c r="CQ42" s="136">
        <v>0</v>
      </c>
      <c r="CR42" s="136">
        <v>0</v>
      </c>
      <c r="CS42" s="136">
        <v>0</v>
      </c>
      <c r="CT42" s="136">
        <v>919</v>
      </c>
      <c r="CU42" s="136">
        <v>0</v>
      </c>
      <c r="CV42" s="136">
        <v>0</v>
      </c>
      <c r="CW42" s="136">
        <v>0</v>
      </c>
      <c r="CX42" s="136">
        <v>0</v>
      </c>
      <c r="CY42" s="136">
        <v>0</v>
      </c>
      <c r="CZ42" s="136">
        <v>0</v>
      </c>
      <c r="DA42" s="136"/>
      <c r="DB42" s="136"/>
      <c r="DC42" s="136"/>
      <c r="DD42" s="136"/>
      <c r="DE42" s="136"/>
      <c r="DF42" s="136"/>
      <c r="DG42" s="136">
        <v>0</v>
      </c>
      <c r="DH42" s="136">
        <v>0</v>
      </c>
      <c r="DI42" s="136">
        <v>0</v>
      </c>
      <c r="DJ42" s="136">
        <v>0</v>
      </c>
      <c r="DK42" s="136">
        <v>0</v>
      </c>
      <c r="DL42" s="136">
        <v>0</v>
      </c>
      <c r="DM42" s="136">
        <v>0</v>
      </c>
      <c r="DN42" s="136">
        <v>0</v>
      </c>
      <c r="DO42" s="136">
        <v>0</v>
      </c>
      <c r="DP42" s="136">
        <v>0</v>
      </c>
      <c r="DQ42" s="136">
        <v>0</v>
      </c>
      <c r="DR42" s="136">
        <v>0</v>
      </c>
      <c r="DS42" s="136"/>
      <c r="DT42" s="136"/>
      <c r="DU42" s="136"/>
      <c r="DV42" s="136"/>
      <c r="DW42" s="136"/>
      <c r="DX42" s="136"/>
      <c r="DY42" s="136">
        <v>0</v>
      </c>
      <c r="DZ42" s="136">
        <v>0</v>
      </c>
      <c r="EA42" s="136">
        <v>0</v>
      </c>
      <c r="EB42" s="136">
        <v>0</v>
      </c>
      <c r="EC42" s="136">
        <v>0</v>
      </c>
      <c r="ED42" s="136">
        <v>0</v>
      </c>
      <c r="EE42" s="136">
        <v>0</v>
      </c>
      <c r="EF42" s="136">
        <v>0</v>
      </c>
      <c r="EG42" s="136">
        <v>0</v>
      </c>
      <c r="EH42" s="136">
        <v>0</v>
      </c>
      <c r="EI42" s="136">
        <v>0</v>
      </c>
      <c r="EJ42" s="136">
        <v>0</v>
      </c>
      <c r="EK42" s="136"/>
      <c r="EL42" s="136"/>
      <c r="EM42" s="136"/>
      <c r="EN42" s="136"/>
      <c r="EO42" s="136"/>
      <c r="EP42" s="136"/>
      <c r="EQ42" s="136">
        <v>0</v>
      </c>
      <c r="ER42" s="136">
        <v>0</v>
      </c>
      <c r="ES42" s="136">
        <v>0</v>
      </c>
      <c r="ET42" s="136">
        <v>0</v>
      </c>
      <c r="EU42" s="136">
        <v>0</v>
      </c>
      <c r="EV42" s="136">
        <v>0</v>
      </c>
      <c r="EW42" s="136"/>
      <c r="EX42" s="136"/>
      <c r="EY42" s="136"/>
      <c r="EZ42" s="136"/>
      <c r="FA42" s="136"/>
      <c r="FB42" s="136"/>
      <c r="FC42" s="136">
        <v>0</v>
      </c>
      <c r="FD42" s="136">
        <v>0</v>
      </c>
      <c r="FE42" s="136">
        <v>0</v>
      </c>
      <c r="FF42" s="136">
        <v>0</v>
      </c>
      <c r="FG42" s="136">
        <v>0</v>
      </c>
      <c r="FH42" s="136">
        <v>0</v>
      </c>
      <c r="FI42" s="136"/>
      <c r="FJ42" s="136"/>
      <c r="FK42" s="136"/>
      <c r="FL42" s="136"/>
      <c r="FM42" s="136"/>
      <c r="FN42" s="136"/>
      <c r="FO42" s="136">
        <v>0</v>
      </c>
      <c r="FP42" s="136">
        <v>0</v>
      </c>
      <c r="FQ42" s="136">
        <v>0</v>
      </c>
      <c r="FR42" s="136">
        <v>0</v>
      </c>
      <c r="FS42" s="136">
        <v>0</v>
      </c>
      <c r="FT42" s="136">
        <v>0</v>
      </c>
      <c r="FU42" s="136">
        <v>0</v>
      </c>
      <c r="FV42" s="136">
        <v>0</v>
      </c>
      <c r="FW42" s="136">
        <v>0</v>
      </c>
      <c r="FX42" s="136">
        <v>0</v>
      </c>
      <c r="FY42" s="136">
        <v>0</v>
      </c>
      <c r="FZ42" s="136">
        <v>0</v>
      </c>
      <c r="GA42" s="136">
        <v>0</v>
      </c>
      <c r="GB42" s="136">
        <v>0</v>
      </c>
      <c r="GC42" s="136">
        <v>0</v>
      </c>
      <c r="GD42" s="136">
        <v>0</v>
      </c>
      <c r="GE42" s="136">
        <v>0</v>
      </c>
      <c r="GF42" s="136">
        <v>0</v>
      </c>
      <c r="GG42" s="136">
        <v>0</v>
      </c>
      <c r="GH42" s="136">
        <v>0</v>
      </c>
      <c r="GI42" s="136">
        <v>0</v>
      </c>
      <c r="GJ42" s="136">
        <v>0</v>
      </c>
      <c r="GK42" s="136">
        <v>0</v>
      </c>
      <c r="GL42" s="136">
        <v>0</v>
      </c>
      <c r="GM42" s="136">
        <v>0</v>
      </c>
      <c r="GN42" s="136">
        <v>0</v>
      </c>
      <c r="GO42" s="136">
        <v>0</v>
      </c>
      <c r="GP42" s="136">
        <v>0</v>
      </c>
      <c r="GQ42" s="136">
        <v>0</v>
      </c>
      <c r="GR42" s="136">
        <v>0</v>
      </c>
      <c r="GS42" s="136">
        <v>30810109</v>
      </c>
      <c r="GT42" s="136">
        <v>15923</v>
      </c>
      <c r="GU42" s="136">
        <v>46526630</v>
      </c>
      <c r="GV42" s="35" t="s">
        <v>340</v>
      </c>
      <c r="GW42" s="137">
        <v>9794586077</v>
      </c>
      <c r="GX42" s="35" t="s">
        <v>341</v>
      </c>
      <c r="GY42" s="136">
        <v>13323</v>
      </c>
      <c r="GZ42" s="136">
        <v>-7591</v>
      </c>
      <c r="HA42" s="136">
        <v>0</v>
      </c>
      <c r="HB42" s="136">
        <v>0</v>
      </c>
      <c r="HC42" s="136">
        <v>0</v>
      </c>
      <c r="HD42" s="136">
        <v>0</v>
      </c>
      <c r="HE42" s="136">
        <v>0</v>
      </c>
      <c r="HF42" s="136">
        <v>0</v>
      </c>
      <c r="HG42" s="136">
        <v>0</v>
      </c>
      <c r="HH42" s="136">
        <v>0</v>
      </c>
      <c r="HI42" s="35" t="s">
        <v>439</v>
      </c>
      <c r="HJ42" s="35" t="s">
        <v>439</v>
      </c>
      <c r="HK42" s="35" t="s">
        <v>439</v>
      </c>
      <c r="HL42"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42"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42"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42"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42"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42"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15923</v>
      </c>
      <c r="HR42"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5732</v>
      </c>
    </row>
    <row r="43" spans="1:226">
      <c r="A43" s="35" t="s">
        <v>28</v>
      </c>
      <c r="B43" s="37" t="s">
        <v>19</v>
      </c>
      <c r="C43" s="37">
        <v>140</v>
      </c>
      <c r="D43" s="37" t="s">
        <v>835</v>
      </c>
      <c r="E43" s="103">
        <v>10298</v>
      </c>
      <c r="F43" s="136">
        <v>1085737</v>
      </c>
      <c r="G43" s="136">
        <v>0</v>
      </c>
      <c r="H43" s="136">
        <v>12455286</v>
      </c>
      <c r="I43" s="136">
        <v>1722702</v>
      </c>
      <c r="J43" s="136">
        <v>587734</v>
      </c>
      <c r="K43" s="136">
        <v>0</v>
      </c>
      <c r="L43" s="136">
        <v>0</v>
      </c>
      <c r="M43" s="136">
        <v>1305132</v>
      </c>
      <c r="N43" s="136">
        <v>2215067</v>
      </c>
      <c r="O43" s="136">
        <v>0</v>
      </c>
      <c r="P43" s="136">
        <v>0</v>
      </c>
      <c r="Q43" s="136">
        <v>0</v>
      </c>
      <c r="R43" s="136">
        <v>0</v>
      </c>
      <c r="S43" s="136">
        <v>0</v>
      </c>
      <c r="T43" s="136">
        <v>0</v>
      </c>
      <c r="U43" s="136">
        <v>694855</v>
      </c>
      <c r="V43" s="136">
        <v>1279</v>
      </c>
      <c r="W43" s="136">
        <v>304515</v>
      </c>
      <c r="X43" s="136">
        <v>1693</v>
      </c>
      <c r="Y43" s="136">
        <v>0</v>
      </c>
      <c r="Z43" s="136">
        <v>197970</v>
      </c>
      <c r="AA43" s="136">
        <v>0</v>
      </c>
      <c r="AB43" s="136">
        <v>0</v>
      </c>
      <c r="AC43" s="136">
        <v>3063496</v>
      </c>
      <c r="AD43" s="136">
        <v>0</v>
      </c>
      <c r="AE43" s="136">
        <v>0</v>
      </c>
      <c r="AF43" s="136">
        <v>0</v>
      </c>
      <c r="AG43" s="136">
        <v>81122</v>
      </c>
      <c r="AH43" s="136">
        <v>29025</v>
      </c>
      <c r="AI43" s="136">
        <v>444878</v>
      </c>
      <c r="AJ43" s="136">
        <v>14949</v>
      </c>
      <c r="AK43" s="136">
        <v>21141</v>
      </c>
      <c r="AL43" s="136">
        <v>246250</v>
      </c>
      <c r="AM43" s="136">
        <v>1895552</v>
      </c>
      <c r="AN43" s="136">
        <v>957907</v>
      </c>
      <c r="AO43" s="136">
        <v>1809992</v>
      </c>
      <c r="AP43" s="136">
        <v>2311304</v>
      </c>
      <c r="AQ43" s="136">
        <v>140707</v>
      </c>
      <c r="AR43" s="136">
        <v>346358</v>
      </c>
      <c r="AS43" s="136">
        <v>0</v>
      </c>
      <c r="AT43" s="136">
        <v>0</v>
      </c>
      <c r="AU43" s="136">
        <v>0</v>
      </c>
      <c r="AV43" s="136">
        <v>0</v>
      </c>
      <c r="AW43" s="136">
        <v>0</v>
      </c>
      <c r="AX43" s="136">
        <v>0</v>
      </c>
      <c r="AY43" s="136">
        <v>0</v>
      </c>
      <c r="AZ43" s="136">
        <v>0</v>
      </c>
      <c r="BA43" s="136">
        <v>-330</v>
      </c>
      <c r="BB43" s="136">
        <v>0</v>
      </c>
      <c r="BC43" s="136">
        <v>0</v>
      </c>
      <c r="BD43" s="136">
        <v>0</v>
      </c>
      <c r="BE43" s="136">
        <v>42921</v>
      </c>
      <c r="BF43" s="136">
        <v>0</v>
      </c>
      <c r="BG43" s="136">
        <v>0</v>
      </c>
      <c r="BH43" s="136">
        <v>0</v>
      </c>
      <c r="BI43" s="136">
        <v>0</v>
      </c>
      <c r="BJ43" s="136">
        <v>0</v>
      </c>
      <c r="BK43" s="136">
        <v>0</v>
      </c>
      <c r="BL43" s="136">
        <v>0</v>
      </c>
      <c r="BM43" s="136">
        <v>0</v>
      </c>
      <c r="BN43" s="136">
        <v>0</v>
      </c>
      <c r="BO43" s="136">
        <v>0</v>
      </c>
      <c r="BP43" s="136">
        <v>0</v>
      </c>
      <c r="BQ43" s="136">
        <v>333193</v>
      </c>
      <c r="BR43" s="136">
        <v>28629</v>
      </c>
      <c r="BS43" s="136">
        <v>1194186</v>
      </c>
      <c r="BT43" s="136">
        <v>8547</v>
      </c>
      <c r="BU43" s="136">
        <v>0</v>
      </c>
      <c r="BV43" s="136">
        <v>0</v>
      </c>
      <c r="BW43" s="136">
        <v>0</v>
      </c>
      <c r="BX43" s="136">
        <v>0</v>
      </c>
      <c r="BY43" s="136">
        <v>526340</v>
      </c>
      <c r="BZ43" s="136">
        <v>4003</v>
      </c>
      <c r="CA43" s="136">
        <v>15240</v>
      </c>
      <c r="CB43" s="136">
        <v>0</v>
      </c>
      <c r="CC43" s="136">
        <v>0</v>
      </c>
      <c r="CD43" s="136">
        <v>0</v>
      </c>
      <c r="CE43" s="136">
        <v>0</v>
      </c>
      <c r="CF43" s="136">
        <v>0</v>
      </c>
      <c r="CG43" s="136">
        <v>0</v>
      </c>
      <c r="CH43" s="136">
        <v>0</v>
      </c>
      <c r="CI43" s="136">
        <v>0</v>
      </c>
      <c r="CJ43" s="136">
        <v>0</v>
      </c>
      <c r="CK43" s="136">
        <v>0</v>
      </c>
      <c r="CL43" s="136">
        <v>0</v>
      </c>
      <c r="CM43" s="136">
        <v>0</v>
      </c>
      <c r="CN43" s="136">
        <v>0</v>
      </c>
      <c r="CO43" s="136">
        <v>0</v>
      </c>
      <c r="CP43" s="136">
        <v>0</v>
      </c>
      <c r="CQ43" s="136">
        <v>50000</v>
      </c>
      <c r="CR43" s="136">
        <v>0</v>
      </c>
      <c r="CS43" s="136">
        <v>0</v>
      </c>
      <c r="CT43" s="136">
        <v>0</v>
      </c>
      <c r="CU43" s="136">
        <v>0</v>
      </c>
      <c r="CV43" s="136">
        <v>0</v>
      </c>
      <c r="CW43" s="136">
        <v>0</v>
      </c>
      <c r="CX43" s="136">
        <v>0</v>
      </c>
      <c r="CY43" s="136">
        <v>0</v>
      </c>
      <c r="CZ43" s="136">
        <v>0</v>
      </c>
      <c r="DA43" s="136"/>
      <c r="DB43" s="136"/>
      <c r="DC43" s="136"/>
      <c r="DD43" s="136"/>
      <c r="DE43" s="136"/>
      <c r="DF43" s="136"/>
      <c r="DG43" s="136">
        <v>0</v>
      </c>
      <c r="DH43" s="136">
        <v>0</v>
      </c>
      <c r="DI43" s="136">
        <v>0</v>
      </c>
      <c r="DJ43" s="136">
        <v>0</v>
      </c>
      <c r="DK43" s="136">
        <v>0</v>
      </c>
      <c r="DL43" s="136">
        <v>0</v>
      </c>
      <c r="DM43" s="136">
        <v>0</v>
      </c>
      <c r="DN43" s="136">
        <v>0</v>
      </c>
      <c r="DO43" s="136">
        <v>0</v>
      </c>
      <c r="DP43" s="136">
        <v>0</v>
      </c>
      <c r="DQ43" s="136">
        <v>0</v>
      </c>
      <c r="DR43" s="136">
        <v>0</v>
      </c>
      <c r="DS43" s="136"/>
      <c r="DT43" s="136"/>
      <c r="DU43" s="136"/>
      <c r="DV43" s="136"/>
      <c r="DW43" s="136"/>
      <c r="DX43" s="136"/>
      <c r="DY43" s="136">
        <v>0</v>
      </c>
      <c r="DZ43" s="136">
        <v>0</v>
      </c>
      <c r="EA43" s="136">
        <v>0</v>
      </c>
      <c r="EB43" s="136">
        <v>0</v>
      </c>
      <c r="EC43" s="136">
        <v>0</v>
      </c>
      <c r="ED43" s="136">
        <v>0</v>
      </c>
      <c r="EE43" s="136">
        <v>0</v>
      </c>
      <c r="EF43" s="136">
        <v>0</v>
      </c>
      <c r="EG43" s="136">
        <v>0</v>
      </c>
      <c r="EH43" s="136">
        <v>0</v>
      </c>
      <c r="EI43" s="136">
        <v>0</v>
      </c>
      <c r="EJ43" s="136">
        <v>0</v>
      </c>
      <c r="EK43" s="136"/>
      <c r="EL43" s="136"/>
      <c r="EM43" s="136"/>
      <c r="EN43" s="136"/>
      <c r="EO43" s="136"/>
      <c r="EP43" s="136"/>
      <c r="EQ43" s="136">
        <v>0</v>
      </c>
      <c r="ER43" s="136">
        <v>0</v>
      </c>
      <c r="ES43" s="136">
        <v>0</v>
      </c>
      <c r="ET43" s="136">
        <v>0</v>
      </c>
      <c r="EU43" s="136">
        <v>0</v>
      </c>
      <c r="EV43" s="136">
        <v>0</v>
      </c>
      <c r="EW43" s="136"/>
      <c r="EX43" s="136"/>
      <c r="EY43" s="136"/>
      <c r="EZ43" s="136"/>
      <c r="FA43" s="136"/>
      <c r="FB43" s="136"/>
      <c r="FC43" s="136">
        <v>0</v>
      </c>
      <c r="FD43" s="136">
        <v>0</v>
      </c>
      <c r="FE43" s="136">
        <v>0</v>
      </c>
      <c r="FF43" s="136">
        <v>0</v>
      </c>
      <c r="FG43" s="136">
        <v>0</v>
      </c>
      <c r="FH43" s="136">
        <v>0</v>
      </c>
      <c r="FI43" s="136"/>
      <c r="FJ43" s="136"/>
      <c r="FK43" s="136"/>
      <c r="FL43" s="136"/>
      <c r="FM43" s="136"/>
      <c r="FN43" s="136"/>
      <c r="FO43" s="136">
        <v>0</v>
      </c>
      <c r="FP43" s="136">
        <v>0</v>
      </c>
      <c r="FQ43" s="136">
        <v>0</v>
      </c>
      <c r="FR43" s="136">
        <v>0</v>
      </c>
      <c r="FS43" s="136">
        <v>0</v>
      </c>
      <c r="FT43" s="136">
        <v>0</v>
      </c>
      <c r="FU43" s="136">
        <v>0</v>
      </c>
      <c r="FV43" s="136">
        <v>0</v>
      </c>
      <c r="FW43" s="136">
        <v>0</v>
      </c>
      <c r="FX43" s="136">
        <v>0</v>
      </c>
      <c r="FY43" s="136">
        <v>0</v>
      </c>
      <c r="FZ43" s="136">
        <v>0</v>
      </c>
      <c r="GA43" s="136">
        <v>0</v>
      </c>
      <c r="GB43" s="136">
        <v>0</v>
      </c>
      <c r="GC43" s="136">
        <v>0</v>
      </c>
      <c r="GD43" s="136">
        <v>0</v>
      </c>
      <c r="GE43" s="136">
        <v>0</v>
      </c>
      <c r="GF43" s="136">
        <v>0</v>
      </c>
      <c r="GG43" s="136">
        <v>0</v>
      </c>
      <c r="GH43" s="136">
        <v>0</v>
      </c>
      <c r="GI43" s="136">
        <v>0</v>
      </c>
      <c r="GJ43" s="136">
        <v>0</v>
      </c>
      <c r="GK43" s="136">
        <v>0</v>
      </c>
      <c r="GL43" s="136">
        <v>0</v>
      </c>
      <c r="GM43" s="136">
        <v>0</v>
      </c>
      <c r="GN43" s="136">
        <v>0</v>
      </c>
      <c r="GO43" s="136">
        <v>0</v>
      </c>
      <c r="GP43" s="136">
        <v>0</v>
      </c>
      <c r="GQ43" s="136">
        <v>0</v>
      </c>
      <c r="GR43" s="136">
        <v>0</v>
      </c>
      <c r="GS43" s="136">
        <v>26069449</v>
      </c>
      <c r="GT43" s="136">
        <v>13836753</v>
      </c>
      <c r="GU43" s="136">
        <v>67063336</v>
      </c>
      <c r="GV43" s="35" t="s">
        <v>340</v>
      </c>
      <c r="GW43" s="137">
        <v>9794586077</v>
      </c>
      <c r="GX43" s="35" t="s">
        <v>341</v>
      </c>
      <c r="GY43" s="136">
        <v>13541023</v>
      </c>
      <c r="GZ43" s="136">
        <v>-3623638</v>
      </c>
      <c r="HA43" s="136">
        <v>0</v>
      </c>
      <c r="HB43" s="136">
        <v>-1043995</v>
      </c>
      <c r="HC43" s="136">
        <v>0</v>
      </c>
      <c r="HD43" s="136">
        <v>0</v>
      </c>
      <c r="HE43" s="136">
        <v>0</v>
      </c>
      <c r="HF43" s="136">
        <v>0</v>
      </c>
      <c r="HG43" s="136">
        <v>0</v>
      </c>
      <c r="HH43" s="136">
        <v>0</v>
      </c>
      <c r="HI43" s="35" t="s">
        <v>439</v>
      </c>
      <c r="HJ43" s="35" t="s">
        <v>439</v>
      </c>
      <c r="HK43" s="35" t="s">
        <v>439</v>
      </c>
      <c r="HL43"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3047643</v>
      </c>
      <c r="HM43"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1016840</v>
      </c>
      <c r="HN43"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7393077</v>
      </c>
      <c r="HO43"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2340496</v>
      </c>
      <c r="HP43"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177088</v>
      </c>
      <c r="HQ43"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790578</v>
      </c>
      <c r="HR43"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8873390</v>
      </c>
    </row>
    <row r="44" spans="1:226">
      <c r="A44" s="35" t="s">
        <v>391</v>
      </c>
      <c r="B44" s="37" t="s">
        <v>384</v>
      </c>
      <c r="C44" s="37">
        <v>450</v>
      </c>
      <c r="D44" s="37" t="s">
        <v>835</v>
      </c>
      <c r="E44" s="103">
        <v>89</v>
      </c>
      <c r="F44" s="136">
        <v>7662417</v>
      </c>
      <c r="G44" s="136">
        <v>6158348</v>
      </c>
      <c r="H44" s="136">
        <v>93814594</v>
      </c>
      <c r="I44" s="136">
        <v>16712057</v>
      </c>
      <c r="J44" s="136">
        <v>3496165</v>
      </c>
      <c r="K44" s="136">
        <v>48549346</v>
      </c>
      <c r="L44" s="136">
        <v>10131213</v>
      </c>
      <c r="M44" s="136">
        <v>24626994</v>
      </c>
      <c r="N44" s="136">
        <v>6372816</v>
      </c>
      <c r="O44" s="136">
        <v>0</v>
      </c>
      <c r="P44" s="136">
        <v>0</v>
      </c>
      <c r="Q44" s="136">
        <v>0</v>
      </c>
      <c r="R44" s="136">
        <v>8458</v>
      </c>
      <c r="S44" s="136">
        <v>0</v>
      </c>
      <c r="T44" s="136">
        <v>1189</v>
      </c>
      <c r="U44" s="136">
        <v>21411437</v>
      </c>
      <c r="V44" s="136">
        <v>2697378</v>
      </c>
      <c r="W44" s="136">
        <v>3547674</v>
      </c>
      <c r="X44" s="136">
        <v>4420781</v>
      </c>
      <c r="Y44" s="136">
        <v>600906</v>
      </c>
      <c r="Z44" s="136">
        <v>2177288</v>
      </c>
      <c r="AA44" s="136">
        <v>3547</v>
      </c>
      <c r="AB44" s="136">
        <v>0</v>
      </c>
      <c r="AC44" s="136">
        <v>0</v>
      </c>
      <c r="AD44" s="136">
        <v>0</v>
      </c>
      <c r="AE44" s="136">
        <v>0</v>
      </c>
      <c r="AF44" s="136">
        <v>0</v>
      </c>
      <c r="AG44" s="136">
        <v>2719167</v>
      </c>
      <c r="AH44" s="136">
        <v>23197</v>
      </c>
      <c r="AI44" s="136">
        <v>1156380</v>
      </c>
      <c r="AJ44" s="136">
        <v>1292220</v>
      </c>
      <c r="AK44" s="136">
        <v>112098</v>
      </c>
      <c r="AL44" s="136">
        <v>66795</v>
      </c>
      <c r="AM44" s="136">
        <v>390781</v>
      </c>
      <c r="AN44" s="136">
        <v>42478</v>
      </c>
      <c r="AO44" s="136">
        <v>0</v>
      </c>
      <c r="AP44" s="136">
        <v>-369</v>
      </c>
      <c r="AQ44" s="136">
        <v>0</v>
      </c>
      <c r="AR44" s="136">
        <v>180376</v>
      </c>
      <c r="AS44" s="136">
        <v>0</v>
      </c>
      <c r="AT44" s="136">
        <v>0</v>
      </c>
      <c r="AU44" s="136">
        <v>0</v>
      </c>
      <c r="AV44" s="136">
        <v>5049</v>
      </c>
      <c r="AW44" s="136">
        <v>0</v>
      </c>
      <c r="AX44" s="136">
        <v>0</v>
      </c>
      <c r="AY44" s="136">
        <v>37926282</v>
      </c>
      <c r="AZ44" s="136">
        <v>18040194</v>
      </c>
      <c r="BA44" s="136">
        <v>2914762</v>
      </c>
      <c r="BB44" s="136">
        <v>18328140</v>
      </c>
      <c r="BC44" s="136">
        <v>35658639</v>
      </c>
      <c r="BD44" s="136">
        <v>10370602</v>
      </c>
      <c r="BE44" s="136">
        <v>342564</v>
      </c>
      <c r="BF44" s="136">
        <v>0</v>
      </c>
      <c r="BG44" s="136">
        <v>0</v>
      </c>
      <c r="BH44" s="136">
        <v>0</v>
      </c>
      <c r="BI44" s="136">
        <v>85994</v>
      </c>
      <c r="BJ44" s="136">
        <v>0</v>
      </c>
      <c r="BK44" s="136">
        <v>1026073</v>
      </c>
      <c r="BL44" s="136">
        <v>33718</v>
      </c>
      <c r="BM44" s="136">
        <v>233854</v>
      </c>
      <c r="BN44" s="136">
        <v>335528</v>
      </c>
      <c r="BO44" s="136">
        <v>0</v>
      </c>
      <c r="BP44" s="136">
        <v>0</v>
      </c>
      <c r="BQ44" s="136">
        <v>1885096</v>
      </c>
      <c r="BR44" s="136">
        <v>18714</v>
      </c>
      <c r="BS44" s="136">
        <v>454558</v>
      </c>
      <c r="BT44" s="136">
        <v>83914</v>
      </c>
      <c r="BU44" s="136">
        <v>22154</v>
      </c>
      <c r="BV44" s="136">
        <v>725913</v>
      </c>
      <c r="BW44" s="136">
        <v>1151741</v>
      </c>
      <c r="BX44" s="136">
        <v>22990</v>
      </c>
      <c r="BY44" s="136">
        <v>1039298</v>
      </c>
      <c r="BZ44" s="136">
        <v>8000</v>
      </c>
      <c r="CA44" s="136">
        <v>0</v>
      </c>
      <c r="CB44" s="136">
        <v>554804</v>
      </c>
      <c r="CC44" s="136">
        <v>0</v>
      </c>
      <c r="CD44" s="136">
        <v>0</v>
      </c>
      <c r="CE44" s="136">
        <v>0</v>
      </c>
      <c r="CF44" s="136">
        <v>0</v>
      </c>
      <c r="CG44" s="136">
        <v>0</v>
      </c>
      <c r="CH44" s="136">
        <v>0</v>
      </c>
      <c r="CI44" s="136">
        <v>0</v>
      </c>
      <c r="CJ44" s="136">
        <v>0</v>
      </c>
      <c r="CK44" s="136">
        <v>0</v>
      </c>
      <c r="CL44" s="136">
        <v>0</v>
      </c>
      <c r="CM44" s="136">
        <v>0</v>
      </c>
      <c r="CN44" s="136">
        <v>0</v>
      </c>
      <c r="CO44" s="136">
        <v>549181</v>
      </c>
      <c r="CP44" s="136">
        <v>24342</v>
      </c>
      <c r="CQ44" s="136">
        <v>0</v>
      </c>
      <c r="CR44" s="136">
        <v>0</v>
      </c>
      <c r="CS44" s="136">
        <v>0</v>
      </c>
      <c r="CT44" s="136">
        <v>0</v>
      </c>
      <c r="CU44" s="136">
        <v>9490</v>
      </c>
      <c r="CV44" s="136">
        <v>0</v>
      </c>
      <c r="CW44" s="136">
        <v>0</v>
      </c>
      <c r="CX44" s="136">
        <v>0</v>
      </c>
      <c r="CY44" s="136">
        <v>0</v>
      </c>
      <c r="CZ44" s="136">
        <v>0</v>
      </c>
      <c r="DA44" s="136"/>
      <c r="DB44" s="136"/>
      <c r="DC44" s="136"/>
      <c r="DD44" s="136"/>
      <c r="DE44" s="136"/>
      <c r="DF44" s="136"/>
      <c r="DG44" s="136">
        <v>0</v>
      </c>
      <c r="DH44" s="136">
        <v>0</v>
      </c>
      <c r="DI44" s="136">
        <v>0</v>
      </c>
      <c r="DJ44" s="136">
        <v>0</v>
      </c>
      <c r="DK44" s="136">
        <v>0</v>
      </c>
      <c r="DL44" s="136">
        <v>0</v>
      </c>
      <c r="DM44" s="136"/>
      <c r="DN44" s="136"/>
      <c r="DO44" s="136"/>
      <c r="DP44" s="136"/>
      <c r="DQ44" s="136"/>
      <c r="DR44" s="136"/>
      <c r="DS44" s="136">
        <v>2745739</v>
      </c>
      <c r="DT44" s="136">
        <v>53684</v>
      </c>
      <c r="DU44" s="136">
        <v>141125</v>
      </c>
      <c r="DV44" s="136">
        <v>0</v>
      </c>
      <c r="DW44" s="136">
        <v>0</v>
      </c>
      <c r="DX44" s="136">
        <v>44421</v>
      </c>
      <c r="DY44" s="136"/>
      <c r="DZ44" s="136"/>
      <c r="EA44" s="136"/>
      <c r="EB44" s="136"/>
      <c r="EC44" s="136"/>
      <c r="ED44" s="136"/>
      <c r="EE44" s="136">
        <v>1489290</v>
      </c>
      <c r="EF44" s="136">
        <v>7346</v>
      </c>
      <c r="EG44" s="136">
        <v>1781206</v>
      </c>
      <c r="EH44" s="136">
        <v>0</v>
      </c>
      <c r="EI44" s="136">
        <v>0</v>
      </c>
      <c r="EJ44" s="136">
        <v>148579</v>
      </c>
      <c r="EK44" s="136">
        <v>4289315</v>
      </c>
      <c r="EL44" s="136">
        <v>48127</v>
      </c>
      <c r="EM44" s="136">
        <v>-2593</v>
      </c>
      <c r="EN44" s="136">
        <v>0</v>
      </c>
      <c r="EO44" s="136">
        <v>0</v>
      </c>
      <c r="EP44" s="136">
        <v>138012</v>
      </c>
      <c r="EQ44" s="136"/>
      <c r="ER44" s="136"/>
      <c r="ES44" s="136"/>
      <c r="ET44" s="136"/>
      <c r="EU44" s="136"/>
      <c r="EV44" s="136"/>
      <c r="EW44" s="136">
        <v>1383492</v>
      </c>
      <c r="EX44" s="136">
        <v>53562</v>
      </c>
      <c r="EY44" s="136">
        <v>62988</v>
      </c>
      <c r="EZ44" s="136">
        <v>0</v>
      </c>
      <c r="FA44" s="136">
        <v>-1739</v>
      </c>
      <c r="FB44" s="136">
        <v>133461</v>
      </c>
      <c r="FC44" s="136"/>
      <c r="FD44" s="136"/>
      <c r="FE44" s="136"/>
      <c r="FF44" s="136"/>
      <c r="FG44" s="136"/>
      <c r="FH44" s="136"/>
      <c r="FI44" s="136">
        <v>1417541</v>
      </c>
      <c r="FJ44" s="136">
        <v>52099</v>
      </c>
      <c r="FK44" s="136">
        <v>1153745</v>
      </c>
      <c r="FL44" s="136">
        <v>167</v>
      </c>
      <c r="FM44" s="136">
        <v>459160</v>
      </c>
      <c r="FN44" s="136">
        <v>0</v>
      </c>
      <c r="FO44" s="136"/>
      <c r="FP44" s="136"/>
      <c r="FQ44" s="136"/>
      <c r="FR44" s="136"/>
      <c r="FS44" s="136"/>
      <c r="FT44" s="136"/>
      <c r="FU44" s="136"/>
      <c r="FV44" s="136"/>
      <c r="FW44" s="136"/>
      <c r="FX44" s="136"/>
      <c r="FY44" s="136"/>
      <c r="FZ44" s="136"/>
      <c r="GA44" s="136"/>
      <c r="GB44" s="136"/>
      <c r="GC44" s="136"/>
      <c r="GD44" s="136"/>
      <c r="GE44" s="136"/>
      <c r="GF44" s="136"/>
      <c r="GG44" s="136">
        <v>588368</v>
      </c>
      <c r="GH44" s="136">
        <v>39391</v>
      </c>
      <c r="GI44" s="136">
        <v>0</v>
      </c>
      <c r="GJ44" s="136">
        <v>0</v>
      </c>
      <c r="GK44" s="136">
        <v>0</v>
      </c>
      <c r="GL44" s="136">
        <v>0</v>
      </c>
      <c r="GM44" s="136">
        <v>0</v>
      </c>
      <c r="GN44" s="136">
        <v>0</v>
      </c>
      <c r="GO44" s="136">
        <v>0</v>
      </c>
      <c r="GP44" s="136">
        <v>0</v>
      </c>
      <c r="GQ44" s="136">
        <v>0</v>
      </c>
      <c r="GR44" s="136">
        <v>0</v>
      </c>
      <c r="GS44" s="136">
        <v>200444657</v>
      </c>
      <c r="GT44" s="136">
        <v>98927584</v>
      </c>
      <c r="GU44" s="136">
        <v>375262440</v>
      </c>
      <c r="GW44" s="137"/>
      <c r="GY44" s="136">
        <v>101477011</v>
      </c>
      <c r="GZ44" s="136" t="s">
        <v>439</v>
      </c>
      <c r="HA44" s="136" t="s">
        <v>439</v>
      </c>
      <c r="HB44" s="136" t="s">
        <v>439</v>
      </c>
      <c r="HC44" s="136" t="s">
        <v>439</v>
      </c>
      <c r="HD44" s="136" t="s">
        <v>439</v>
      </c>
      <c r="HE44" s="136" t="s">
        <v>439</v>
      </c>
      <c r="HF44" s="136" t="s">
        <v>439</v>
      </c>
      <c r="HG44" s="136" t="s">
        <v>439</v>
      </c>
      <c r="HH44" s="136" t="s">
        <v>439</v>
      </c>
      <c r="HI44" s="35" t="s">
        <v>439</v>
      </c>
      <c r="HJ44" s="35" t="s">
        <v>439</v>
      </c>
      <c r="HK44" s="35" t="s">
        <v>439</v>
      </c>
      <c r="HL44"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67415359</v>
      </c>
      <c r="HM44"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20903011</v>
      </c>
      <c r="HN44"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9346526</v>
      </c>
      <c r="HO44"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24481721</v>
      </c>
      <c r="HP44"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36479791</v>
      </c>
      <c r="HQ44"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14076967</v>
      </c>
      <c r="HR44"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101477011</v>
      </c>
    </row>
    <row r="45" spans="1:226">
      <c r="A45" s="35" t="s">
        <v>59</v>
      </c>
      <c r="B45" s="37" t="s">
        <v>840</v>
      </c>
      <c r="C45" s="37">
        <v>630</v>
      </c>
      <c r="D45" s="37" t="s">
        <v>835</v>
      </c>
      <c r="E45" s="103">
        <v>557</v>
      </c>
      <c r="F45" s="136">
        <v>0</v>
      </c>
      <c r="G45" s="136">
        <v>0</v>
      </c>
      <c r="H45" s="136">
        <v>542396</v>
      </c>
      <c r="I45" s="136">
        <v>85349</v>
      </c>
      <c r="J45" s="136">
        <v>384820</v>
      </c>
      <c r="K45" s="136">
        <v>0</v>
      </c>
      <c r="L45" s="136">
        <v>0</v>
      </c>
      <c r="M45" s="136">
        <v>36553</v>
      </c>
      <c r="N45" s="136">
        <v>76279</v>
      </c>
      <c r="O45" s="136">
        <v>803174</v>
      </c>
      <c r="P45" s="136">
        <v>0</v>
      </c>
      <c r="Q45" s="136">
        <v>0</v>
      </c>
      <c r="R45" s="136">
        <v>0</v>
      </c>
      <c r="S45" s="136">
        <v>0</v>
      </c>
      <c r="T45" s="136">
        <v>0</v>
      </c>
      <c r="U45" s="136">
        <v>209391</v>
      </c>
      <c r="V45" s="136">
        <v>0</v>
      </c>
      <c r="W45" s="136">
        <v>0</v>
      </c>
      <c r="X45" s="136">
        <v>0</v>
      </c>
      <c r="Y45" s="136">
        <v>0</v>
      </c>
      <c r="Z45" s="136">
        <v>0</v>
      </c>
      <c r="AA45" s="136">
        <v>0</v>
      </c>
      <c r="AB45" s="136">
        <v>0</v>
      </c>
      <c r="AC45" s="136">
        <v>0</v>
      </c>
      <c r="AD45" s="136">
        <v>0</v>
      </c>
      <c r="AE45" s="136">
        <v>0</v>
      </c>
      <c r="AF45" s="136">
        <v>0</v>
      </c>
      <c r="AG45" s="136">
        <v>0</v>
      </c>
      <c r="AH45" s="136">
        <v>0</v>
      </c>
      <c r="AI45" s="136">
        <v>0</v>
      </c>
      <c r="AJ45" s="136">
        <v>0</v>
      </c>
      <c r="AK45" s="136">
        <v>0</v>
      </c>
      <c r="AL45" s="136">
        <v>0</v>
      </c>
      <c r="AM45" s="136">
        <v>0</v>
      </c>
      <c r="AN45" s="136">
        <v>0</v>
      </c>
      <c r="AO45" s="136">
        <v>0</v>
      </c>
      <c r="AP45" s="136">
        <v>0</v>
      </c>
      <c r="AQ45" s="136">
        <v>0</v>
      </c>
      <c r="AR45" s="136">
        <v>0</v>
      </c>
      <c r="AS45" s="136">
        <v>0</v>
      </c>
      <c r="AT45" s="136">
        <v>0</v>
      </c>
      <c r="AU45" s="136">
        <v>0</v>
      </c>
      <c r="AV45" s="136">
        <v>0</v>
      </c>
      <c r="AW45" s="136">
        <v>0</v>
      </c>
      <c r="AX45" s="136">
        <v>0</v>
      </c>
      <c r="AY45" s="136">
        <v>0</v>
      </c>
      <c r="AZ45" s="136">
        <v>0</v>
      </c>
      <c r="BA45" s="136">
        <v>0</v>
      </c>
      <c r="BB45" s="136">
        <v>0</v>
      </c>
      <c r="BC45" s="136">
        <v>0</v>
      </c>
      <c r="BD45" s="136">
        <v>0</v>
      </c>
      <c r="BE45" s="136">
        <v>0</v>
      </c>
      <c r="BF45" s="136">
        <v>0</v>
      </c>
      <c r="BG45" s="136">
        <v>0</v>
      </c>
      <c r="BH45" s="136">
        <v>0</v>
      </c>
      <c r="BI45" s="136">
        <v>0</v>
      </c>
      <c r="BJ45" s="136">
        <v>0</v>
      </c>
      <c r="BK45" s="136">
        <v>0</v>
      </c>
      <c r="BL45" s="136">
        <v>0</v>
      </c>
      <c r="BM45" s="136">
        <v>0</v>
      </c>
      <c r="BN45" s="136">
        <v>0</v>
      </c>
      <c r="BO45" s="136">
        <v>0</v>
      </c>
      <c r="BP45" s="136">
        <v>0</v>
      </c>
      <c r="BQ45" s="136">
        <v>0</v>
      </c>
      <c r="BR45" s="136">
        <v>0</v>
      </c>
      <c r="BS45" s="136">
        <v>0</v>
      </c>
      <c r="BT45" s="136">
        <v>0</v>
      </c>
      <c r="BU45" s="136">
        <v>0</v>
      </c>
      <c r="BV45" s="136">
        <v>0</v>
      </c>
      <c r="BW45" s="136">
        <v>0</v>
      </c>
      <c r="BX45" s="136">
        <v>0</v>
      </c>
      <c r="BY45" s="136">
        <v>0</v>
      </c>
      <c r="BZ45" s="136">
        <v>0</v>
      </c>
      <c r="CA45" s="136">
        <v>0</v>
      </c>
      <c r="CB45" s="136">
        <v>0</v>
      </c>
      <c r="CC45" s="136">
        <v>0</v>
      </c>
      <c r="CD45" s="136">
        <v>0</v>
      </c>
      <c r="CE45" s="136">
        <v>0</v>
      </c>
      <c r="CF45" s="136">
        <v>0</v>
      </c>
      <c r="CG45" s="136">
        <v>0</v>
      </c>
      <c r="CH45" s="136">
        <v>0</v>
      </c>
      <c r="CI45" s="136">
        <v>0</v>
      </c>
      <c r="CJ45" s="136">
        <v>0</v>
      </c>
      <c r="CK45" s="136">
        <v>0</v>
      </c>
      <c r="CL45" s="136">
        <v>0</v>
      </c>
      <c r="CM45" s="136">
        <v>0</v>
      </c>
      <c r="CN45" s="136">
        <v>0</v>
      </c>
      <c r="CO45" s="136">
        <v>0</v>
      </c>
      <c r="CP45" s="136">
        <v>0</v>
      </c>
      <c r="CQ45" s="136">
        <v>0</v>
      </c>
      <c r="CR45" s="136">
        <v>0</v>
      </c>
      <c r="CS45" s="136">
        <v>0</v>
      </c>
      <c r="CT45" s="136">
        <v>0</v>
      </c>
      <c r="CU45" s="136">
        <v>0</v>
      </c>
      <c r="CV45" s="136">
        <v>0</v>
      </c>
      <c r="CW45" s="136">
        <v>0</v>
      </c>
      <c r="CX45" s="136">
        <v>0</v>
      </c>
      <c r="CY45" s="136">
        <v>0</v>
      </c>
      <c r="CZ45" s="136">
        <v>0</v>
      </c>
      <c r="DA45" s="136"/>
      <c r="DB45" s="136"/>
      <c r="DC45" s="136"/>
      <c r="DD45" s="136"/>
      <c r="DE45" s="136"/>
      <c r="DF45" s="136"/>
      <c r="DG45" s="136">
        <v>0</v>
      </c>
      <c r="DH45" s="136">
        <v>0</v>
      </c>
      <c r="DI45" s="136">
        <v>0</v>
      </c>
      <c r="DJ45" s="136">
        <v>0</v>
      </c>
      <c r="DK45" s="136">
        <v>0</v>
      </c>
      <c r="DL45" s="136">
        <v>0</v>
      </c>
      <c r="DM45" s="136">
        <v>0</v>
      </c>
      <c r="DN45" s="136">
        <v>0</v>
      </c>
      <c r="DO45" s="136">
        <v>0</v>
      </c>
      <c r="DP45" s="136">
        <v>0</v>
      </c>
      <c r="DQ45" s="136">
        <v>0</v>
      </c>
      <c r="DR45" s="136">
        <v>0</v>
      </c>
      <c r="DS45" s="136"/>
      <c r="DT45" s="136"/>
      <c r="DU45" s="136"/>
      <c r="DV45" s="136"/>
      <c r="DW45" s="136"/>
      <c r="DX45" s="136"/>
      <c r="DY45" s="136">
        <v>0</v>
      </c>
      <c r="DZ45" s="136">
        <v>0</v>
      </c>
      <c r="EA45" s="136">
        <v>0</v>
      </c>
      <c r="EB45" s="136">
        <v>0</v>
      </c>
      <c r="EC45" s="136">
        <v>0</v>
      </c>
      <c r="ED45" s="136">
        <v>0</v>
      </c>
      <c r="EE45" s="136">
        <v>0</v>
      </c>
      <c r="EF45" s="136">
        <v>0</v>
      </c>
      <c r="EG45" s="136">
        <v>0</v>
      </c>
      <c r="EH45" s="136">
        <v>0</v>
      </c>
      <c r="EI45" s="136">
        <v>0</v>
      </c>
      <c r="EJ45" s="136">
        <v>0</v>
      </c>
      <c r="EK45" s="136"/>
      <c r="EL45" s="136"/>
      <c r="EM45" s="136"/>
      <c r="EN45" s="136"/>
      <c r="EO45" s="136"/>
      <c r="EP45" s="136"/>
      <c r="EQ45" s="136">
        <v>0</v>
      </c>
      <c r="ER45" s="136">
        <v>0</v>
      </c>
      <c r="ES45" s="136">
        <v>0</v>
      </c>
      <c r="ET45" s="136">
        <v>0</v>
      </c>
      <c r="EU45" s="136">
        <v>0</v>
      </c>
      <c r="EV45" s="136">
        <v>0</v>
      </c>
      <c r="EW45" s="136"/>
      <c r="EX45" s="136"/>
      <c r="EY45" s="136"/>
      <c r="EZ45" s="136"/>
      <c r="FA45" s="136"/>
      <c r="FB45" s="136"/>
      <c r="FC45" s="136">
        <v>0</v>
      </c>
      <c r="FD45" s="136">
        <v>0</v>
      </c>
      <c r="FE45" s="136">
        <v>0</v>
      </c>
      <c r="FF45" s="136">
        <v>0</v>
      </c>
      <c r="FG45" s="136">
        <v>0</v>
      </c>
      <c r="FH45" s="136">
        <v>0</v>
      </c>
      <c r="FI45" s="136"/>
      <c r="FJ45" s="136"/>
      <c r="FK45" s="136"/>
      <c r="FL45" s="136"/>
      <c r="FM45" s="136"/>
      <c r="FN45" s="136"/>
      <c r="FO45" s="136">
        <v>0</v>
      </c>
      <c r="FP45" s="136">
        <v>0</v>
      </c>
      <c r="FQ45" s="136">
        <v>0</v>
      </c>
      <c r="FR45" s="136">
        <v>0</v>
      </c>
      <c r="FS45" s="136">
        <v>0</v>
      </c>
      <c r="FT45" s="136">
        <v>0</v>
      </c>
      <c r="FU45" s="136">
        <v>0</v>
      </c>
      <c r="FV45" s="136">
        <v>0</v>
      </c>
      <c r="FW45" s="136">
        <v>0</v>
      </c>
      <c r="FX45" s="136">
        <v>0</v>
      </c>
      <c r="FY45" s="136">
        <v>0</v>
      </c>
      <c r="FZ45" s="136">
        <v>0</v>
      </c>
      <c r="GA45" s="136">
        <v>0</v>
      </c>
      <c r="GB45" s="136">
        <v>0</v>
      </c>
      <c r="GC45" s="136">
        <v>0</v>
      </c>
      <c r="GD45" s="136">
        <v>0</v>
      </c>
      <c r="GE45" s="136">
        <v>0</v>
      </c>
      <c r="GF45" s="136">
        <v>0</v>
      </c>
      <c r="GG45" s="136">
        <v>0</v>
      </c>
      <c r="GH45" s="136">
        <v>0</v>
      </c>
      <c r="GI45" s="136">
        <v>0</v>
      </c>
      <c r="GJ45" s="136">
        <v>0</v>
      </c>
      <c r="GK45" s="136">
        <v>0</v>
      </c>
      <c r="GL45" s="136">
        <v>0</v>
      </c>
      <c r="GM45" s="136">
        <v>0</v>
      </c>
      <c r="GN45" s="136">
        <v>0</v>
      </c>
      <c r="GO45" s="136">
        <v>0</v>
      </c>
      <c r="GP45" s="136">
        <v>0</v>
      </c>
      <c r="GQ45" s="136">
        <v>0</v>
      </c>
      <c r="GR45" s="136">
        <v>0</v>
      </c>
      <c r="GS45" s="136">
        <v>14480008</v>
      </c>
      <c r="GT45" s="136">
        <v>927216</v>
      </c>
      <c r="GU45" s="136">
        <v>25268935</v>
      </c>
      <c r="GV45" s="35" t="s">
        <v>340</v>
      </c>
      <c r="GW45" s="137">
        <v>9794586077</v>
      </c>
      <c r="GX45" s="35" t="s">
        <v>341</v>
      </c>
      <c r="GY45" s="136">
        <v>542396</v>
      </c>
      <c r="GZ45" s="136">
        <v>0</v>
      </c>
      <c r="HA45" s="136">
        <v>0</v>
      </c>
      <c r="HB45" s="136">
        <v>0</v>
      </c>
      <c r="HC45" s="136">
        <v>0</v>
      </c>
      <c r="HD45" s="136">
        <v>0</v>
      </c>
      <c r="HE45" s="136">
        <v>0</v>
      </c>
      <c r="HF45" s="136">
        <v>0</v>
      </c>
      <c r="HG45" s="136">
        <v>0</v>
      </c>
      <c r="HH45" s="136">
        <v>0</v>
      </c>
      <c r="HI45" s="35" t="s">
        <v>439</v>
      </c>
      <c r="HJ45" s="35" t="s">
        <v>439</v>
      </c>
      <c r="HK45" s="35" t="s">
        <v>439</v>
      </c>
      <c r="HL45"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1012565</v>
      </c>
      <c r="HM45"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45"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45"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45"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45"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45"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542396</v>
      </c>
    </row>
    <row r="46" spans="1:226">
      <c r="A46" s="35" t="s">
        <v>318</v>
      </c>
      <c r="B46" s="37" t="s">
        <v>703</v>
      </c>
      <c r="D46" s="37" t="s">
        <v>835</v>
      </c>
      <c r="E46" s="103">
        <v>3636</v>
      </c>
      <c r="F46" s="136">
        <v>2227552</v>
      </c>
      <c r="G46" s="136">
        <v>0</v>
      </c>
      <c r="H46" s="136">
        <v>12365958</v>
      </c>
      <c r="I46" s="136">
        <v>1838821</v>
      </c>
      <c r="J46" s="136">
        <v>0</v>
      </c>
      <c r="K46" s="136">
        <v>0</v>
      </c>
      <c r="L46" s="136">
        <v>0</v>
      </c>
      <c r="M46" s="136">
        <v>748415</v>
      </c>
      <c r="N46" s="136">
        <v>838912</v>
      </c>
      <c r="O46" s="136">
        <v>68505</v>
      </c>
      <c r="P46" s="136">
        <v>0</v>
      </c>
      <c r="Q46" s="136">
        <v>0</v>
      </c>
      <c r="R46" s="136">
        <v>0</v>
      </c>
      <c r="S46" s="136">
        <v>0</v>
      </c>
      <c r="T46" s="136">
        <v>0</v>
      </c>
      <c r="U46" s="136">
        <v>203291</v>
      </c>
      <c r="V46" s="136">
        <v>0</v>
      </c>
      <c r="W46" s="136">
        <v>66781</v>
      </c>
      <c r="X46" s="136">
        <v>6458</v>
      </c>
      <c r="Y46" s="136">
        <v>97982</v>
      </c>
      <c r="Z46" s="136">
        <v>0</v>
      </c>
      <c r="AA46" s="136">
        <v>83165</v>
      </c>
      <c r="AB46" s="136">
        <v>0</v>
      </c>
      <c r="AC46" s="136">
        <v>0</v>
      </c>
      <c r="AD46" s="136">
        <v>0</v>
      </c>
      <c r="AE46" s="136">
        <v>809</v>
      </c>
      <c r="AF46" s="136">
        <v>0</v>
      </c>
      <c r="AG46" s="136">
        <v>59553</v>
      </c>
      <c r="AH46" s="136">
        <v>0</v>
      </c>
      <c r="AI46" s="136">
        <v>0</v>
      </c>
      <c r="AJ46" s="136">
        <v>38000</v>
      </c>
      <c r="AK46" s="136">
        <v>36915</v>
      </c>
      <c r="AL46" s="136">
        <v>0</v>
      </c>
      <c r="AM46" s="136">
        <v>190826</v>
      </c>
      <c r="AN46" s="136">
        <v>0</v>
      </c>
      <c r="AO46" s="136">
        <v>0</v>
      </c>
      <c r="AP46" s="136">
        <v>0</v>
      </c>
      <c r="AQ46" s="136">
        <v>803</v>
      </c>
      <c r="AR46" s="136">
        <v>0</v>
      </c>
      <c r="AS46" s="136">
        <v>42204</v>
      </c>
      <c r="AT46" s="136">
        <v>0</v>
      </c>
      <c r="AU46" s="136">
        <v>0</v>
      </c>
      <c r="AV46" s="136">
        <v>0</v>
      </c>
      <c r="AW46" s="136">
        <v>0</v>
      </c>
      <c r="AX46" s="136">
        <v>0</v>
      </c>
      <c r="AY46" s="136">
        <v>344981</v>
      </c>
      <c r="AZ46" s="136">
        <v>0</v>
      </c>
      <c r="BA46" s="136">
        <v>33416</v>
      </c>
      <c r="BB46" s="136">
        <v>1419</v>
      </c>
      <c r="BC46" s="136">
        <v>414959</v>
      </c>
      <c r="BD46" s="136">
        <v>0</v>
      </c>
      <c r="BE46" s="136">
        <v>716798</v>
      </c>
      <c r="BF46" s="136">
        <v>0</v>
      </c>
      <c r="BG46" s="136">
        <v>0</v>
      </c>
      <c r="BH46" s="136">
        <v>10000</v>
      </c>
      <c r="BI46" s="136">
        <v>394180</v>
      </c>
      <c r="BJ46" s="136">
        <v>0</v>
      </c>
      <c r="BK46" s="136">
        <v>550544</v>
      </c>
      <c r="BL46" s="136">
        <v>0</v>
      </c>
      <c r="BM46" s="136">
        <v>0</v>
      </c>
      <c r="BN46" s="136">
        <v>0</v>
      </c>
      <c r="BO46" s="136">
        <v>74855</v>
      </c>
      <c r="BP46" s="136">
        <v>0</v>
      </c>
      <c r="BQ46" s="136">
        <v>5642242</v>
      </c>
      <c r="BR46" s="136">
        <v>0</v>
      </c>
      <c r="BS46" s="136">
        <v>0</v>
      </c>
      <c r="BT46" s="136">
        <v>125049</v>
      </c>
      <c r="BU46" s="136">
        <v>97680</v>
      </c>
      <c r="BV46" s="136">
        <v>0</v>
      </c>
      <c r="BW46" s="136">
        <v>0</v>
      </c>
      <c r="BX46" s="136">
        <v>0</v>
      </c>
      <c r="BY46" s="136">
        <v>0</v>
      </c>
      <c r="BZ46" s="136">
        <v>325816</v>
      </c>
      <c r="CA46" s="136">
        <v>0</v>
      </c>
      <c r="CB46" s="136">
        <v>0</v>
      </c>
      <c r="CC46" s="136">
        <v>29377</v>
      </c>
      <c r="CD46" s="136">
        <v>0</v>
      </c>
      <c r="CE46" s="136">
        <v>9500</v>
      </c>
      <c r="CF46" s="136">
        <v>21957</v>
      </c>
      <c r="CG46" s="136">
        <v>0</v>
      </c>
      <c r="CH46" s="136">
        <v>0</v>
      </c>
      <c r="CI46" s="136">
        <v>0</v>
      </c>
      <c r="CJ46" s="136">
        <v>0</v>
      </c>
      <c r="CK46" s="136">
        <v>0</v>
      </c>
      <c r="CL46" s="136">
        <v>0</v>
      </c>
      <c r="CM46" s="136">
        <v>5478</v>
      </c>
      <c r="CN46" s="136">
        <v>0</v>
      </c>
      <c r="CO46" s="136">
        <v>1060615</v>
      </c>
      <c r="CP46" s="136">
        <v>0</v>
      </c>
      <c r="CQ46" s="136">
        <v>0</v>
      </c>
      <c r="CR46" s="136">
        <v>0</v>
      </c>
      <c r="CS46" s="136">
        <v>3450621</v>
      </c>
      <c r="CT46" s="136">
        <v>0</v>
      </c>
      <c r="CU46" s="136">
        <v>0</v>
      </c>
      <c r="CV46" s="136">
        <v>0</v>
      </c>
      <c r="CW46" s="136">
        <v>0</v>
      </c>
      <c r="CX46" s="136">
        <v>0</v>
      </c>
      <c r="CY46" s="136">
        <v>0</v>
      </c>
      <c r="CZ46" s="136">
        <v>0</v>
      </c>
      <c r="DA46" s="136"/>
      <c r="DB46" s="136"/>
      <c r="DC46" s="136"/>
      <c r="DD46" s="136"/>
      <c r="DE46" s="136"/>
      <c r="DF46" s="136"/>
      <c r="DG46" s="136">
        <v>0</v>
      </c>
      <c r="DH46" s="136">
        <v>0</v>
      </c>
      <c r="DI46" s="136">
        <v>0</v>
      </c>
      <c r="DJ46" s="136">
        <v>0</v>
      </c>
      <c r="DK46" s="136">
        <v>0</v>
      </c>
      <c r="DL46" s="136">
        <v>0</v>
      </c>
      <c r="DM46" s="136">
        <v>0</v>
      </c>
      <c r="DN46" s="136">
        <v>0</v>
      </c>
      <c r="DO46" s="136">
        <v>0</v>
      </c>
      <c r="DP46" s="136">
        <v>0</v>
      </c>
      <c r="DQ46" s="136">
        <v>0</v>
      </c>
      <c r="DR46" s="136">
        <v>0</v>
      </c>
      <c r="DS46" s="136"/>
      <c r="DT46" s="136"/>
      <c r="DU46" s="136"/>
      <c r="DV46" s="136"/>
      <c r="DW46" s="136"/>
      <c r="DX46" s="136"/>
      <c r="DY46" s="136">
        <v>0</v>
      </c>
      <c r="DZ46" s="136">
        <v>0</v>
      </c>
      <c r="EA46" s="136">
        <v>0</v>
      </c>
      <c r="EB46" s="136">
        <v>0</v>
      </c>
      <c r="EC46" s="136">
        <v>0</v>
      </c>
      <c r="ED46" s="136">
        <v>0</v>
      </c>
      <c r="EE46" s="136">
        <v>0</v>
      </c>
      <c r="EF46" s="136">
        <v>0</v>
      </c>
      <c r="EG46" s="136">
        <v>0</v>
      </c>
      <c r="EH46" s="136">
        <v>0</v>
      </c>
      <c r="EI46" s="136">
        <v>0</v>
      </c>
      <c r="EJ46" s="136">
        <v>0</v>
      </c>
      <c r="EK46" s="136"/>
      <c r="EL46" s="136"/>
      <c r="EM46" s="136"/>
      <c r="EN46" s="136"/>
      <c r="EO46" s="136"/>
      <c r="EP46" s="136"/>
      <c r="EQ46" s="136">
        <v>0</v>
      </c>
      <c r="ER46" s="136">
        <v>0</v>
      </c>
      <c r="ES46" s="136">
        <v>0</v>
      </c>
      <c r="ET46" s="136">
        <v>0</v>
      </c>
      <c r="EU46" s="136">
        <v>0</v>
      </c>
      <c r="EV46" s="136">
        <v>0</v>
      </c>
      <c r="EW46" s="136"/>
      <c r="EX46" s="136"/>
      <c r="EY46" s="136"/>
      <c r="EZ46" s="136"/>
      <c r="FA46" s="136"/>
      <c r="FB46" s="136"/>
      <c r="FC46" s="136">
        <v>0</v>
      </c>
      <c r="FD46" s="136">
        <v>0</v>
      </c>
      <c r="FE46" s="136">
        <v>0</v>
      </c>
      <c r="FF46" s="136">
        <v>0</v>
      </c>
      <c r="FG46" s="136">
        <v>0</v>
      </c>
      <c r="FH46" s="136">
        <v>0</v>
      </c>
      <c r="FI46" s="136"/>
      <c r="FJ46" s="136"/>
      <c r="FK46" s="136"/>
      <c r="FL46" s="136"/>
      <c r="FM46" s="136"/>
      <c r="FN46" s="136"/>
      <c r="FO46" s="136">
        <v>0</v>
      </c>
      <c r="FP46" s="136">
        <v>0</v>
      </c>
      <c r="FQ46" s="136">
        <v>0</v>
      </c>
      <c r="FR46" s="136">
        <v>0</v>
      </c>
      <c r="FS46" s="136">
        <v>0</v>
      </c>
      <c r="FT46" s="136">
        <v>0</v>
      </c>
      <c r="FU46" s="136">
        <v>0</v>
      </c>
      <c r="FV46" s="136">
        <v>0</v>
      </c>
      <c r="FW46" s="136">
        <v>0</v>
      </c>
      <c r="FX46" s="136">
        <v>0</v>
      </c>
      <c r="FY46" s="136">
        <v>0</v>
      </c>
      <c r="FZ46" s="136">
        <v>0</v>
      </c>
      <c r="GA46" s="136">
        <v>0</v>
      </c>
      <c r="GB46" s="136">
        <v>0</v>
      </c>
      <c r="GC46" s="136">
        <v>0</v>
      </c>
      <c r="GD46" s="136">
        <v>0</v>
      </c>
      <c r="GE46" s="136">
        <v>0</v>
      </c>
      <c r="GF46" s="136">
        <v>0</v>
      </c>
      <c r="GG46" s="136">
        <v>0</v>
      </c>
      <c r="GH46" s="136">
        <v>0</v>
      </c>
      <c r="GI46" s="136">
        <v>0</v>
      </c>
      <c r="GJ46" s="136">
        <v>0</v>
      </c>
      <c r="GK46" s="136">
        <v>0</v>
      </c>
      <c r="GL46" s="136">
        <v>0</v>
      </c>
      <c r="GM46" s="136">
        <v>0</v>
      </c>
      <c r="GN46" s="136">
        <v>0</v>
      </c>
      <c r="GO46" s="136">
        <v>0</v>
      </c>
      <c r="GP46" s="136">
        <v>0</v>
      </c>
      <c r="GQ46" s="136">
        <v>0</v>
      </c>
      <c r="GR46" s="136">
        <v>0</v>
      </c>
      <c r="GS46" s="136">
        <v>0</v>
      </c>
      <c r="GT46" s="136">
        <v>0</v>
      </c>
      <c r="GU46" s="136">
        <v>0</v>
      </c>
      <c r="GW46" s="137"/>
      <c r="GY46" s="136">
        <v>14593510</v>
      </c>
      <c r="GZ46" s="136" t="s">
        <v>439</v>
      </c>
      <c r="HA46" s="136" t="s">
        <v>439</v>
      </c>
      <c r="HB46" s="136" t="s">
        <v>439</v>
      </c>
      <c r="HC46" s="136" t="s">
        <v>439</v>
      </c>
      <c r="HD46" s="136" t="s">
        <v>439</v>
      </c>
      <c r="HE46" s="136" t="s">
        <v>439</v>
      </c>
      <c r="HF46" s="136" t="s">
        <v>439</v>
      </c>
      <c r="HG46" s="136" t="s">
        <v>439</v>
      </c>
      <c r="HH46" s="136" t="s">
        <v>439</v>
      </c>
      <c r="HI46" s="35" t="s">
        <v>439</v>
      </c>
      <c r="HJ46" s="35" t="s">
        <v>439</v>
      </c>
      <c r="HK46" s="35" t="s">
        <v>439</v>
      </c>
      <c r="HL46"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8992101</v>
      </c>
      <c r="HM46"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46"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109697</v>
      </c>
      <c r="HO46"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528699</v>
      </c>
      <c r="HP46"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4574282</v>
      </c>
      <c r="HQ46"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46"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14593510</v>
      </c>
    </row>
    <row r="47" spans="1:226">
      <c r="A47" s="35" t="s">
        <v>60</v>
      </c>
      <c r="B47" s="37" t="s">
        <v>840</v>
      </c>
      <c r="C47" s="37">
        <v>640</v>
      </c>
      <c r="D47" s="37" t="s">
        <v>835</v>
      </c>
      <c r="E47" s="103">
        <v>575</v>
      </c>
      <c r="F47" s="136">
        <v>0</v>
      </c>
      <c r="G47" s="136">
        <v>0</v>
      </c>
      <c r="H47" s="136">
        <v>0</v>
      </c>
      <c r="I47" s="136">
        <v>0</v>
      </c>
      <c r="J47" s="136">
        <v>0</v>
      </c>
      <c r="K47" s="136">
        <v>0</v>
      </c>
      <c r="L47" s="136">
        <v>0</v>
      </c>
      <c r="M47" s="136">
        <v>0</v>
      </c>
      <c r="N47" s="136">
        <v>0</v>
      </c>
      <c r="O47" s="136">
        <v>0</v>
      </c>
      <c r="P47" s="136">
        <v>0</v>
      </c>
      <c r="Q47" s="136">
        <v>0</v>
      </c>
      <c r="R47" s="136">
        <v>0</v>
      </c>
      <c r="S47" s="136">
        <v>0</v>
      </c>
      <c r="T47" s="136">
        <v>0</v>
      </c>
      <c r="U47" s="136">
        <v>0</v>
      </c>
      <c r="V47" s="136">
        <v>0</v>
      </c>
      <c r="W47" s="136">
        <v>0</v>
      </c>
      <c r="X47" s="136">
        <v>0</v>
      </c>
      <c r="Y47" s="136">
        <v>0</v>
      </c>
      <c r="Z47" s="136">
        <v>0</v>
      </c>
      <c r="AA47" s="136">
        <v>0</v>
      </c>
      <c r="AB47" s="136">
        <v>0</v>
      </c>
      <c r="AC47" s="136">
        <v>0</v>
      </c>
      <c r="AD47" s="136">
        <v>0</v>
      </c>
      <c r="AE47" s="136">
        <v>0</v>
      </c>
      <c r="AF47" s="136">
        <v>0</v>
      </c>
      <c r="AG47" s="136">
        <v>0</v>
      </c>
      <c r="AH47" s="136">
        <v>0</v>
      </c>
      <c r="AI47" s="136">
        <v>0</v>
      </c>
      <c r="AJ47" s="136">
        <v>0</v>
      </c>
      <c r="AK47" s="136">
        <v>0</v>
      </c>
      <c r="AL47" s="136">
        <v>0</v>
      </c>
      <c r="AM47" s="136">
        <v>0</v>
      </c>
      <c r="AN47" s="136">
        <v>0</v>
      </c>
      <c r="AO47" s="136">
        <v>0</v>
      </c>
      <c r="AP47" s="136">
        <v>0</v>
      </c>
      <c r="AQ47" s="136">
        <v>0</v>
      </c>
      <c r="AR47" s="136">
        <v>0</v>
      </c>
      <c r="AS47" s="136">
        <v>0</v>
      </c>
      <c r="AT47" s="136">
        <v>0</v>
      </c>
      <c r="AU47" s="136">
        <v>0</v>
      </c>
      <c r="AV47" s="136">
        <v>0</v>
      </c>
      <c r="AW47" s="136">
        <v>0</v>
      </c>
      <c r="AX47" s="136">
        <v>0</v>
      </c>
      <c r="AY47" s="136">
        <v>0</v>
      </c>
      <c r="AZ47" s="136">
        <v>0</v>
      </c>
      <c r="BA47" s="136">
        <v>0</v>
      </c>
      <c r="BB47" s="136">
        <v>0</v>
      </c>
      <c r="BC47" s="136">
        <v>0</v>
      </c>
      <c r="BD47" s="136">
        <v>0</v>
      </c>
      <c r="BE47" s="136">
        <v>0</v>
      </c>
      <c r="BF47" s="136">
        <v>0</v>
      </c>
      <c r="BG47" s="136">
        <v>0</v>
      </c>
      <c r="BH47" s="136">
        <v>0</v>
      </c>
      <c r="BI47" s="136">
        <v>0</v>
      </c>
      <c r="BJ47" s="136">
        <v>0</v>
      </c>
      <c r="BK47" s="136">
        <v>0</v>
      </c>
      <c r="BL47" s="136">
        <v>0</v>
      </c>
      <c r="BM47" s="136">
        <v>0</v>
      </c>
      <c r="BN47" s="136">
        <v>0</v>
      </c>
      <c r="BO47" s="136">
        <v>0</v>
      </c>
      <c r="BP47" s="136">
        <v>0</v>
      </c>
      <c r="BQ47" s="136">
        <v>0</v>
      </c>
      <c r="BR47" s="136">
        <v>0</v>
      </c>
      <c r="BS47" s="136">
        <v>0</v>
      </c>
      <c r="BT47" s="136">
        <v>0</v>
      </c>
      <c r="BU47" s="136">
        <v>0</v>
      </c>
      <c r="BV47" s="136">
        <v>0</v>
      </c>
      <c r="BW47" s="136">
        <v>0</v>
      </c>
      <c r="BX47" s="136">
        <v>0</v>
      </c>
      <c r="BY47" s="136">
        <v>0</v>
      </c>
      <c r="BZ47" s="136">
        <v>0</v>
      </c>
      <c r="CA47" s="136">
        <v>0</v>
      </c>
      <c r="CB47" s="136">
        <v>0</v>
      </c>
      <c r="CC47" s="136">
        <v>0</v>
      </c>
      <c r="CD47" s="136">
        <v>0</v>
      </c>
      <c r="CE47" s="136">
        <v>0</v>
      </c>
      <c r="CF47" s="136">
        <v>0</v>
      </c>
      <c r="CG47" s="136">
        <v>0</v>
      </c>
      <c r="CH47" s="136">
        <v>0</v>
      </c>
      <c r="CI47" s="136">
        <v>0</v>
      </c>
      <c r="CJ47" s="136">
        <v>0</v>
      </c>
      <c r="CK47" s="136">
        <v>0</v>
      </c>
      <c r="CL47" s="136">
        <v>0</v>
      </c>
      <c r="CM47" s="136">
        <v>0</v>
      </c>
      <c r="CN47" s="136">
        <v>0</v>
      </c>
      <c r="CO47" s="136">
        <v>0</v>
      </c>
      <c r="CP47" s="136">
        <v>0</v>
      </c>
      <c r="CQ47" s="136">
        <v>0</v>
      </c>
      <c r="CR47" s="136">
        <v>0</v>
      </c>
      <c r="CS47" s="136">
        <v>0</v>
      </c>
      <c r="CT47" s="136">
        <v>0</v>
      </c>
      <c r="CU47" s="136">
        <v>0</v>
      </c>
      <c r="CV47" s="136">
        <v>0</v>
      </c>
      <c r="CW47" s="136">
        <v>0</v>
      </c>
      <c r="CX47" s="136">
        <v>0</v>
      </c>
      <c r="CY47" s="136">
        <v>0</v>
      </c>
      <c r="CZ47" s="136">
        <v>0</v>
      </c>
      <c r="DA47" s="136"/>
      <c r="DB47" s="136"/>
      <c r="DC47" s="136"/>
      <c r="DD47" s="136"/>
      <c r="DE47" s="136"/>
      <c r="DF47" s="136"/>
      <c r="DG47" s="136">
        <v>0</v>
      </c>
      <c r="DH47" s="136">
        <v>0</v>
      </c>
      <c r="DI47" s="136">
        <v>0</v>
      </c>
      <c r="DJ47" s="136">
        <v>0</v>
      </c>
      <c r="DK47" s="136">
        <v>0</v>
      </c>
      <c r="DL47" s="136">
        <v>0</v>
      </c>
      <c r="DM47" s="136">
        <v>0</v>
      </c>
      <c r="DN47" s="136">
        <v>0</v>
      </c>
      <c r="DO47" s="136">
        <v>0</v>
      </c>
      <c r="DP47" s="136">
        <v>0</v>
      </c>
      <c r="DQ47" s="136">
        <v>0</v>
      </c>
      <c r="DR47" s="136">
        <v>0</v>
      </c>
      <c r="DS47" s="136"/>
      <c r="DT47" s="136"/>
      <c r="DU47" s="136"/>
      <c r="DV47" s="136"/>
      <c r="DW47" s="136"/>
      <c r="DX47" s="136"/>
      <c r="DY47" s="136">
        <v>0</v>
      </c>
      <c r="DZ47" s="136">
        <v>0</v>
      </c>
      <c r="EA47" s="136">
        <v>0</v>
      </c>
      <c r="EB47" s="136">
        <v>0</v>
      </c>
      <c r="EC47" s="136">
        <v>0</v>
      </c>
      <c r="ED47" s="136">
        <v>0</v>
      </c>
      <c r="EE47" s="136">
        <v>0</v>
      </c>
      <c r="EF47" s="136">
        <v>0</v>
      </c>
      <c r="EG47" s="136">
        <v>0</v>
      </c>
      <c r="EH47" s="136">
        <v>0</v>
      </c>
      <c r="EI47" s="136">
        <v>0</v>
      </c>
      <c r="EJ47" s="136">
        <v>0</v>
      </c>
      <c r="EK47" s="136"/>
      <c r="EL47" s="136"/>
      <c r="EM47" s="136"/>
      <c r="EN47" s="136"/>
      <c r="EO47" s="136"/>
      <c r="EP47" s="136"/>
      <c r="EQ47" s="136">
        <v>0</v>
      </c>
      <c r="ER47" s="136">
        <v>0</v>
      </c>
      <c r="ES47" s="136">
        <v>0</v>
      </c>
      <c r="ET47" s="136">
        <v>0</v>
      </c>
      <c r="EU47" s="136">
        <v>0</v>
      </c>
      <c r="EV47" s="136">
        <v>0</v>
      </c>
      <c r="EW47" s="136"/>
      <c r="EX47" s="136"/>
      <c r="EY47" s="136"/>
      <c r="EZ47" s="136"/>
      <c r="FA47" s="136"/>
      <c r="FB47" s="136"/>
      <c r="FC47" s="136">
        <v>0</v>
      </c>
      <c r="FD47" s="136">
        <v>0</v>
      </c>
      <c r="FE47" s="136">
        <v>0</v>
      </c>
      <c r="FF47" s="136">
        <v>0</v>
      </c>
      <c r="FG47" s="136">
        <v>0</v>
      </c>
      <c r="FH47" s="136">
        <v>0</v>
      </c>
      <c r="FI47" s="136"/>
      <c r="FJ47" s="136"/>
      <c r="FK47" s="136"/>
      <c r="FL47" s="136"/>
      <c r="FM47" s="136"/>
      <c r="FN47" s="136"/>
      <c r="FO47" s="136">
        <v>0</v>
      </c>
      <c r="FP47" s="136">
        <v>0</v>
      </c>
      <c r="FQ47" s="136">
        <v>0</v>
      </c>
      <c r="FR47" s="136">
        <v>0</v>
      </c>
      <c r="FS47" s="136">
        <v>0</v>
      </c>
      <c r="FT47" s="136">
        <v>0</v>
      </c>
      <c r="FU47" s="136">
        <v>0</v>
      </c>
      <c r="FV47" s="136">
        <v>0</v>
      </c>
      <c r="FW47" s="136">
        <v>0</v>
      </c>
      <c r="FX47" s="136">
        <v>0</v>
      </c>
      <c r="FY47" s="136">
        <v>0</v>
      </c>
      <c r="FZ47" s="136">
        <v>0</v>
      </c>
      <c r="GA47" s="136">
        <v>0</v>
      </c>
      <c r="GB47" s="136">
        <v>0</v>
      </c>
      <c r="GC47" s="136">
        <v>0</v>
      </c>
      <c r="GD47" s="136">
        <v>0</v>
      </c>
      <c r="GE47" s="136">
        <v>0</v>
      </c>
      <c r="GF47" s="136">
        <v>0</v>
      </c>
      <c r="GG47" s="136">
        <v>0</v>
      </c>
      <c r="GH47" s="136">
        <v>0</v>
      </c>
      <c r="GI47" s="136">
        <v>0</v>
      </c>
      <c r="GJ47" s="136">
        <v>0</v>
      </c>
      <c r="GK47" s="136">
        <v>0</v>
      </c>
      <c r="GL47" s="136">
        <v>0</v>
      </c>
      <c r="GM47" s="136">
        <v>0</v>
      </c>
      <c r="GN47" s="136">
        <v>0</v>
      </c>
      <c r="GO47" s="136">
        <v>0</v>
      </c>
      <c r="GP47" s="136">
        <v>0</v>
      </c>
      <c r="GQ47" s="136">
        <v>0</v>
      </c>
      <c r="GR47" s="136">
        <v>0</v>
      </c>
      <c r="GS47" s="136">
        <v>43729123</v>
      </c>
      <c r="GT47" s="136">
        <v>0</v>
      </c>
      <c r="GU47" s="136">
        <v>1391452845</v>
      </c>
      <c r="GV47" s="35" t="s">
        <v>340</v>
      </c>
      <c r="GW47" s="137">
        <v>9794586077</v>
      </c>
      <c r="GX47" s="35" t="s">
        <v>341</v>
      </c>
      <c r="GY47" s="136">
        <v>0</v>
      </c>
      <c r="GZ47" s="136">
        <v>0</v>
      </c>
      <c r="HA47" s="136">
        <v>0</v>
      </c>
      <c r="HB47" s="136">
        <v>0</v>
      </c>
      <c r="HC47" s="136">
        <v>0</v>
      </c>
      <c r="HD47" s="136">
        <v>0</v>
      </c>
      <c r="HE47" s="136">
        <v>0</v>
      </c>
      <c r="HF47" s="136">
        <v>0</v>
      </c>
      <c r="HG47" s="136">
        <v>0</v>
      </c>
      <c r="HH47" s="136">
        <v>0</v>
      </c>
      <c r="HI47" s="35" t="s">
        <v>439</v>
      </c>
      <c r="HJ47" s="35" t="s">
        <v>439</v>
      </c>
      <c r="HK47" s="35" t="s">
        <v>439</v>
      </c>
      <c r="HL47"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47"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47"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47"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47"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47"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47"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48" spans="1:226">
      <c r="A48" s="35" t="s">
        <v>315</v>
      </c>
      <c r="B48" s="37" t="s">
        <v>703</v>
      </c>
      <c r="D48" s="37" t="s">
        <v>835</v>
      </c>
      <c r="E48" s="103">
        <v>3641</v>
      </c>
      <c r="F48" s="136">
        <v>0</v>
      </c>
      <c r="G48" s="136">
        <v>0</v>
      </c>
      <c r="H48" s="136">
        <v>239161</v>
      </c>
      <c r="I48" s="136">
        <v>0</v>
      </c>
      <c r="J48" s="136">
        <v>0</v>
      </c>
      <c r="K48" s="136">
        <v>0</v>
      </c>
      <c r="L48" s="136">
        <v>0</v>
      </c>
      <c r="M48" s="136">
        <v>0</v>
      </c>
      <c r="N48" s="136">
        <v>0</v>
      </c>
      <c r="O48" s="136">
        <v>0</v>
      </c>
      <c r="P48" s="136">
        <v>0</v>
      </c>
      <c r="Q48" s="136">
        <v>0</v>
      </c>
      <c r="R48" s="136">
        <v>0</v>
      </c>
      <c r="S48" s="136">
        <v>0</v>
      </c>
      <c r="T48" s="136">
        <v>0</v>
      </c>
      <c r="U48" s="136">
        <v>0</v>
      </c>
      <c r="V48" s="136">
        <v>0</v>
      </c>
      <c r="W48" s="136">
        <v>0</v>
      </c>
      <c r="X48" s="136">
        <v>10418</v>
      </c>
      <c r="Y48" s="136">
        <v>0</v>
      </c>
      <c r="Z48" s="136">
        <v>0</v>
      </c>
      <c r="AA48" s="136">
        <v>0</v>
      </c>
      <c r="AB48" s="136">
        <v>0</v>
      </c>
      <c r="AC48" s="136">
        <v>0</v>
      </c>
      <c r="AD48" s="136">
        <v>0</v>
      </c>
      <c r="AE48" s="136">
        <v>0</v>
      </c>
      <c r="AF48" s="136">
        <v>0</v>
      </c>
      <c r="AG48" s="136">
        <v>0</v>
      </c>
      <c r="AH48" s="136">
        <v>0</v>
      </c>
      <c r="AI48" s="136">
        <v>0</v>
      </c>
      <c r="AJ48" s="136">
        <v>0</v>
      </c>
      <c r="AK48" s="136">
        <v>0</v>
      </c>
      <c r="AL48" s="136">
        <v>0</v>
      </c>
      <c r="AM48" s="136">
        <v>0</v>
      </c>
      <c r="AN48" s="136">
        <v>0</v>
      </c>
      <c r="AO48" s="136">
        <v>0</v>
      </c>
      <c r="AP48" s="136">
        <v>0</v>
      </c>
      <c r="AQ48" s="136">
        <v>0</v>
      </c>
      <c r="AR48" s="136">
        <v>0</v>
      </c>
      <c r="AS48" s="136">
        <v>0</v>
      </c>
      <c r="AT48" s="136">
        <v>0</v>
      </c>
      <c r="AU48" s="136">
        <v>0</v>
      </c>
      <c r="AV48" s="136">
        <v>0</v>
      </c>
      <c r="AW48" s="136">
        <v>0</v>
      </c>
      <c r="AX48" s="136">
        <v>0</v>
      </c>
      <c r="AY48" s="136">
        <v>0</v>
      </c>
      <c r="AZ48" s="136">
        <v>0</v>
      </c>
      <c r="BA48" s="136">
        <v>0</v>
      </c>
      <c r="BB48" s="136">
        <v>0</v>
      </c>
      <c r="BC48" s="136">
        <v>0</v>
      </c>
      <c r="BD48" s="136">
        <v>0</v>
      </c>
      <c r="BE48" s="136">
        <v>146873</v>
      </c>
      <c r="BF48" s="136">
        <v>0</v>
      </c>
      <c r="BG48" s="136">
        <v>0</v>
      </c>
      <c r="BH48" s="136">
        <v>0</v>
      </c>
      <c r="BI48" s="136">
        <v>123</v>
      </c>
      <c r="BJ48" s="136">
        <v>52403</v>
      </c>
      <c r="BK48" s="136">
        <v>0</v>
      </c>
      <c r="BL48" s="136">
        <v>0</v>
      </c>
      <c r="BM48" s="136">
        <v>0</v>
      </c>
      <c r="BN48" s="136">
        <v>0</v>
      </c>
      <c r="BO48" s="136">
        <v>29344</v>
      </c>
      <c r="BP48" s="136">
        <v>0</v>
      </c>
      <c r="BQ48" s="136">
        <v>0</v>
      </c>
      <c r="BR48" s="136">
        <v>0</v>
      </c>
      <c r="BS48" s="136">
        <v>0</v>
      </c>
      <c r="BT48" s="136">
        <v>0</v>
      </c>
      <c r="BU48" s="136">
        <v>0</v>
      </c>
      <c r="BV48" s="136">
        <v>0</v>
      </c>
      <c r="BW48" s="136">
        <v>0</v>
      </c>
      <c r="BX48" s="136">
        <v>0</v>
      </c>
      <c r="BY48" s="136">
        <v>0</v>
      </c>
      <c r="BZ48" s="136">
        <v>0</v>
      </c>
      <c r="CA48" s="136">
        <v>0</v>
      </c>
      <c r="CB48" s="136">
        <v>0</v>
      </c>
      <c r="CC48" s="136">
        <v>0</v>
      </c>
      <c r="CD48" s="136">
        <v>0</v>
      </c>
      <c r="CE48" s="136">
        <v>0</v>
      </c>
      <c r="CF48" s="136">
        <v>0</v>
      </c>
      <c r="CG48" s="136">
        <v>0</v>
      </c>
      <c r="CH48" s="136">
        <v>0</v>
      </c>
      <c r="CI48" s="136">
        <v>0</v>
      </c>
      <c r="CJ48" s="136">
        <v>0</v>
      </c>
      <c r="CK48" s="136">
        <v>0</v>
      </c>
      <c r="CL48" s="136">
        <v>0</v>
      </c>
      <c r="CM48" s="136">
        <v>0</v>
      </c>
      <c r="CN48" s="136">
        <v>0</v>
      </c>
      <c r="CO48" s="136">
        <v>0</v>
      </c>
      <c r="CP48" s="136">
        <v>0</v>
      </c>
      <c r="CQ48" s="136">
        <v>0</v>
      </c>
      <c r="CR48" s="136">
        <v>0</v>
      </c>
      <c r="CS48" s="136">
        <v>0</v>
      </c>
      <c r="CT48" s="136">
        <v>0</v>
      </c>
      <c r="CU48" s="136">
        <v>0</v>
      </c>
      <c r="CV48" s="136">
        <v>0</v>
      </c>
      <c r="CW48" s="136">
        <v>0</v>
      </c>
      <c r="CX48" s="136">
        <v>0</v>
      </c>
      <c r="CY48" s="136">
        <v>0</v>
      </c>
      <c r="CZ48" s="136">
        <v>0</v>
      </c>
      <c r="DA48" s="136"/>
      <c r="DB48" s="136"/>
      <c r="DC48" s="136"/>
      <c r="DD48" s="136"/>
      <c r="DE48" s="136"/>
      <c r="DF48" s="136"/>
      <c r="DG48" s="136">
        <v>0</v>
      </c>
      <c r="DH48" s="136">
        <v>0</v>
      </c>
      <c r="DI48" s="136">
        <v>0</v>
      </c>
      <c r="DJ48" s="136">
        <v>0</v>
      </c>
      <c r="DK48" s="136">
        <v>0</v>
      </c>
      <c r="DL48" s="136">
        <v>0</v>
      </c>
      <c r="DM48" s="136">
        <v>0</v>
      </c>
      <c r="DN48" s="136">
        <v>0</v>
      </c>
      <c r="DO48" s="136">
        <v>0</v>
      </c>
      <c r="DP48" s="136">
        <v>0</v>
      </c>
      <c r="DQ48" s="136">
        <v>0</v>
      </c>
      <c r="DR48" s="136">
        <v>0</v>
      </c>
      <c r="DS48" s="136"/>
      <c r="DT48" s="136"/>
      <c r="DU48" s="136"/>
      <c r="DV48" s="136"/>
      <c r="DW48" s="136"/>
      <c r="DX48" s="136"/>
      <c r="DY48" s="136">
        <v>0</v>
      </c>
      <c r="DZ48" s="136">
        <v>0</v>
      </c>
      <c r="EA48" s="136">
        <v>0</v>
      </c>
      <c r="EB48" s="136">
        <v>0</v>
      </c>
      <c r="EC48" s="136">
        <v>0</v>
      </c>
      <c r="ED48" s="136">
        <v>0</v>
      </c>
      <c r="EE48" s="136">
        <v>0</v>
      </c>
      <c r="EF48" s="136">
        <v>0</v>
      </c>
      <c r="EG48" s="136">
        <v>0</v>
      </c>
      <c r="EH48" s="136">
        <v>0</v>
      </c>
      <c r="EI48" s="136">
        <v>0</v>
      </c>
      <c r="EJ48" s="136">
        <v>0</v>
      </c>
      <c r="EK48" s="136"/>
      <c r="EL48" s="136"/>
      <c r="EM48" s="136"/>
      <c r="EN48" s="136"/>
      <c r="EO48" s="136"/>
      <c r="EP48" s="136"/>
      <c r="EQ48" s="136">
        <v>0</v>
      </c>
      <c r="ER48" s="136">
        <v>0</v>
      </c>
      <c r="ES48" s="136">
        <v>0</v>
      </c>
      <c r="ET48" s="136">
        <v>0</v>
      </c>
      <c r="EU48" s="136">
        <v>0</v>
      </c>
      <c r="EV48" s="136">
        <v>0</v>
      </c>
      <c r="EW48" s="136"/>
      <c r="EX48" s="136"/>
      <c r="EY48" s="136"/>
      <c r="EZ48" s="136"/>
      <c r="FA48" s="136"/>
      <c r="FB48" s="136"/>
      <c r="FC48" s="136">
        <v>0</v>
      </c>
      <c r="FD48" s="136">
        <v>0</v>
      </c>
      <c r="FE48" s="136">
        <v>0</v>
      </c>
      <c r="FF48" s="136">
        <v>0</v>
      </c>
      <c r="FG48" s="136">
        <v>0</v>
      </c>
      <c r="FH48" s="136">
        <v>0</v>
      </c>
      <c r="FI48" s="136"/>
      <c r="FJ48" s="136"/>
      <c r="FK48" s="136"/>
      <c r="FL48" s="136"/>
      <c r="FM48" s="136"/>
      <c r="FN48" s="136"/>
      <c r="FO48" s="136">
        <v>0</v>
      </c>
      <c r="FP48" s="136">
        <v>0</v>
      </c>
      <c r="FQ48" s="136">
        <v>0</v>
      </c>
      <c r="FR48" s="136">
        <v>0</v>
      </c>
      <c r="FS48" s="136">
        <v>0</v>
      </c>
      <c r="FT48" s="136">
        <v>0</v>
      </c>
      <c r="FU48" s="136">
        <v>0</v>
      </c>
      <c r="FV48" s="136">
        <v>0</v>
      </c>
      <c r="FW48" s="136">
        <v>0</v>
      </c>
      <c r="FX48" s="136">
        <v>0</v>
      </c>
      <c r="FY48" s="136">
        <v>0</v>
      </c>
      <c r="FZ48" s="136">
        <v>0</v>
      </c>
      <c r="GA48" s="136">
        <v>0</v>
      </c>
      <c r="GB48" s="136">
        <v>0</v>
      </c>
      <c r="GC48" s="136">
        <v>0</v>
      </c>
      <c r="GD48" s="136">
        <v>0</v>
      </c>
      <c r="GE48" s="136">
        <v>0</v>
      </c>
      <c r="GF48" s="136">
        <v>0</v>
      </c>
      <c r="GG48" s="136">
        <v>0</v>
      </c>
      <c r="GH48" s="136">
        <v>0</v>
      </c>
      <c r="GI48" s="136">
        <v>0</v>
      </c>
      <c r="GJ48" s="136">
        <v>0</v>
      </c>
      <c r="GK48" s="136">
        <v>0</v>
      </c>
      <c r="GL48" s="136">
        <v>0</v>
      </c>
      <c r="GM48" s="136">
        <v>0</v>
      </c>
      <c r="GN48" s="136">
        <v>0</v>
      </c>
      <c r="GO48" s="136">
        <v>0</v>
      </c>
      <c r="GP48" s="136">
        <v>0</v>
      </c>
      <c r="GQ48" s="136">
        <v>0</v>
      </c>
      <c r="GR48" s="136">
        <v>0</v>
      </c>
      <c r="GS48" s="136">
        <v>0</v>
      </c>
      <c r="GT48" s="136">
        <v>0</v>
      </c>
      <c r="GU48" s="136">
        <v>0</v>
      </c>
      <c r="GW48" s="137"/>
      <c r="GY48" s="136">
        <v>239161</v>
      </c>
      <c r="GZ48" s="136" t="s">
        <v>439</v>
      </c>
      <c r="HA48" s="136" t="s">
        <v>439</v>
      </c>
      <c r="HB48" s="136" t="s">
        <v>439</v>
      </c>
      <c r="HC48" s="136" t="s">
        <v>439</v>
      </c>
      <c r="HD48" s="136" t="s">
        <v>439</v>
      </c>
      <c r="HE48" s="136" t="s">
        <v>439</v>
      </c>
      <c r="HF48" s="136" t="s">
        <v>439</v>
      </c>
      <c r="HG48" s="136" t="s">
        <v>439</v>
      </c>
      <c r="HH48" s="136" t="s">
        <v>439</v>
      </c>
      <c r="HI48" s="35" t="s">
        <v>439</v>
      </c>
      <c r="HJ48" s="35" t="s">
        <v>439</v>
      </c>
      <c r="HK48" s="35" t="s">
        <v>439</v>
      </c>
      <c r="HL48"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146873</v>
      </c>
      <c r="HM48"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48"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48"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10418</v>
      </c>
      <c r="HP48"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29467</v>
      </c>
      <c r="HQ48"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52403</v>
      </c>
      <c r="HR48"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239161</v>
      </c>
    </row>
    <row r="49" spans="1:226">
      <c r="A49" s="35" t="s">
        <v>51</v>
      </c>
      <c r="B49" s="37" t="s">
        <v>19</v>
      </c>
      <c r="C49" s="37">
        <v>360</v>
      </c>
      <c r="D49" s="37" t="s">
        <v>835</v>
      </c>
      <c r="E49" s="103">
        <v>3642</v>
      </c>
      <c r="F49" s="136">
        <v>8389416</v>
      </c>
      <c r="G49" s="136">
        <v>0</v>
      </c>
      <c r="H49" s="136">
        <v>8296369</v>
      </c>
      <c r="I49" s="136">
        <v>0</v>
      </c>
      <c r="J49" s="136">
        <v>93047</v>
      </c>
      <c r="K49" s="136">
        <v>0</v>
      </c>
      <c r="L49" s="136">
        <v>0</v>
      </c>
      <c r="M49" s="136">
        <v>0</v>
      </c>
      <c r="N49" s="136">
        <v>0</v>
      </c>
      <c r="O49" s="136">
        <v>0</v>
      </c>
      <c r="P49" s="136">
        <v>0</v>
      </c>
      <c r="Q49" s="136">
        <v>0</v>
      </c>
      <c r="R49" s="136">
        <v>0</v>
      </c>
      <c r="S49" s="136">
        <v>0</v>
      </c>
      <c r="T49" s="136">
        <v>0</v>
      </c>
      <c r="U49" s="136">
        <v>3052985</v>
      </c>
      <c r="V49" s="136">
        <v>625</v>
      </c>
      <c r="W49" s="136">
        <v>224173</v>
      </c>
      <c r="X49" s="136">
        <v>435969</v>
      </c>
      <c r="Y49" s="136">
        <v>0</v>
      </c>
      <c r="Z49" s="136">
        <v>790</v>
      </c>
      <c r="AA49" s="136">
        <v>268436</v>
      </c>
      <c r="AB49" s="136">
        <v>0</v>
      </c>
      <c r="AC49" s="136">
        <v>0</v>
      </c>
      <c r="AD49" s="136">
        <v>39936</v>
      </c>
      <c r="AE49" s="136">
        <v>0</v>
      </c>
      <c r="AF49" s="136">
        <v>12616</v>
      </c>
      <c r="AG49" s="136">
        <v>45315</v>
      </c>
      <c r="AH49" s="136">
        <v>0</v>
      </c>
      <c r="AI49" s="136">
        <v>0</v>
      </c>
      <c r="AJ49" s="136">
        <v>7149</v>
      </c>
      <c r="AK49" s="136">
        <v>1423</v>
      </c>
      <c r="AL49" s="136">
        <v>0</v>
      </c>
      <c r="AM49" s="136">
        <v>30130</v>
      </c>
      <c r="AN49" s="136">
        <v>0</v>
      </c>
      <c r="AO49" s="136">
        <v>0</v>
      </c>
      <c r="AP49" s="136">
        <v>47</v>
      </c>
      <c r="AQ49" s="136">
        <v>0</v>
      </c>
      <c r="AR49" s="136">
        <v>0</v>
      </c>
      <c r="AS49" s="136">
        <v>142940</v>
      </c>
      <c r="AT49" s="136">
        <v>0</v>
      </c>
      <c r="AU49" s="136">
        <v>0</v>
      </c>
      <c r="AV49" s="136">
        <v>5218</v>
      </c>
      <c r="AW49" s="136">
        <v>0</v>
      </c>
      <c r="AX49" s="136">
        <v>0</v>
      </c>
      <c r="AY49" s="136">
        <v>0</v>
      </c>
      <c r="AZ49" s="136">
        <v>0</v>
      </c>
      <c r="BA49" s="136">
        <v>0</v>
      </c>
      <c r="BB49" s="136">
        <v>0</v>
      </c>
      <c r="BC49" s="136">
        <v>0</v>
      </c>
      <c r="BD49" s="136">
        <v>0</v>
      </c>
      <c r="BE49" s="136">
        <v>171655</v>
      </c>
      <c r="BF49" s="136">
        <v>0</v>
      </c>
      <c r="BG49" s="136">
        <v>206988</v>
      </c>
      <c r="BH49" s="136">
        <v>14978</v>
      </c>
      <c r="BI49" s="136">
        <v>0</v>
      </c>
      <c r="BJ49" s="136">
        <v>0</v>
      </c>
      <c r="BK49" s="136">
        <v>0</v>
      </c>
      <c r="BL49" s="136">
        <v>0</v>
      </c>
      <c r="BM49" s="136">
        <v>0</v>
      </c>
      <c r="BN49" s="136">
        <v>0</v>
      </c>
      <c r="BO49" s="136">
        <v>0</v>
      </c>
      <c r="BP49" s="136">
        <v>0</v>
      </c>
      <c r="BQ49" s="136">
        <v>0</v>
      </c>
      <c r="BR49" s="136">
        <v>0</v>
      </c>
      <c r="BS49" s="136">
        <v>0</v>
      </c>
      <c r="BT49" s="136">
        <v>0</v>
      </c>
      <c r="BU49" s="136">
        <v>0</v>
      </c>
      <c r="BV49" s="136">
        <v>21414</v>
      </c>
      <c r="BW49" s="136">
        <v>0</v>
      </c>
      <c r="BX49" s="136">
        <v>0</v>
      </c>
      <c r="BY49" s="136">
        <v>0</v>
      </c>
      <c r="BZ49" s="136">
        <v>0</v>
      </c>
      <c r="CA49" s="136">
        <v>0</v>
      </c>
      <c r="CB49" s="136">
        <v>0</v>
      </c>
      <c r="CC49" s="136">
        <v>0</v>
      </c>
      <c r="CD49" s="136">
        <v>0</v>
      </c>
      <c r="CE49" s="136">
        <v>0</v>
      </c>
      <c r="CF49" s="136">
        <v>0</v>
      </c>
      <c r="CG49" s="136">
        <v>0</v>
      </c>
      <c r="CH49" s="136">
        <v>0</v>
      </c>
      <c r="CI49" s="136">
        <v>0</v>
      </c>
      <c r="CJ49" s="136">
        <v>0</v>
      </c>
      <c r="CK49" s="136">
        <v>0</v>
      </c>
      <c r="CL49" s="136">
        <v>0</v>
      </c>
      <c r="CM49" s="136">
        <v>0</v>
      </c>
      <c r="CN49" s="136">
        <v>0</v>
      </c>
      <c r="CO49" s="136">
        <v>10845</v>
      </c>
      <c r="CP49" s="136">
        <v>0</v>
      </c>
      <c r="CQ49" s="136">
        <v>0</v>
      </c>
      <c r="CR49" s="136">
        <v>0</v>
      </c>
      <c r="CS49" s="136">
        <v>0</v>
      </c>
      <c r="CT49" s="136">
        <v>0</v>
      </c>
      <c r="CU49" s="136">
        <v>0</v>
      </c>
      <c r="CV49" s="136">
        <v>0</v>
      </c>
      <c r="CW49" s="136">
        <v>0</v>
      </c>
      <c r="CX49" s="136">
        <v>0</v>
      </c>
      <c r="CY49" s="136">
        <v>0</v>
      </c>
      <c r="CZ49" s="136">
        <v>0</v>
      </c>
      <c r="DA49" s="136"/>
      <c r="DB49" s="136"/>
      <c r="DC49" s="136"/>
      <c r="DD49" s="136"/>
      <c r="DE49" s="136"/>
      <c r="DF49" s="136"/>
      <c r="DG49" s="136">
        <v>1648687</v>
      </c>
      <c r="DH49" s="136">
        <v>97702</v>
      </c>
      <c r="DI49" s="136">
        <v>9715</v>
      </c>
      <c r="DJ49" s="136">
        <v>1866137</v>
      </c>
      <c r="DK49" s="136">
        <v>71229</v>
      </c>
      <c r="DL49" s="136">
        <v>2314</v>
      </c>
      <c r="DM49" s="136">
        <v>2055004</v>
      </c>
      <c r="DN49" s="136">
        <v>0</v>
      </c>
      <c r="DO49" s="136">
        <v>0</v>
      </c>
      <c r="DP49" s="136">
        <v>10539</v>
      </c>
      <c r="DQ49" s="136">
        <v>0</v>
      </c>
      <c r="DR49" s="136">
        <v>0</v>
      </c>
      <c r="DS49" s="136"/>
      <c r="DT49" s="136"/>
      <c r="DU49" s="136"/>
      <c r="DV49" s="136"/>
      <c r="DW49" s="136"/>
      <c r="DX49" s="136"/>
      <c r="DY49" s="136">
        <v>377399</v>
      </c>
      <c r="DZ49" s="136">
        <v>0</v>
      </c>
      <c r="EA49" s="136">
        <v>235951</v>
      </c>
      <c r="EB49" s="136">
        <v>0</v>
      </c>
      <c r="EC49" s="136">
        <v>0</v>
      </c>
      <c r="ED49" s="136">
        <v>0</v>
      </c>
      <c r="EE49" s="136">
        <v>122729</v>
      </c>
      <c r="EF49" s="136">
        <v>0</v>
      </c>
      <c r="EG49" s="136">
        <v>49608</v>
      </c>
      <c r="EH49" s="136">
        <v>0</v>
      </c>
      <c r="EI49" s="136">
        <v>0</v>
      </c>
      <c r="EJ49" s="136">
        <v>0</v>
      </c>
      <c r="EK49" s="136"/>
      <c r="EL49" s="136"/>
      <c r="EM49" s="136"/>
      <c r="EN49" s="136"/>
      <c r="EO49" s="136"/>
      <c r="EP49" s="136"/>
      <c r="EQ49" s="136">
        <v>0</v>
      </c>
      <c r="ER49" s="136">
        <v>0</v>
      </c>
      <c r="ES49" s="136">
        <v>0</v>
      </c>
      <c r="ET49" s="136">
        <v>0</v>
      </c>
      <c r="EU49" s="136">
        <v>0</v>
      </c>
      <c r="EV49" s="136">
        <v>0</v>
      </c>
      <c r="EW49" s="136"/>
      <c r="EX49" s="136"/>
      <c r="EY49" s="136"/>
      <c r="EZ49" s="136"/>
      <c r="FA49" s="136"/>
      <c r="FB49" s="136"/>
      <c r="FC49" s="136">
        <v>74037</v>
      </c>
      <c r="FD49" s="136">
        <v>0</v>
      </c>
      <c r="FE49" s="136">
        <v>0</v>
      </c>
      <c r="FF49" s="136">
        <v>0</v>
      </c>
      <c r="FG49" s="136">
        <v>0</v>
      </c>
      <c r="FH49" s="136">
        <v>0</v>
      </c>
      <c r="FI49" s="136"/>
      <c r="FJ49" s="136"/>
      <c r="FK49" s="136"/>
      <c r="FL49" s="136"/>
      <c r="FM49" s="136"/>
      <c r="FN49" s="136"/>
      <c r="FO49" s="136">
        <v>41361</v>
      </c>
      <c r="FP49" s="136">
        <v>0</v>
      </c>
      <c r="FQ49" s="136">
        <v>17515</v>
      </c>
      <c r="FR49" s="136">
        <v>0</v>
      </c>
      <c r="FS49" s="136">
        <v>0</v>
      </c>
      <c r="FT49" s="136">
        <v>0</v>
      </c>
      <c r="FU49" s="136">
        <v>5354</v>
      </c>
      <c r="FV49" s="136">
        <v>0</v>
      </c>
      <c r="FW49" s="136">
        <v>0</v>
      </c>
      <c r="FX49" s="136">
        <v>0</v>
      </c>
      <c r="FY49" s="136">
        <v>0</v>
      </c>
      <c r="FZ49" s="136">
        <v>0</v>
      </c>
      <c r="GA49" s="136">
        <v>0</v>
      </c>
      <c r="GB49" s="136">
        <v>0</v>
      </c>
      <c r="GC49" s="136">
        <v>0</v>
      </c>
      <c r="GD49" s="136">
        <v>0</v>
      </c>
      <c r="GE49" s="136">
        <v>0</v>
      </c>
      <c r="GF49" s="136">
        <v>0</v>
      </c>
      <c r="GG49" s="136">
        <v>0</v>
      </c>
      <c r="GH49" s="136">
        <v>0</v>
      </c>
      <c r="GI49" s="136">
        <v>0</v>
      </c>
      <c r="GJ49" s="136">
        <v>0</v>
      </c>
      <c r="GK49" s="136">
        <v>0</v>
      </c>
      <c r="GL49" s="136">
        <v>0</v>
      </c>
      <c r="GM49" s="136">
        <v>0</v>
      </c>
      <c r="GN49" s="136">
        <v>0</v>
      </c>
      <c r="GO49" s="136">
        <v>0</v>
      </c>
      <c r="GP49" s="136">
        <v>0</v>
      </c>
      <c r="GQ49" s="136">
        <v>0</v>
      </c>
      <c r="GR49" s="136">
        <v>0</v>
      </c>
      <c r="GS49" s="136">
        <v>82015937</v>
      </c>
      <c r="GT49" s="136">
        <v>8482463</v>
      </c>
      <c r="GU49" s="136">
        <v>212153744</v>
      </c>
      <c r="GV49" s="35" t="s">
        <v>598</v>
      </c>
      <c r="GW49" s="137">
        <v>7133131391</v>
      </c>
      <c r="GX49" s="35" t="s">
        <v>599</v>
      </c>
      <c r="GY49" s="136">
        <v>8389416</v>
      </c>
      <c r="GZ49" s="136">
        <v>-1915994</v>
      </c>
      <c r="HA49" s="136">
        <v>0</v>
      </c>
      <c r="HB49" s="136">
        <v>0</v>
      </c>
      <c r="HC49" s="136">
        <v>0</v>
      </c>
      <c r="HD49" s="136">
        <v>0</v>
      </c>
      <c r="HE49" s="136">
        <v>0</v>
      </c>
      <c r="HF49" s="136">
        <v>0</v>
      </c>
      <c r="HG49" s="136">
        <v>0</v>
      </c>
      <c r="HH49" s="136">
        <v>0</v>
      </c>
      <c r="HI49" s="35" t="s">
        <v>439</v>
      </c>
      <c r="HJ49" s="35" t="s">
        <v>439</v>
      </c>
      <c r="HK49" s="35" t="s">
        <v>439</v>
      </c>
      <c r="HL49"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5370993</v>
      </c>
      <c r="HM49"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98327</v>
      </c>
      <c r="HN49"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440876</v>
      </c>
      <c r="HO49"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2151984</v>
      </c>
      <c r="HP49"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72652</v>
      </c>
      <c r="HQ49"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37134</v>
      </c>
      <c r="HR49"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6473422</v>
      </c>
    </row>
    <row r="50" spans="1:226">
      <c r="A50" s="35" t="s">
        <v>831</v>
      </c>
      <c r="B50" s="37" t="s">
        <v>828</v>
      </c>
      <c r="C50" s="37" t="s">
        <v>653</v>
      </c>
      <c r="D50" s="37" t="s">
        <v>835</v>
      </c>
      <c r="E50" s="103">
        <v>110</v>
      </c>
      <c r="F50" s="136">
        <v>0</v>
      </c>
      <c r="G50" s="136">
        <v>0</v>
      </c>
      <c r="H50" s="136">
        <v>0</v>
      </c>
      <c r="I50" s="136">
        <v>0</v>
      </c>
      <c r="J50" s="136">
        <v>0</v>
      </c>
      <c r="K50" s="136">
        <v>0</v>
      </c>
      <c r="L50" s="136">
        <v>0</v>
      </c>
      <c r="M50" s="136">
        <v>0</v>
      </c>
      <c r="N50" s="136">
        <v>0</v>
      </c>
      <c r="O50" s="136">
        <v>0</v>
      </c>
      <c r="P50" s="136">
        <v>0</v>
      </c>
      <c r="Q50" s="136">
        <v>0</v>
      </c>
      <c r="R50" s="136">
        <v>0</v>
      </c>
      <c r="S50" s="136">
        <v>0</v>
      </c>
      <c r="T50" s="136">
        <v>0</v>
      </c>
      <c r="U50" s="136">
        <v>0</v>
      </c>
      <c r="V50" s="136">
        <v>0</v>
      </c>
      <c r="W50" s="136">
        <v>0</v>
      </c>
      <c r="X50" s="136">
        <v>0</v>
      </c>
      <c r="Y50" s="136">
        <v>0</v>
      </c>
      <c r="Z50" s="136">
        <v>0</v>
      </c>
      <c r="AA50" s="136">
        <v>0</v>
      </c>
      <c r="AB50" s="136">
        <v>0</v>
      </c>
      <c r="AC50" s="136">
        <v>0</v>
      </c>
      <c r="AD50" s="136">
        <v>0</v>
      </c>
      <c r="AE50" s="136">
        <v>0</v>
      </c>
      <c r="AF50" s="136">
        <v>0</v>
      </c>
      <c r="AG50" s="136">
        <v>0</v>
      </c>
      <c r="AH50" s="136">
        <v>0</v>
      </c>
      <c r="AI50" s="136">
        <v>0</v>
      </c>
      <c r="AJ50" s="136">
        <v>0</v>
      </c>
      <c r="AK50" s="136">
        <v>0</v>
      </c>
      <c r="AL50" s="136">
        <v>0</v>
      </c>
      <c r="AM50" s="136">
        <v>0</v>
      </c>
      <c r="AN50" s="136">
        <v>0</v>
      </c>
      <c r="AO50" s="136">
        <v>0</v>
      </c>
      <c r="AP50" s="136">
        <v>0</v>
      </c>
      <c r="AQ50" s="136">
        <v>0</v>
      </c>
      <c r="AR50" s="136">
        <v>0</v>
      </c>
      <c r="AS50" s="136">
        <v>0</v>
      </c>
      <c r="AT50" s="136">
        <v>0</v>
      </c>
      <c r="AU50" s="136">
        <v>0</v>
      </c>
      <c r="AV50" s="136">
        <v>0</v>
      </c>
      <c r="AW50" s="136">
        <v>0</v>
      </c>
      <c r="AX50" s="136">
        <v>0</v>
      </c>
      <c r="AY50" s="136">
        <v>0</v>
      </c>
      <c r="AZ50" s="136">
        <v>0</v>
      </c>
      <c r="BA50" s="136">
        <v>0</v>
      </c>
      <c r="BB50" s="136">
        <v>0</v>
      </c>
      <c r="BC50" s="136">
        <v>0</v>
      </c>
      <c r="BD50" s="136">
        <v>0</v>
      </c>
      <c r="BE50" s="136">
        <v>0</v>
      </c>
      <c r="BF50" s="136">
        <v>0</v>
      </c>
      <c r="BG50" s="136">
        <v>0</v>
      </c>
      <c r="BH50" s="136">
        <v>0</v>
      </c>
      <c r="BI50" s="136">
        <v>0</v>
      </c>
      <c r="BJ50" s="136">
        <v>0</v>
      </c>
      <c r="BK50" s="136">
        <v>0</v>
      </c>
      <c r="BL50" s="136">
        <v>0</v>
      </c>
      <c r="BM50" s="136">
        <v>0</v>
      </c>
      <c r="BN50" s="136">
        <v>0</v>
      </c>
      <c r="BO50" s="136">
        <v>0</v>
      </c>
      <c r="BP50" s="136">
        <v>0</v>
      </c>
      <c r="BQ50" s="136">
        <v>0</v>
      </c>
      <c r="BR50" s="136">
        <v>0</v>
      </c>
      <c r="BS50" s="136">
        <v>0</v>
      </c>
      <c r="BT50" s="136">
        <v>0</v>
      </c>
      <c r="BU50" s="136">
        <v>0</v>
      </c>
      <c r="BV50" s="136">
        <v>0</v>
      </c>
      <c r="BW50" s="136">
        <v>0</v>
      </c>
      <c r="BX50" s="136">
        <v>0</v>
      </c>
      <c r="BY50" s="136">
        <v>0</v>
      </c>
      <c r="BZ50" s="136">
        <v>0</v>
      </c>
      <c r="CA50" s="136">
        <v>0</v>
      </c>
      <c r="CB50" s="136">
        <v>0</v>
      </c>
      <c r="CC50" s="136">
        <v>0</v>
      </c>
      <c r="CD50" s="136">
        <v>0</v>
      </c>
      <c r="CE50" s="136">
        <v>0</v>
      </c>
      <c r="CF50" s="136">
        <v>0</v>
      </c>
      <c r="CG50" s="136">
        <v>0</v>
      </c>
      <c r="CH50" s="136">
        <v>0</v>
      </c>
      <c r="CI50" s="136">
        <v>0</v>
      </c>
      <c r="CJ50" s="136">
        <v>0</v>
      </c>
      <c r="CK50" s="136">
        <v>0</v>
      </c>
      <c r="CL50" s="136">
        <v>0</v>
      </c>
      <c r="CM50" s="136">
        <v>0</v>
      </c>
      <c r="CN50" s="136">
        <v>0</v>
      </c>
      <c r="CO50" s="136">
        <v>0</v>
      </c>
      <c r="CP50" s="136">
        <v>0</v>
      </c>
      <c r="CQ50" s="136">
        <v>0</v>
      </c>
      <c r="CR50" s="136">
        <v>0</v>
      </c>
      <c r="CS50" s="136">
        <v>0</v>
      </c>
      <c r="CT50" s="136">
        <v>0</v>
      </c>
      <c r="CU50" s="136">
        <v>0</v>
      </c>
      <c r="CV50" s="136">
        <v>0</v>
      </c>
      <c r="CW50" s="136">
        <v>0</v>
      </c>
      <c r="CX50" s="136">
        <v>0</v>
      </c>
      <c r="CY50" s="136">
        <v>0</v>
      </c>
      <c r="CZ50" s="136">
        <v>0</v>
      </c>
      <c r="DA50" s="136"/>
      <c r="DB50" s="136"/>
      <c r="DC50" s="136"/>
      <c r="DD50" s="136"/>
      <c r="DE50" s="136"/>
      <c r="DF50" s="136"/>
      <c r="DG50" s="136">
        <v>0</v>
      </c>
      <c r="DH50" s="136">
        <v>0</v>
      </c>
      <c r="DI50" s="136">
        <v>0</v>
      </c>
      <c r="DJ50" s="136">
        <v>0</v>
      </c>
      <c r="DK50" s="136">
        <v>0</v>
      </c>
      <c r="DL50" s="136">
        <v>0</v>
      </c>
      <c r="DM50" s="136">
        <v>0</v>
      </c>
      <c r="DN50" s="136">
        <v>0</v>
      </c>
      <c r="DO50" s="136">
        <v>0</v>
      </c>
      <c r="DP50" s="136">
        <v>0</v>
      </c>
      <c r="DQ50" s="136">
        <v>0</v>
      </c>
      <c r="DR50" s="136">
        <v>0</v>
      </c>
      <c r="DS50" s="136"/>
      <c r="DT50" s="136"/>
      <c r="DU50" s="136"/>
      <c r="DV50" s="136"/>
      <c r="DW50" s="136"/>
      <c r="DX50" s="136"/>
      <c r="DY50" s="136">
        <v>0</v>
      </c>
      <c r="DZ50" s="136">
        <v>0</v>
      </c>
      <c r="EA50" s="136">
        <v>0</v>
      </c>
      <c r="EB50" s="136">
        <v>0</v>
      </c>
      <c r="EC50" s="136">
        <v>0</v>
      </c>
      <c r="ED50" s="136">
        <v>0</v>
      </c>
      <c r="EE50" s="136">
        <v>0</v>
      </c>
      <c r="EF50" s="136">
        <v>0</v>
      </c>
      <c r="EG50" s="136">
        <v>0</v>
      </c>
      <c r="EH50" s="136">
        <v>0</v>
      </c>
      <c r="EI50" s="136">
        <v>0</v>
      </c>
      <c r="EJ50" s="136">
        <v>0</v>
      </c>
      <c r="EK50" s="136"/>
      <c r="EL50" s="136"/>
      <c r="EM50" s="136"/>
      <c r="EN50" s="136"/>
      <c r="EO50" s="136"/>
      <c r="EP50" s="136"/>
      <c r="EQ50" s="136">
        <v>0</v>
      </c>
      <c r="ER50" s="136">
        <v>0</v>
      </c>
      <c r="ES50" s="136">
        <v>0</v>
      </c>
      <c r="ET50" s="136">
        <v>0</v>
      </c>
      <c r="EU50" s="136">
        <v>0</v>
      </c>
      <c r="EV50" s="136">
        <v>0</v>
      </c>
      <c r="EW50" s="136"/>
      <c r="EX50" s="136"/>
      <c r="EY50" s="136"/>
      <c r="EZ50" s="136"/>
      <c r="FA50" s="136"/>
      <c r="FB50" s="136"/>
      <c r="FC50" s="136">
        <v>0</v>
      </c>
      <c r="FD50" s="136">
        <v>0</v>
      </c>
      <c r="FE50" s="136">
        <v>0</v>
      </c>
      <c r="FF50" s="136">
        <v>0</v>
      </c>
      <c r="FG50" s="136">
        <v>0</v>
      </c>
      <c r="FH50" s="136">
        <v>0</v>
      </c>
      <c r="FI50" s="136"/>
      <c r="FJ50" s="136"/>
      <c r="FK50" s="136"/>
      <c r="FL50" s="136"/>
      <c r="FM50" s="136"/>
      <c r="FN50" s="136"/>
      <c r="FO50" s="136">
        <v>0</v>
      </c>
      <c r="FP50" s="136">
        <v>0</v>
      </c>
      <c r="FQ50" s="136">
        <v>0</v>
      </c>
      <c r="FR50" s="136">
        <v>0</v>
      </c>
      <c r="FS50" s="136">
        <v>0</v>
      </c>
      <c r="FT50" s="136">
        <v>0</v>
      </c>
      <c r="FU50" s="136">
        <v>0</v>
      </c>
      <c r="FV50" s="136">
        <v>0</v>
      </c>
      <c r="FW50" s="136">
        <v>0</v>
      </c>
      <c r="FX50" s="136">
        <v>0</v>
      </c>
      <c r="FY50" s="136">
        <v>0</v>
      </c>
      <c r="FZ50" s="136">
        <v>0</v>
      </c>
      <c r="GA50" s="136">
        <v>0</v>
      </c>
      <c r="GB50" s="136">
        <v>0</v>
      </c>
      <c r="GC50" s="136">
        <v>0</v>
      </c>
      <c r="GD50" s="136">
        <v>0</v>
      </c>
      <c r="GE50" s="136">
        <v>0</v>
      </c>
      <c r="GF50" s="136">
        <v>0</v>
      </c>
      <c r="GG50" s="136">
        <v>0</v>
      </c>
      <c r="GH50" s="136">
        <v>0</v>
      </c>
      <c r="GI50" s="136">
        <v>0</v>
      </c>
      <c r="GJ50" s="136">
        <v>0</v>
      </c>
      <c r="GK50" s="136">
        <v>0</v>
      </c>
      <c r="GL50" s="136">
        <v>0</v>
      </c>
      <c r="GM50" s="136">
        <v>0</v>
      </c>
      <c r="GN50" s="136">
        <v>0</v>
      </c>
      <c r="GO50" s="136">
        <v>0</v>
      </c>
      <c r="GP50" s="136">
        <v>0</v>
      </c>
      <c r="GQ50" s="136">
        <v>0</v>
      </c>
      <c r="GR50" s="136">
        <v>0</v>
      </c>
      <c r="GS50" s="136">
        <v>1717609</v>
      </c>
      <c r="GT50" s="136">
        <v>0</v>
      </c>
      <c r="GU50" s="136">
        <v>13481232</v>
      </c>
      <c r="GV50" s="35" t="s">
        <v>886</v>
      </c>
      <c r="GW50" s="137" t="s">
        <v>887</v>
      </c>
      <c r="GX50" s="35" t="s">
        <v>888</v>
      </c>
      <c r="GY50" s="141">
        <v>0</v>
      </c>
      <c r="GZ50" s="141">
        <v>0</v>
      </c>
      <c r="HA50" s="136">
        <v>0</v>
      </c>
      <c r="HB50" s="136">
        <v>0</v>
      </c>
      <c r="HC50" s="136">
        <v>0</v>
      </c>
      <c r="HD50" s="136">
        <v>0</v>
      </c>
      <c r="HE50" s="136">
        <v>0</v>
      </c>
      <c r="HF50" s="136">
        <v>0</v>
      </c>
      <c r="HG50" s="136">
        <v>0</v>
      </c>
      <c r="HH50" s="136">
        <v>0</v>
      </c>
      <c r="HI50" s="35">
        <v>0</v>
      </c>
      <c r="HJ50" s="35">
        <v>0</v>
      </c>
      <c r="HK50" s="35">
        <v>0</v>
      </c>
      <c r="HL50"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50"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50"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50"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50"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50"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50"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51" spans="1:226">
      <c r="A51" s="35" t="s">
        <v>71</v>
      </c>
      <c r="B51" s="37" t="s">
        <v>62</v>
      </c>
      <c r="C51" s="37">
        <v>553</v>
      </c>
      <c r="D51" s="37" t="s">
        <v>835</v>
      </c>
      <c r="E51" s="103">
        <v>203634</v>
      </c>
      <c r="F51" s="136">
        <v>0</v>
      </c>
      <c r="G51" s="136">
        <v>0</v>
      </c>
      <c r="H51" s="136">
        <v>0</v>
      </c>
      <c r="I51" s="136">
        <v>0</v>
      </c>
      <c r="J51" s="136">
        <v>0</v>
      </c>
      <c r="K51" s="136">
        <v>0</v>
      </c>
      <c r="L51" s="136">
        <v>0</v>
      </c>
      <c r="M51" s="136">
        <v>0</v>
      </c>
      <c r="N51" s="136">
        <v>0</v>
      </c>
      <c r="O51" s="136">
        <v>0</v>
      </c>
      <c r="P51" s="136">
        <v>0</v>
      </c>
      <c r="Q51" s="136">
        <v>0</v>
      </c>
      <c r="R51" s="136">
        <v>0</v>
      </c>
      <c r="S51" s="136">
        <v>0</v>
      </c>
      <c r="T51" s="136">
        <v>0</v>
      </c>
      <c r="U51" s="136">
        <v>0</v>
      </c>
      <c r="V51" s="136">
        <v>0</v>
      </c>
      <c r="W51" s="136">
        <v>0</v>
      </c>
      <c r="X51" s="136">
        <v>0</v>
      </c>
      <c r="Y51" s="136">
        <v>0</v>
      </c>
      <c r="Z51" s="136">
        <v>0</v>
      </c>
      <c r="AA51" s="136">
        <v>0</v>
      </c>
      <c r="AB51" s="136">
        <v>0</v>
      </c>
      <c r="AC51" s="136">
        <v>0</v>
      </c>
      <c r="AD51" s="136">
        <v>0</v>
      </c>
      <c r="AE51" s="136">
        <v>0</v>
      </c>
      <c r="AF51" s="136">
        <v>0</v>
      </c>
      <c r="AG51" s="136">
        <v>0</v>
      </c>
      <c r="AH51" s="136">
        <v>0</v>
      </c>
      <c r="AI51" s="136">
        <v>0</v>
      </c>
      <c r="AJ51" s="136">
        <v>0</v>
      </c>
      <c r="AK51" s="136">
        <v>0</v>
      </c>
      <c r="AL51" s="136">
        <v>0</v>
      </c>
      <c r="AM51" s="136">
        <v>0</v>
      </c>
      <c r="AN51" s="136">
        <v>0</v>
      </c>
      <c r="AO51" s="136">
        <v>0</v>
      </c>
      <c r="AP51" s="136">
        <v>0</v>
      </c>
      <c r="AQ51" s="136">
        <v>0</v>
      </c>
      <c r="AR51" s="136">
        <v>0</v>
      </c>
      <c r="AS51" s="136">
        <v>0</v>
      </c>
      <c r="AT51" s="136">
        <v>0</v>
      </c>
      <c r="AU51" s="136">
        <v>0</v>
      </c>
      <c r="AV51" s="136">
        <v>0</v>
      </c>
      <c r="AW51" s="136">
        <v>0</v>
      </c>
      <c r="AX51" s="136">
        <v>0</v>
      </c>
      <c r="AY51" s="136">
        <v>0</v>
      </c>
      <c r="AZ51" s="136">
        <v>0</v>
      </c>
      <c r="BA51" s="136">
        <v>0</v>
      </c>
      <c r="BB51" s="136">
        <v>0</v>
      </c>
      <c r="BC51" s="136">
        <v>0</v>
      </c>
      <c r="BD51" s="136">
        <v>0</v>
      </c>
      <c r="BE51" s="136">
        <v>0</v>
      </c>
      <c r="BF51" s="136">
        <v>0</v>
      </c>
      <c r="BG51" s="136">
        <v>0</v>
      </c>
      <c r="BH51" s="136">
        <v>0</v>
      </c>
      <c r="BI51" s="136">
        <v>0</v>
      </c>
      <c r="BJ51" s="136">
        <v>0</v>
      </c>
      <c r="BK51" s="136">
        <v>0</v>
      </c>
      <c r="BL51" s="136">
        <v>0</v>
      </c>
      <c r="BM51" s="136">
        <v>0</v>
      </c>
      <c r="BN51" s="136">
        <v>0</v>
      </c>
      <c r="BO51" s="136">
        <v>0</v>
      </c>
      <c r="BP51" s="136">
        <v>0</v>
      </c>
      <c r="BQ51" s="136">
        <v>0</v>
      </c>
      <c r="BR51" s="136">
        <v>0</v>
      </c>
      <c r="BS51" s="136">
        <v>0</v>
      </c>
      <c r="BT51" s="136">
        <v>0</v>
      </c>
      <c r="BU51" s="136">
        <v>0</v>
      </c>
      <c r="BV51" s="136">
        <v>0</v>
      </c>
      <c r="BW51" s="136">
        <v>0</v>
      </c>
      <c r="BX51" s="136">
        <v>0</v>
      </c>
      <c r="BY51" s="136">
        <v>0</v>
      </c>
      <c r="BZ51" s="136">
        <v>0</v>
      </c>
      <c r="CA51" s="136">
        <v>0</v>
      </c>
      <c r="CB51" s="136">
        <v>0</v>
      </c>
      <c r="CC51" s="136">
        <v>0</v>
      </c>
      <c r="CD51" s="136">
        <v>0</v>
      </c>
      <c r="CE51" s="136">
        <v>0</v>
      </c>
      <c r="CF51" s="136">
        <v>0</v>
      </c>
      <c r="CG51" s="136">
        <v>0</v>
      </c>
      <c r="CH51" s="136">
        <v>0</v>
      </c>
      <c r="CI51" s="136">
        <v>0</v>
      </c>
      <c r="CJ51" s="136">
        <v>0</v>
      </c>
      <c r="CK51" s="136">
        <v>0</v>
      </c>
      <c r="CL51" s="136">
        <v>0</v>
      </c>
      <c r="CM51" s="136">
        <v>0</v>
      </c>
      <c r="CN51" s="136">
        <v>0</v>
      </c>
      <c r="CO51" s="136">
        <v>0</v>
      </c>
      <c r="CP51" s="136">
        <v>0</v>
      </c>
      <c r="CQ51" s="136">
        <v>0</v>
      </c>
      <c r="CR51" s="136">
        <v>0</v>
      </c>
      <c r="CS51" s="136">
        <v>0</v>
      </c>
      <c r="CT51" s="136">
        <v>0</v>
      </c>
      <c r="CU51" s="136">
        <v>0</v>
      </c>
      <c r="CV51" s="136">
        <v>0</v>
      </c>
      <c r="CW51" s="136">
        <v>0</v>
      </c>
      <c r="CX51" s="136">
        <v>0</v>
      </c>
      <c r="CY51" s="136">
        <v>0</v>
      </c>
      <c r="CZ51" s="136">
        <v>0</v>
      </c>
      <c r="DA51" s="136"/>
      <c r="DB51" s="136"/>
      <c r="DC51" s="136"/>
      <c r="DD51" s="136"/>
      <c r="DE51" s="136"/>
      <c r="DF51" s="136"/>
      <c r="DG51" s="136">
        <v>0</v>
      </c>
      <c r="DH51" s="136">
        <v>0</v>
      </c>
      <c r="DI51" s="136">
        <v>0</v>
      </c>
      <c r="DJ51" s="136">
        <v>0</v>
      </c>
      <c r="DK51" s="136">
        <v>0</v>
      </c>
      <c r="DL51" s="136">
        <v>0</v>
      </c>
      <c r="DM51" s="136">
        <v>0</v>
      </c>
      <c r="DN51" s="136">
        <v>0</v>
      </c>
      <c r="DO51" s="136">
        <v>0</v>
      </c>
      <c r="DP51" s="136">
        <v>0</v>
      </c>
      <c r="DQ51" s="136">
        <v>0</v>
      </c>
      <c r="DR51" s="136">
        <v>0</v>
      </c>
      <c r="DS51" s="136"/>
      <c r="DT51" s="136"/>
      <c r="DU51" s="136"/>
      <c r="DV51" s="136"/>
      <c r="DW51" s="136"/>
      <c r="DX51" s="136"/>
      <c r="DY51" s="136">
        <v>0</v>
      </c>
      <c r="DZ51" s="136">
        <v>0</v>
      </c>
      <c r="EA51" s="136">
        <v>0</v>
      </c>
      <c r="EB51" s="136">
        <v>0</v>
      </c>
      <c r="EC51" s="136">
        <v>0</v>
      </c>
      <c r="ED51" s="136">
        <v>0</v>
      </c>
      <c r="EE51" s="136">
        <v>0</v>
      </c>
      <c r="EF51" s="136">
        <v>0</v>
      </c>
      <c r="EG51" s="136">
        <v>0</v>
      </c>
      <c r="EH51" s="136">
        <v>0</v>
      </c>
      <c r="EI51" s="136">
        <v>0</v>
      </c>
      <c r="EJ51" s="136">
        <v>0</v>
      </c>
      <c r="EK51" s="136"/>
      <c r="EL51" s="136"/>
      <c r="EM51" s="136"/>
      <c r="EN51" s="136"/>
      <c r="EO51" s="136"/>
      <c r="EP51" s="136"/>
      <c r="EQ51" s="136">
        <v>0</v>
      </c>
      <c r="ER51" s="136">
        <v>0</v>
      </c>
      <c r="ES51" s="136">
        <v>0</v>
      </c>
      <c r="ET51" s="136">
        <v>0</v>
      </c>
      <c r="EU51" s="136">
        <v>0</v>
      </c>
      <c r="EV51" s="136">
        <v>0</v>
      </c>
      <c r="EW51" s="136"/>
      <c r="EX51" s="136"/>
      <c r="EY51" s="136"/>
      <c r="EZ51" s="136"/>
      <c r="FA51" s="136"/>
      <c r="FB51" s="136"/>
      <c r="FC51" s="136">
        <v>0</v>
      </c>
      <c r="FD51" s="136">
        <v>0</v>
      </c>
      <c r="FE51" s="136">
        <v>0</v>
      </c>
      <c r="FF51" s="136">
        <v>0</v>
      </c>
      <c r="FG51" s="136">
        <v>0</v>
      </c>
      <c r="FH51" s="136">
        <v>0</v>
      </c>
      <c r="FI51" s="136"/>
      <c r="FJ51" s="136"/>
      <c r="FK51" s="136"/>
      <c r="FL51" s="136"/>
      <c r="FM51" s="136"/>
      <c r="FN51" s="136"/>
      <c r="FO51" s="136">
        <v>0</v>
      </c>
      <c r="FP51" s="136">
        <v>0</v>
      </c>
      <c r="FQ51" s="136">
        <v>0</v>
      </c>
      <c r="FR51" s="136">
        <v>0</v>
      </c>
      <c r="FS51" s="136">
        <v>0</v>
      </c>
      <c r="FT51" s="136">
        <v>0</v>
      </c>
      <c r="FU51" s="136">
        <v>0</v>
      </c>
      <c r="FV51" s="136">
        <v>0</v>
      </c>
      <c r="FW51" s="136">
        <v>0</v>
      </c>
      <c r="FX51" s="136">
        <v>0</v>
      </c>
      <c r="FY51" s="136">
        <v>0</v>
      </c>
      <c r="FZ51" s="136">
        <v>0</v>
      </c>
      <c r="GA51" s="136">
        <v>0</v>
      </c>
      <c r="GB51" s="136">
        <v>0</v>
      </c>
      <c r="GC51" s="136">
        <v>0</v>
      </c>
      <c r="GD51" s="136">
        <v>0</v>
      </c>
      <c r="GE51" s="136">
        <v>0</v>
      </c>
      <c r="GF51" s="136">
        <v>0</v>
      </c>
      <c r="GG51" s="136">
        <v>0</v>
      </c>
      <c r="GH51" s="136">
        <v>0</v>
      </c>
      <c r="GI51" s="136">
        <v>0</v>
      </c>
      <c r="GJ51" s="136">
        <v>0</v>
      </c>
      <c r="GK51" s="136">
        <v>0</v>
      </c>
      <c r="GL51" s="136">
        <v>0</v>
      </c>
      <c r="GM51" s="136">
        <v>0</v>
      </c>
      <c r="GN51" s="136">
        <v>0</v>
      </c>
      <c r="GO51" s="136">
        <v>0</v>
      </c>
      <c r="GP51" s="136">
        <v>0</v>
      </c>
      <c r="GQ51" s="136">
        <v>0</v>
      </c>
      <c r="GR51" s="136">
        <v>0</v>
      </c>
      <c r="GS51" s="136">
        <v>8143695</v>
      </c>
      <c r="GT51" s="136">
        <v>0</v>
      </c>
      <c r="GU51" s="136">
        <v>11888552</v>
      </c>
      <c r="GV51" s="35" t="s">
        <v>79</v>
      </c>
      <c r="GW51" s="137">
        <v>9563644058</v>
      </c>
      <c r="GX51" s="35" t="s">
        <v>80</v>
      </c>
      <c r="GY51" s="136">
        <v>0</v>
      </c>
      <c r="GZ51" s="136" t="s">
        <v>439</v>
      </c>
      <c r="HA51" s="136" t="s">
        <v>439</v>
      </c>
      <c r="HB51" s="136" t="s">
        <v>439</v>
      </c>
      <c r="HC51" s="136" t="s">
        <v>439</v>
      </c>
      <c r="HD51" s="136" t="s">
        <v>439</v>
      </c>
      <c r="HE51" s="136" t="s">
        <v>439</v>
      </c>
      <c r="HF51" s="136" t="s">
        <v>439</v>
      </c>
      <c r="HG51" s="136" t="s">
        <v>439</v>
      </c>
      <c r="HH51" s="136" t="s">
        <v>439</v>
      </c>
      <c r="HI51" s="35" t="s">
        <v>439</v>
      </c>
      <c r="HJ51" s="35" t="s">
        <v>439</v>
      </c>
      <c r="HK51" s="35" t="s">
        <v>439</v>
      </c>
      <c r="HL51"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51"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51"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51"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51"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51"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51"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52" spans="1:226">
      <c r="A52" s="35" t="s">
        <v>66</v>
      </c>
      <c r="B52" s="37" t="s">
        <v>62</v>
      </c>
      <c r="C52" s="37">
        <v>520</v>
      </c>
      <c r="D52" s="37" t="s">
        <v>835</v>
      </c>
      <c r="E52" s="103">
        <v>9225</v>
      </c>
      <c r="F52" s="136">
        <v>5994</v>
      </c>
      <c r="G52" s="136">
        <v>0</v>
      </c>
      <c r="H52" s="136">
        <v>0</v>
      </c>
      <c r="I52" s="136">
        <v>0</v>
      </c>
      <c r="J52" s="136">
        <v>95852</v>
      </c>
      <c r="K52" s="136">
        <v>0</v>
      </c>
      <c r="L52" s="136">
        <v>0</v>
      </c>
      <c r="M52" s="136">
        <v>95852</v>
      </c>
      <c r="N52" s="136">
        <v>0</v>
      </c>
      <c r="O52" s="136">
        <v>0</v>
      </c>
      <c r="P52" s="136">
        <v>0</v>
      </c>
      <c r="Q52" s="136">
        <v>0</v>
      </c>
      <c r="R52" s="136">
        <v>0</v>
      </c>
      <c r="S52" s="136">
        <v>0</v>
      </c>
      <c r="T52" s="136">
        <v>0</v>
      </c>
      <c r="U52" s="136">
        <v>0</v>
      </c>
      <c r="V52" s="136">
        <v>0</v>
      </c>
      <c r="W52" s="136">
        <v>0</v>
      </c>
      <c r="X52" s="136">
        <v>0</v>
      </c>
      <c r="Y52" s="136">
        <v>0</v>
      </c>
      <c r="Z52" s="136">
        <v>0</v>
      </c>
      <c r="AA52" s="136">
        <v>0</v>
      </c>
      <c r="AB52" s="136">
        <v>0</v>
      </c>
      <c r="AC52" s="136">
        <v>0</v>
      </c>
      <c r="AD52" s="136">
        <v>0</v>
      </c>
      <c r="AE52" s="136">
        <v>0</v>
      </c>
      <c r="AF52" s="136">
        <v>0</v>
      </c>
      <c r="AG52" s="136">
        <v>0</v>
      </c>
      <c r="AH52" s="136">
        <v>0</v>
      </c>
      <c r="AI52" s="136">
        <v>0</v>
      </c>
      <c r="AJ52" s="136">
        <v>0</v>
      </c>
      <c r="AK52" s="136">
        <v>0</v>
      </c>
      <c r="AL52" s="136">
        <v>0</v>
      </c>
      <c r="AM52" s="136">
        <v>0</v>
      </c>
      <c r="AN52" s="136">
        <v>0</v>
      </c>
      <c r="AO52" s="136">
        <v>0</v>
      </c>
      <c r="AP52" s="136">
        <v>0</v>
      </c>
      <c r="AQ52" s="136">
        <v>0</v>
      </c>
      <c r="AR52" s="136">
        <v>0</v>
      </c>
      <c r="AS52" s="136">
        <v>0</v>
      </c>
      <c r="AT52" s="136">
        <v>0</v>
      </c>
      <c r="AU52" s="136">
        <v>0</v>
      </c>
      <c r="AV52" s="136">
        <v>0</v>
      </c>
      <c r="AW52" s="136">
        <v>0</v>
      </c>
      <c r="AX52" s="136">
        <v>0</v>
      </c>
      <c r="AY52" s="136">
        <v>0</v>
      </c>
      <c r="AZ52" s="136">
        <v>0</v>
      </c>
      <c r="BA52" s="136">
        <v>0</v>
      </c>
      <c r="BB52" s="136">
        <v>0</v>
      </c>
      <c r="BC52" s="136">
        <v>0</v>
      </c>
      <c r="BD52" s="136">
        <v>0</v>
      </c>
      <c r="BE52" s="136">
        <v>0</v>
      </c>
      <c r="BF52" s="136">
        <v>0</v>
      </c>
      <c r="BG52" s="136">
        <v>0</v>
      </c>
      <c r="BH52" s="136">
        <v>0</v>
      </c>
      <c r="BI52" s="136">
        <v>0</v>
      </c>
      <c r="BJ52" s="136">
        <v>0</v>
      </c>
      <c r="BK52" s="136">
        <v>0</v>
      </c>
      <c r="BL52" s="136">
        <v>0</v>
      </c>
      <c r="BM52" s="136">
        <v>0</v>
      </c>
      <c r="BN52" s="136">
        <v>0</v>
      </c>
      <c r="BO52" s="136">
        <v>0</v>
      </c>
      <c r="BP52" s="136">
        <v>0</v>
      </c>
      <c r="BQ52" s="136">
        <v>0</v>
      </c>
      <c r="BR52" s="136">
        <v>0</v>
      </c>
      <c r="BS52" s="136">
        <v>0</v>
      </c>
      <c r="BT52" s="136">
        <v>0</v>
      </c>
      <c r="BU52" s="136">
        <v>0</v>
      </c>
      <c r="BV52" s="136">
        <v>0</v>
      </c>
      <c r="BW52" s="136">
        <v>0</v>
      </c>
      <c r="BX52" s="136">
        <v>0</v>
      </c>
      <c r="BY52" s="136">
        <v>0</v>
      </c>
      <c r="BZ52" s="136">
        <v>0</v>
      </c>
      <c r="CA52" s="136">
        <v>0</v>
      </c>
      <c r="CB52" s="136">
        <v>0</v>
      </c>
      <c r="CC52" s="136">
        <v>0</v>
      </c>
      <c r="CD52" s="136">
        <v>0</v>
      </c>
      <c r="CE52" s="136">
        <v>0</v>
      </c>
      <c r="CF52" s="136">
        <v>0</v>
      </c>
      <c r="CG52" s="136">
        <v>0</v>
      </c>
      <c r="CH52" s="136">
        <v>0</v>
      </c>
      <c r="CI52" s="136">
        <v>0</v>
      </c>
      <c r="CJ52" s="136">
        <v>0</v>
      </c>
      <c r="CK52" s="136">
        <v>0</v>
      </c>
      <c r="CL52" s="136">
        <v>0</v>
      </c>
      <c r="CM52" s="136">
        <v>0</v>
      </c>
      <c r="CN52" s="136">
        <v>0</v>
      </c>
      <c r="CO52" s="136">
        <v>0</v>
      </c>
      <c r="CP52" s="136">
        <v>0</v>
      </c>
      <c r="CQ52" s="136">
        <v>0</v>
      </c>
      <c r="CR52" s="136">
        <v>0</v>
      </c>
      <c r="CS52" s="136">
        <v>0</v>
      </c>
      <c r="CT52" s="136">
        <v>0</v>
      </c>
      <c r="CU52" s="136">
        <v>0</v>
      </c>
      <c r="CV52" s="136">
        <v>0</v>
      </c>
      <c r="CW52" s="136">
        <v>95852</v>
      </c>
      <c r="CX52" s="136">
        <v>0</v>
      </c>
      <c r="CY52" s="136">
        <v>0</v>
      </c>
      <c r="CZ52" s="136">
        <v>0</v>
      </c>
      <c r="DA52" s="136"/>
      <c r="DB52" s="136"/>
      <c r="DC52" s="136"/>
      <c r="DD52" s="136"/>
      <c r="DE52" s="136"/>
      <c r="DF52" s="136"/>
      <c r="DG52" s="136">
        <v>0</v>
      </c>
      <c r="DH52" s="136">
        <v>0</v>
      </c>
      <c r="DI52" s="136">
        <v>0</v>
      </c>
      <c r="DJ52" s="136">
        <v>0</v>
      </c>
      <c r="DK52" s="136">
        <v>0</v>
      </c>
      <c r="DL52" s="136">
        <v>0</v>
      </c>
      <c r="DM52" s="136">
        <v>0</v>
      </c>
      <c r="DN52" s="136">
        <v>0</v>
      </c>
      <c r="DO52" s="136">
        <v>0</v>
      </c>
      <c r="DP52" s="136">
        <v>0</v>
      </c>
      <c r="DQ52" s="136">
        <v>0</v>
      </c>
      <c r="DR52" s="136">
        <v>0</v>
      </c>
      <c r="DS52" s="136"/>
      <c r="DT52" s="136"/>
      <c r="DU52" s="136"/>
      <c r="DV52" s="136"/>
      <c r="DW52" s="136"/>
      <c r="DX52" s="136"/>
      <c r="DY52" s="136">
        <v>0</v>
      </c>
      <c r="DZ52" s="136">
        <v>0</v>
      </c>
      <c r="EA52" s="136">
        <v>0</v>
      </c>
      <c r="EB52" s="136">
        <v>0</v>
      </c>
      <c r="EC52" s="136">
        <v>0</v>
      </c>
      <c r="ED52" s="136">
        <v>0</v>
      </c>
      <c r="EE52" s="136">
        <v>0</v>
      </c>
      <c r="EF52" s="136">
        <v>0</v>
      </c>
      <c r="EG52" s="136">
        <v>0</v>
      </c>
      <c r="EH52" s="136">
        <v>0</v>
      </c>
      <c r="EI52" s="136">
        <v>0</v>
      </c>
      <c r="EJ52" s="136">
        <v>0</v>
      </c>
      <c r="EK52" s="136"/>
      <c r="EL52" s="136"/>
      <c r="EM52" s="136"/>
      <c r="EN52" s="136"/>
      <c r="EO52" s="136"/>
      <c r="EP52" s="136"/>
      <c r="EQ52" s="136">
        <v>0</v>
      </c>
      <c r="ER52" s="136">
        <v>0</v>
      </c>
      <c r="ES52" s="136">
        <v>0</v>
      </c>
      <c r="ET52" s="136">
        <v>0</v>
      </c>
      <c r="EU52" s="136">
        <v>0</v>
      </c>
      <c r="EV52" s="136">
        <v>0</v>
      </c>
      <c r="EW52" s="136"/>
      <c r="EX52" s="136"/>
      <c r="EY52" s="136"/>
      <c r="EZ52" s="136"/>
      <c r="FA52" s="136"/>
      <c r="FB52" s="136"/>
      <c r="FC52" s="136">
        <v>0</v>
      </c>
      <c r="FD52" s="136">
        <v>0</v>
      </c>
      <c r="FE52" s="136">
        <v>0</v>
      </c>
      <c r="FF52" s="136">
        <v>0</v>
      </c>
      <c r="FG52" s="136">
        <v>0</v>
      </c>
      <c r="FH52" s="136">
        <v>0</v>
      </c>
      <c r="FI52" s="136"/>
      <c r="FJ52" s="136"/>
      <c r="FK52" s="136"/>
      <c r="FL52" s="136"/>
      <c r="FM52" s="136"/>
      <c r="FN52" s="136"/>
      <c r="FO52" s="136">
        <v>0</v>
      </c>
      <c r="FP52" s="136">
        <v>0</v>
      </c>
      <c r="FQ52" s="136">
        <v>0</v>
      </c>
      <c r="FR52" s="136">
        <v>0</v>
      </c>
      <c r="FS52" s="136">
        <v>0</v>
      </c>
      <c r="FT52" s="136">
        <v>0</v>
      </c>
      <c r="FU52" s="136">
        <v>0</v>
      </c>
      <c r="FV52" s="136">
        <v>0</v>
      </c>
      <c r="FW52" s="136">
        <v>0</v>
      </c>
      <c r="FX52" s="136">
        <v>0</v>
      </c>
      <c r="FY52" s="136">
        <v>0</v>
      </c>
      <c r="FZ52" s="136">
        <v>0</v>
      </c>
      <c r="GA52" s="136">
        <v>0</v>
      </c>
      <c r="GB52" s="136">
        <v>0</v>
      </c>
      <c r="GC52" s="136">
        <v>0</v>
      </c>
      <c r="GD52" s="136">
        <v>0</v>
      </c>
      <c r="GE52" s="136">
        <v>0</v>
      </c>
      <c r="GF52" s="136">
        <v>0</v>
      </c>
      <c r="GG52" s="136">
        <v>0</v>
      </c>
      <c r="GH52" s="136">
        <v>0</v>
      </c>
      <c r="GI52" s="136">
        <v>0</v>
      </c>
      <c r="GJ52" s="136">
        <v>0</v>
      </c>
      <c r="GK52" s="136">
        <v>0</v>
      </c>
      <c r="GL52" s="136">
        <v>0</v>
      </c>
      <c r="GM52" s="136">
        <v>0</v>
      </c>
      <c r="GN52" s="136">
        <v>0</v>
      </c>
      <c r="GO52" s="136">
        <v>0</v>
      </c>
      <c r="GP52" s="136">
        <v>0</v>
      </c>
      <c r="GQ52" s="136">
        <v>0</v>
      </c>
      <c r="GR52" s="136">
        <v>0</v>
      </c>
      <c r="GS52" s="136">
        <v>32317503</v>
      </c>
      <c r="GT52" s="136">
        <v>101846</v>
      </c>
      <c r="GU52" s="136">
        <v>51482909</v>
      </c>
      <c r="GV52" s="35" t="s">
        <v>79</v>
      </c>
      <c r="GW52" s="137">
        <v>9563644058</v>
      </c>
      <c r="GX52" s="35" t="s">
        <v>80</v>
      </c>
      <c r="GY52" s="136">
        <v>5994</v>
      </c>
      <c r="GZ52" s="136" t="s">
        <v>439</v>
      </c>
      <c r="HA52" s="136" t="s">
        <v>439</v>
      </c>
      <c r="HB52" s="136" t="s">
        <v>439</v>
      </c>
      <c r="HC52" s="136" t="s">
        <v>439</v>
      </c>
      <c r="HD52" s="136" t="s">
        <v>439</v>
      </c>
      <c r="HE52" s="136" t="s">
        <v>439</v>
      </c>
      <c r="HF52" s="136" t="s">
        <v>439</v>
      </c>
      <c r="HG52" s="136" t="s">
        <v>439</v>
      </c>
      <c r="HH52" s="136" t="s">
        <v>439</v>
      </c>
      <c r="HI52" s="35" t="s">
        <v>439</v>
      </c>
      <c r="HJ52" s="35" t="s">
        <v>439</v>
      </c>
      <c r="HK52" s="35" t="s">
        <v>439</v>
      </c>
      <c r="HL52"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52"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52"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95852</v>
      </c>
      <c r="HO52"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52"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52"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52"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5994</v>
      </c>
    </row>
    <row r="53" spans="1:226">
      <c r="A53" s="35" t="s">
        <v>68</v>
      </c>
      <c r="B53" s="37" t="s">
        <v>62</v>
      </c>
      <c r="C53" s="37">
        <v>540</v>
      </c>
      <c r="D53" s="37" t="s">
        <v>835</v>
      </c>
      <c r="E53" s="103">
        <v>33965</v>
      </c>
      <c r="F53" s="136">
        <v>0</v>
      </c>
      <c r="G53" s="136">
        <v>0</v>
      </c>
      <c r="H53" s="136">
        <v>0</v>
      </c>
      <c r="I53" s="136">
        <v>0</v>
      </c>
      <c r="J53" s="136">
        <v>0</v>
      </c>
      <c r="K53" s="136">
        <v>0</v>
      </c>
      <c r="L53" s="136">
        <v>0</v>
      </c>
      <c r="M53" s="136">
        <v>0</v>
      </c>
      <c r="N53" s="136">
        <v>0</v>
      </c>
      <c r="O53" s="136">
        <v>0</v>
      </c>
      <c r="P53" s="136">
        <v>0</v>
      </c>
      <c r="Q53" s="136">
        <v>0</v>
      </c>
      <c r="R53" s="136">
        <v>0</v>
      </c>
      <c r="S53" s="136">
        <v>0</v>
      </c>
      <c r="T53" s="136">
        <v>0</v>
      </c>
      <c r="U53" s="136">
        <v>0</v>
      </c>
      <c r="V53" s="136">
        <v>0</v>
      </c>
      <c r="W53" s="136">
        <v>0</v>
      </c>
      <c r="X53" s="136">
        <v>0</v>
      </c>
      <c r="Y53" s="136">
        <v>0</v>
      </c>
      <c r="Z53" s="136">
        <v>0</v>
      </c>
      <c r="AA53" s="136">
        <v>0</v>
      </c>
      <c r="AB53" s="136">
        <v>0</v>
      </c>
      <c r="AC53" s="136">
        <v>0</v>
      </c>
      <c r="AD53" s="136">
        <v>0</v>
      </c>
      <c r="AE53" s="136">
        <v>0</v>
      </c>
      <c r="AF53" s="136">
        <v>0</v>
      </c>
      <c r="AG53" s="136">
        <v>0</v>
      </c>
      <c r="AH53" s="136">
        <v>0</v>
      </c>
      <c r="AI53" s="136">
        <v>0</v>
      </c>
      <c r="AJ53" s="136">
        <v>0</v>
      </c>
      <c r="AK53" s="136">
        <v>0</v>
      </c>
      <c r="AL53" s="136">
        <v>0</v>
      </c>
      <c r="AM53" s="136">
        <v>0</v>
      </c>
      <c r="AN53" s="136">
        <v>0</v>
      </c>
      <c r="AO53" s="136">
        <v>0</v>
      </c>
      <c r="AP53" s="136">
        <v>0</v>
      </c>
      <c r="AQ53" s="136">
        <v>0</v>
      </c>
      <c r="AR53" s="136">
        <v>0</v>
      </c>
      <c r="AS53" s="136">
        <v>0</v>
      </c>
      <c r="AT53" s="136">
        <v>0</v>
      </c>
      <c r="AU53" s="136">
        <v>0</v>
      </c>
      <c r="AV53" s="136">
        <v>0</v>
      </c>
      <c r="AW53" s="136">
        <v>0</v>
      </c>
      <c r="AX53" s="136">
        <v>0</v>
      </c>
      <c r="AY53" s="136">
        <v>0</v>
      </c>
      <c r="AZ53" s="136">
        <v>0</v>
      </c>
      <c r="BA53" s="136">
        <v>0</v>
      </c>
      <c r="BB53" s="136">
        <v>0</v>
      </c>
      <c r="BC53" s="136">
        <v>0</v>
      </c>
      <c r="BD53" s="136">
        <v>0</v>
      </c>
      <c r="BE53" s="136">
        <v>0</v>
      </c>
      <c r="BF53" s="136">
        <v>0</v>
      </c>
      <c r="BG53" s="136">
        <v>0</v>
      </c>
      <c r="BH53" s="136">
        <v>0</v>
      </c>
      <c r="BI53" s="136">
        <v>0</v>
      </c>
      <c r="BJ53" s="136">
        <v>0</v>
      </c>
      <c r="BK53" s="136">
        <v>0</v>
      </c>
      <c r="BL53" s="136">
        <v>0</v>
      </c>
      <c r="BM53" s="136">
        <v>0</v>
      </c>
      <c r="BN53" s="136">
        <v>0</v>
      </c>
      <c r="BO53" s="136">
        <v>0</v>
      </c>
      <c r="BP53" s="136">
        <v>0</v>
      </c>
      <c r="BQ53" s="136">
        <v>0</v>
      </c>
      <c r="BR53" s="136">
        <v>0</v>
      </c>
      <c r="BS53" s="136">
        <v>0</v>
      </c>
      <c r="BT53" s="136">
        <v>0</v>
      </c>
      <c r="BU53" s="136">
        <v>0</v>
      </c>
      <c r="BV53" s="136">
        <v>0</v>
      </c>
      <c r="BW53" s="136">
        <v>0</v>
      </c>
      <c r="BX53" s="136">
        <v>0</v>
      </c>
      <c r="BY53" s="136">
        <v>0</v>
      </c>
      <c r="BZ53" s="136">
        <v>0</v>
      </c>
      <c r="CA53" s="136">
        <v>0</v>
      </c>
      <c r="CB53" s="136">
        <v>0</v>
      </c>
      <c r="CC53" s="136">
        <v>0</v>
      </c>
      <c r="CD53" s="136">
        <v>0</v>
      </c>
      <c r="CE53" s="136">
        <v>0</v>
      </c>
      <c r="CF53" s="136">
        <v>0</v>
      </c>
      <c r="CG53" s="136">
        <v>0</v>
      </c>
      <c r="CH53" s="136">
        <v>0</v>
      </c>
      <c r="CI53" s="136">
        <v>0</v>
      </c>
      <c r="CJ53" s="136">
        <v>0</v>
      </c>
      <c r="CK53" s="136">
        <v>0</v>
      </c>
      <c r="CL53" s="136">
        <v>0</v>
      </c>
      <c r="CM53" s="136">
        <v>0</v>
      </c>
      <c r="CN53" s="136">
        <v>0</v>
      </c>
      <c r="CO53" s="136">
        <v>0</v>
      </c>
      <c r="CP53" s="136">
        <v>0</v>
      </c>
      <c r="CQ53" s="136">
        <v>0</v>
      </c>
      <c r="CR53" s="136">
        <v>0</v>
      </c>
      <c r="CS53" s="136">
        <v>0</v>
      </c>
      <c r="CT53" s="136">
        <v>0</v>
      </c>
      <c r="CU53" s="136">
        <v>0</v>
      </c>
      <c r="CV53" s="136">
        <v>0</v>
      </c>
      <c r="CW53" s="136">
        <v>0</v>
      </c>
      <c r="CX53" s="136">
        <v>0</v>
      </c>
      <c r="CY53" s="136">
        <v>0</v>
      </c>
      <c r="CZ53" s="136">
        <v>0</v>
      </c>
      <c r="DA53" s="136"/>
      <c r="DB53" s="136"/>
      <c r="DC53" s="136"/>
      <c r="DD53" s="136"/>
      <c r="DE53" s="136"/>
      <c r="DF53" s="136"/>
      <c r="DG53" s="136">
        <v>0</v>
      </c>
      <c r="DH53" s="136">
        <v>0</v>
      </c>
      <c r="DI53" s="136">
        <v>0</v>
      </c>
      <c r="DJ53" s="136">
        <v>0</v>
      </c>
      <c r="DK53" s="136">
        <v>0</v>
      </c>
      <c r="DL53" s="136">
        <v>0</v>
      </c>
      <c r="DM53" s="136">
        <v>0</v>
      </c>
      <c r="DN53" s="136">
        <v>0</v>
      </c>
      <c r="DO53" s="136">
        <v>0</v>
      </c>
      <c r="DP53" s="136">
        <v>0</v>
      </c>
      <c r="DQ53" s="136">
        <v>0</v>
      </c>
      <c r="DR53" s="136">
        <v>0</v>
      </c>
      <c r="DS53" s="136"/>
      <c r="DT53" s="136"/>
      <c r="DU53" s="136"/>
      <c r="DV53" s="136"/>
      <c r="DW53" s="136"/>
      <c r="DX53" s="136"/>
      <c r="DY53" s="136">
        <v>0</v>
      </c>
      <c r="DZ53" s="136">
        <v>0</v>
      </c>
      <c r="EA53" s="136">
        <v>0</v>
      </c>
      <c r="EB53" s="136">
        <v>0</v>
      </c>
      <c r="EC53" s="136">
        <v>0</v>
      </c>
      <c r="ED53" s="136">
        <v>0</v>
      </c>
      <c r="EE53" s="136">
        <v>0</v>
      </c>
      <c r="EF53" s="136">
        <v>0</v>
      </c>
      <c r="EG53" s="136">
        <v>0</v>
      </c>
      <c r="EH53" s="136">
        <v>0</v>
      </c>
      <c r="EI53" s="136">
        <v>0</v>
      </c>
      <c r="EJ53" s="136">
        <v>0</v>
      </c>
      <c r="EK53" s="136"/>
      <c r="EL53" s="136"/>
      <c r="EM53" s="136"/>
      <c r="EN53" s="136"/>
      <c r="EO53" s="136"/>
      <c r="EP53" s="136"/>
      <c r="EQ53" s="136">
        <v>0</v>
      </c>
      <c r="ER53" s="136">
        <v>0</v>
      </c>
      <c r="ES53" s="136">
        <v>0</v>
      </c>
      <c r="ET53" s="136">
        <v>0</v>
      </c>
      <c r="EU53" s="136">
        <v>0</v>
      </c>
      <c r="EV53" s="136">
        <v>0</v>
      </c>
      <c r="EW53" s="136"/>
      <c r="EX53" s="136"/>
      <c r="EY53" s="136"/>
      <c r="EZ53" s="136"/>
      <c r="FA53" s="136"/>
      <c r="FB53" s="136"/>
      <c r="FC53" s="136">
        <v>0</v>
      </c>
      <c r="FD53" s="136">
        <v>0</v>
      </c>
      <c r="FE53" s="136">
        <v>0</v>
      </c>
      <c r="FF53" s="136">
        <v>0</v>
      </c>
      <c r="FG53" s="136">
        <v>0</v>
      </c>
      <c r="FH53" s="136">
        <v>0</v>
      </c>
      <c r="FI53" s="136"/>
      <c r="FJ53" s="136"/>
      <c r="FK53" s="136"/>
      <c r="FL53" s="136"/>
      <c r="FM53" s="136"/>
      <c r="FN53" s="136"/>
      <c r="FO53" s="136">
        <v>0</v>
      </c>
      <c r="FP53" s="136">
        <v>0</v>
      </c>
      <c r="FQ53" s="136">
        <v>0</v>
      </c>
      <c r="FR53" s="136">
        <v>0</v>
      </c>
      <c r="FS53" s="136">
        <v>0</v>
      </c>
      <c r="FT53" s="136">
        <v>0</v>
      </c>
      <c r="FU53" s="136">
        <v>0</v>
      </c>
      <c r="FV53" s="136">
        <v>0</v>
      </c>
      <c r="FW53" s="136">
        <v>0</v>
      </c>
      <c r="FX53" s="136">
        <v>0</v>
      </c>
      <c r="FY53" s="136">
        <v>0</v>
      </c>
      <c r="FZ53" s="136">
        <v>0</v>
      </c>
      <c r="GA53" s="136">
        <v>0</v>
      </c>
      <c r="GB53" s="136">
        <v>0</v>
      </c>
      <c r="GC53" s="136">
        <v>0</v>
      </c>
      <c r="GD53" s="136">
        <v>0</v>
      </c>
      <c r="GE53" s="136">
        <v>0</v>
      </c>
      <c r="GF53" s="136">
        <v>0</v>
      </c>
      <c r="GG53" s="136">
        <v>0</v>
      </c>
      <c r="GH53" s="136">
        <v>0</v>
      </c>
      <c r="GI53" s="136">
        <v>0</v>
      </c>
      <c r="GJ53" s="136">
        <v>0</v>
      </c>
      <c r="GK53" s="136">
        <v>0</v>
      </c>
      <c r="GL53" s="136">
        <v>0</v>
      </c>
      <c r="GM53" s="136">
        <v>0</v>
      </c>
      <c r="GN53" s="136">
        <v>0</v>
      </c>
      <c r="GO53" s="136">
        <v>0</v>
      </c>
      <c r="GP53" s="136">
        <v>0</v>
      </c>
      <c r="GQ53" s="136">
        <v>0</v>
      </c>
      <c r="GR53" s="136">
        <v>0</v>
      </c>
      <c r="GS53" s="136">
        <v>7290150</v>
      </c>
      <c r="GT53" s="136">
        <v>0</v>
      </c>
      <c r="GU53" s="136">
        <v>11028783</v>
      </c>
      <c r="GV53" s="35" t="s">
        <v>79</v>
      </c>
      <c r="GW53" s="137">
        <v>9563644058</v>
      </c>
      <c r="GX53" s="35" t="s">
        <v>81</v>
      </c>
      <c r="GY53" s="136">
        <v>0</v>
      </c>
      <c r="GZ53" s="136" t="s">
        <v>439</v>
      </c>
      <c r="HA53" s="136" t="s">
        <v>439</v>
      </c>
      <c r="HB53" s="136" t="s">
        <v>439</v>
      </c>
      <c r="HC53" s="136" t="s">
        <v>439</v>
      </c>
      <c r="HD53" s="136" t="s">
        <v>439</v>
      </c>
      <c r="HE53" s="136" t="s">
        <v>439</v>
      </c>
      <c r="HF53" s="136" t="s">
        <v>439</v>
      </c>
      <c r="HG53" s="136" t="s">
        <v>439</v>
      </c>
      <c r="HH53" s="136" t="s">
        <v>439</v>
      </c>
      <c r="HI53" s="35" t="s">
        <v>439</v>
      </c>
      <c r="HJ53" s="35" t="s">
        <v>439</v>
      </c>
      <c r="HK53" s="35" t="s">
        <v>439</v>
      </c>
      <c r="HL53"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53"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53"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53"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53"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53"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53"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54" spans="1:226">
      <c r="A54" s="35" t="s">
        <v>70</v>
      </c>
      <c r="B54" s="37" t="s">
        <v>62</v>
      </c>
      <c r="C54" s="37">
        <v>552</v>
      </c>
      <c r="D54" s="37" t="s">
        <v>835</v>
      </c>
      <c r="E54" s="103">
        <v>133965</v>
      </c>
      <c r="F54" s="136">
        <v>0</v>
      </c>
      <c r="G54" s="136">
        <v>0</v>
      </c>
      <c r="H54" s="136">
        <v>0</v>
      </c>
      <c r="I54" s="136">
        <v>0</v>
      </c>
      <c r="J54" s="136">
        <v>0</v>
      </c>
      <c r="K54" s="136">
        <v>0</v>
      </c>
      <c r="L54" s="136">
        <v>0</v>
      </c>
      <c r="M54" s="136">
        <v>0</v>
      </c>
      <c r="N54" s="136">
        <v>0</v>
      </c>
      <c r="O54" s="136">
        <v>0</v>
      </c>
      <c r="P54" s="136">
        <v>0</v>
      </c>
      <c r="Q54" s="136">
        <v>0</v>
      </c>
      <c r="R54" s="136">
        <v>0</v>
      </c>
      <c r="S54" s="136">
        <v>0</v>
      </c>
      <c r="T54" s="136">
        <v>0</v>
      </c>
      <c r="U54" s="136">
        <v>0</v>
      </c>
      <c r="V54" s="136">
        <v>0</v>
      </c>
      <c r="W54" s="136">
        <v>0</v>
      </c>
      <c r="X54" s="136">
        <v>0</v>
      </c>
      <c r="Y54" s="136">
        <v>0</v>
      </c>
      <c r="Z54" s="136">
        <v>0</v>
      </c>
      <c r="AA54" s="136">
        <v>0</v>
      </c>
      <c r="AB54" s="136">
        <v>0</v>
      </c>
      <c r="AC54" s="136">
        <v>0</v>
      </c>
      <c r="AD54" s="136">
        <v>0</v>
      </c>
      <c r="AE54" s="136">
        <v>0</v>
      </c>
      <c r="AF54" s="136">
        <v>0</v>
      </c>
      <c r="AG54" s="136">
        <v>0</v>
      </c>
      <c r="AH54" s="136">
        <v>0</v>
      </c>
      <c r="AI54" s="136">
        <v>0</v>
      </c>
      <c r="AJ54" s="136">
        <v>0</v>
      </c>
      <c r="AK54" s="136">
        <v>0</v>
      </c>
      <c r="AL54" s="136">
        <v>0</v>
      </c>
      <c r="AM54" s="136">
        <v>0</v>
      </c>
      <c r="AN54" s="136">
        <v>0</v>
      </c>
      <c r="AO54" s="136">
        <v>0</v>
      </c>
      <c r="AP54" s="136">
        <v>0</v>
      </c>
      <c r="AQ54" s="136">
        <v>0</v>
      </c>
      <c r="AR54" s="136">
        <v>0</v>
      </c>
      <c r="AS54" s="136">
        <v>0</v>
      </c>
      <c r="AT54" s="136">
        <v>0</v>
      </c>
      <c r="AU54" s="136">
        <v>0</v>
      </c>
      <c r="AV54" s="136">
        <v>0</v>
      </c>
      <c r="AW54" s="136">
        <v>0</v>
      </c>
      <c r="AX54" s="136">
        <v>0</v>
      </c>
      <c r="AY54" s="136">
        <v>0</v>
      </c>
      <c r="AZ54" s="136">
        <v>0</v>
      </c>
      <c r="BA54" s="136">
        <v>0</v>
      </c>
      <c r="BB54" s="136">
        <v>0</v>
      </c>
      <c r="BC54" s="136">
        <v>0</v>
      </c>
      <c r="BD54" s="136">
        <v>0</v>
      </c>
      <c r="BE54" s="136">
        <v>0</v>
      </c>
      <c r="BF54" s="136">
        <v>0</v>
      </c>
      <c r="BG54" s="136">
        <v>0</v>
      </c>
      <c r="BH54" s="136">
        <v>0</v>
      </c>
      <c r="BI54" s="136">
        <v>0</v>
      </c>
      <c r="BJ54" s="136">
        <v>0</v>
      </c>
      <c r="BK54" s="136">
        <v>0</v>
      </c>
      <c r="BL54" s="136">
        <v>0</v>
      </c>
      <c r="BM54" s="136">
        <v>0</v>
      </c>
      <c r="BN54" s="136">
        <v>0</v>
      </c>
      <c r="BO54" s="136">
        <v>0</v>
      </c>
      <c r="BP54" s="136">
        <v>0</v>
      </c>
      <c r="BQ54" s="136">
        <v>0</v>
      </c>
      <c r="BR54" s="136">
        <v>0</v>
      </c>
      <c r="BS54" s="136">
        <v>0</v>
      </c>
      <c r="BT54" s="136">
        <v>0</v>
      </c>
      <c r="BU54" s="136">
        <v>0</v>
      </c>
      <c r="BV54" s="136">
        <v>0</v>
      </c>
      <c r="BW54" s="136">
        <v>0</v>
      </c>
      <c r="BX54" s="136">
        <v>0</v>
      </c>
      <c r="BY54" s="136">
        <v>0</v>
      </c>
      <c r="BZ54" s="136">
        <v>0</v>
      </c>
      <c r="CA54" s="136">
        <v>0</v>
      </c>
      <c r="CB54" s="136">
        <v>0</v>
      </c>
      <c r="CC54" s="136">
        <v>0</v>
      </c>
      <c r="CD54" s="136">
        <v>0</v>
      </c>
      <c r="CE54" s="136">
        <v>0</v>
      </c>
      <c r="CF54" s="136">
        <v>0</v>
      </c>
      <c r="CG54" s="136">
        <v>0</v>
      </c>
      <c r="CH54" s="136">
        <v>0</v>
      </c>
      <c r="CI54" s="136">
        <v>0</v>
      </c>
      <c r="CJ54" s="136">
        <v>0</v>
      </c>
      <c r="CK54" s="136">
        <v>0</v>
      </c>
      <c r="CL54" s="136">
        <v>0</v>
      </c>
      <c r="CM54" s="136">
        <v>0</v>
      </c>
      <c r="CN54" s="136">
        <v>0</v>
      </c>
      <c r="CO54" s="136">
        <v>0</v>
      </c>
      <c r="CP54" s="136">
        <v>0</v>
      </c>
      <c r="CQ54" s="136">
        <v>0</v>
      </c>
      <c r="CR54" s="136">
        <v>0</v>
      </c>
      <c r="CS54" s="136">
        <v>0</v>
      </c>
      <c r="CT54" s="136">
        <v>0</v>
      </c>
      <c r="CU54" s="136">
        <v>0</v>
      </c>
      <c r="CV54" s="136">
        <v>0</v>
      </c>
      <c r="CW54" s="136">
        <v>0</v>
      </c>
      <c r="CX54" s="136">
        <v>0</v>
      </c>
      <c r="CY54" s="136">
        <v>0</v>
      </c>
      <c r="CZ54" s="136">
        <v>0</v>
      </c>
      <c r="DA54" s="136"/>
      <c r="DB54" s="136"/>
      <c r="DC54" s="136"/>
      <c r="DD54" s="136"/>
      <c r="DE54" s="136"/>
      <c r="DF54" s="136"/>
      <c r="DG54" s="136">
        <v>0</v>
      </c>
      <c r="DH54" s="136">
        <v>0</v>
      </c>
      <c r="DI54" s="136">
        <v>0</v>
      </c>
      <c r="DJ54" s="136">
        <v>0</v>
      </c>
      <c r="DK54" s="136">
        <v>0</v>
      </c>
      <c r="DL54" s="136">
        <v>0</v>
      </c>
      <c r="DM54" s="136">
        <v>0</v>
      </c>
      <c r="DN54" s="136">
        <v>0</v>
      </c>
      <c r="DO54" s="136">
        <v>0</v>
      </c>
      <c r="DP54" s="136">
        <v>0</v>
      </c>
      <c r="DQ54" s="136">
        <v>0</v>
      </c>
      <c r="DR54" s="136">
        <v>0</v>
      </c>
      <c r="DS54" s="136"/>
      <c r="DT54" s="136"/>
      <c r="DU54" s="136"/>
      <c r="DV54" s="136"/>
      <c r="DW54" s="136"/>
      <c r="DX54" s="136"/>
      <c r="DY54" s="136">
        <v>0</v>
      </c>
      <c r="DZ54" s="136">
        <v>0</v>
      </c>
      <c r="EA54" s="136">
        <v>0</v>
      </c>
      <c r="EB54" s="136">
        <v>0</v>
      </c>
      <c r="EC54" s="136">
        <v>0</v>
      </c>
      <c r="ED54" s="136">
        <v>0</v>
      </c>
      <c r="EE54" s="136">
        <v>0</v>
      </c>
      <c r="EF54" s="136">
        <v>0</v>
      </c>
      <c r="EG54" s="136">
        <v>0</v>
      </c>
      <c r="EH54" s="136">
        <v>0</v>
      </c>
      <c r="EI54" s="136">
        <v>0</v>
      </c>
      <c r="EJ54" s="136">
        <v>0</v>
      </c>
      <c r="EK54" s="136"/>
      <c r="EL54" s="136"/>
      <c r="EM54" s="136"/>
      <c r="EN54" s="136"/>
      <c r="EO54" s="136"/>
      <c r="EP54" s="136"/>
      <c r="EQ54" s="136">
        <v>0</v>
      </c>
      <c r="ER54" s="136">
        <v>0</v>
      </c>
      <c r="ES54" s="136">
        <v>0</v>
      </c>
      <c r="ET54" s="136">
        <v>0</v>
      </c>
      <c r="EU54" s="136">
        <v>0</v>
      </c>
      <c r="EV54" s="136">
        <v>0</v>
      </c>
      <c r="EW54" s="136"/>
      <c r="EX54" s="136"/>
      <c r="EY54" s="136"/>
      <c r="EZ54" s="136"/>
      <c r="FA54" s="136"/>
      <c r="FB54" s="136"/>
      <c r="FC54" s="136">
        <v>0</v>
      </c>
      <c r="FD54" s="136">
        <v>0</v>
      </c>
      <c r="FE54" s="136">
        <v>0</v>
      </c>
      <c r="FF54" s="136">
        <v>0</v>
      </c>
      <c r="FG54" s="136">
        <v>0</v>
      </c>
      <c r="FH54" s="136">
        <v>0</v>
      </c>
      <c r="FI54" s="136"/>
      <c r="FJ54" s="136"/>
      <c r="FK54" s="136"/>
      <c r="FL54" s="136"/>
      <c r="FM54" s="136"/>
      <c r="FN54" s="136"/>
      <c r="FO54" s="136">
        <v>0</v>
      </c>
      <c r="FP54" s="136">
        <v>0</v>
      </c>
      <c r="FQ54" s="136">
        <v>0</v>
      </c>
      <c r="FR54" s="136">
        <v>0</v>
      </c>
      <c r="FS54" s="136">
        <v>0</v>
      </c>
      <c r="FT54" s="136">
        <v>0</v>
      </c>
      <c r="FU54" s="136">
        <v>0</v>
      </c>
      <c r="FV54" s="136">
        <v>0</v>
      </c>
      <c r="FW54" s="136">
        <v>0</v>
      </c>
      <c r="FX54" s="136">
        <v>0</v>
      </c>
      <c r="FY54" s="136">
        <v>0</v>
      </c>
      <c r="FZ54" s="136">
        <v>0</v>
      </c>
      <c r="GA54" s="136">
        <v>0</v>
      </c>
      <c r="GB54" s="136">
        <v>0</v>
      </c>
      <c r="GC54" s="136">
        <v>0</v>
      </c>
      <c r="GD54" s="136">
        <v>0</v>
      </c>
      <c r="GE54" s="136">
        <v>0</v>
      </c>
      <c r="GF54" s="136">
        <v>0</v>
      </c>
      <c r="GG54" s="136">
        <v>0</v>
      </c>
      <c r="GH54" s="136">
        <v>0</v>
      </c>
      <c r="GI54" s="136">
        <v>0</v>
      </c>
      <c r="GJ54" s="136">
        <v>0</v>
      </c>
      <c r="GK54" s="136">
        <v>0</v>
      </c>
      <c r="GL54" s="136">
        <v>0</v>
      </c>
      <c r="GM54" s="136">
        <v>0</v>
      </c>
      <c r="GN54" s="136">
        <v>0</v>
      </c>
      <c r="GO54" s="136">
        <v>0</v>
      </c>
      <c r="GP54" s="136">
        <v>0</v>
      </c>
      <c r="GQ54" s="136">
        <v>0</v>
      </c>
      <c r="GR54" s="136">
        <v>0</v>
      </c>
      <c r="GS54" s="136">
        <v>5697761</v>
      </c>
      <c r="GT54" s="136">
        <v>0</v>
      </c>
      <c r="GU54" s="136">
        <v>7537950</v>
      </c>
      <c r="GV54" s="35" t="s">
        <v>79</v>
      </c>
      <c r="GW54" s="137">
        <v>9563644058</v>
      </c>
      <c r="GX54" s="35" t="s">
        <v>81</v>
      </c>
      <c r="GY54" s="136">
        <v>0</v>
      </c>
      <c r="GZ54" s="136" t="s">
        <v>439</v>
      </c>
      <c r="HA54" s="136" t="s">
        <v>439</v>
      </c>
      <c r="HB54" s="136" t="s">
        <v>439</v>
      </c>
      <c r="HC54" s="136" t="s">
        <v>439</v>
      </c>
      <c r="HD54" s="136" t="s">
        <v>439</v>
      </c>
      <c r="HE54" s="136" t="s">
        <v>439</v>
      </c>
      <c r="HF54" s="136" t="s">
        <v>439</v>
      </c>
      <c r="HG54" s="136" t="s">
        <v>439</v>
      </c>
      <c r="HH54" s="136" t="s">
        <v>439</v>
      </c>
      <c r="HI54" s="35" t="s">
        <v>439</v>
      </c>
      <c r="HJ54" s="35" t="s">
        <v>439</v>
      </c>
      <c r="HK54" s="35" t="s">
        <v>439</v>
      </c>
      <c r="HL54"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54"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54"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54"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54"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54"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54"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55" spans="1:226">
      <c r="A55" s="35" t="s">
        <v>72</v>
      </c>
      <c r="B55" s="37" t="s">
        <v>828</v>
      </c>
      <c r="C55" s="37">
        <v>555</v>
      </c>
      <c r="D55" s="37" t="s">
        <v>835</v>
      </c>
      <c r="E55" s="103">
        <v>9642</v>
      </c>
      <c r="F55" s="136">
        <v>2957397</v>
      </c>
      <c r="G55" s="136">
        <v>0</v>
      </c>
      <c r="H55" s="136">
        <v>0</v>
      </c>
      <c r="I55" s="136">
        <v>0</v>
      </c>
      <c r="J55" s="136">
        <v>0</v>
      </c>
      <c r="K55" s="136">
        <v>0</v>
      </c>
      <c r="L55" s="136">
        <v>0</v>
      </c>
      <c r="M55" s="136">
        <v>0</v>
      </c>
      <c r="N55" s="136">
        <v>0</v>
      </c>
      <c r="O55" s="136">
        <v>0</v>
      </c>
      <c r="P55" s="136">
        <v>0</v>
      </c>
      <c r="Q55" s="136">
        <v>0</v>
      </c>
      <c r="R55" s="136">
        <v>0</v>
      </c>
      <c r="S55" s="136">
        <v>0</v>
      </c>
      <c r="T55" s="136">
        <v>0</v>
      </c>
      <c r="U55" s="136">
        <v>0</v>
      </c>
      <c r="V55" s="136">
        <v>0</v>
      </c>
      <c r="W55" s="136">
        <v>0</v>
      </c>
      <c r="X55" s="136">
        <v>0</v>
      </c>
      <c r="Y55" s="136">
        <v>0</v>
      </c>
      <c r="Z55" s="136">
        <v>0</v>
      </c>
      <c r="AA55" s="136">
        <v>0</v>
      </c>
      <c r="AB55" s="136">
        <v>0</v>
      </c>
      <c r="AC55" s="136">
        <v>0</v>
      </c>
      <c r="AD55" s="136">
        <v>0</v>
      </c>
      <c r="AE55" s="136">
        <v>0</v>
      </c>
      <c r="AF55" s="136">
        <v>0</v>
      </c>
      <c r="AG55" s="136">
        <v>0</v>
      </c>
      <c r="AH55" s="136">
        <v>0</v>
      </c>
      <c r="AI55" s="136">
        <v>0</v>
      </c>
      <c r="AJ55" s="136">
        <v>0</v>
      </c>
      <c r="AK55" s="136">
        <v>0</v>
      </c>
      <c r="AL55" s="136">
        <v>0</v>
      </c>
      <c r="AM55" s="136">
        <v>0</v>
      </c>
      <c r="AN55" s="136">
        <v>0</v>
      </c>
      <c r="AO55" s="136">
        <v>0</v>
      </c>
      <c r="AP55" s="136">
        <v>0</v>
      </c>
      <c r="AQ55" s="136">
        <v>0</v>
      </c>
      <c r="AR55" s="136">
        <v>0</v>
      </c>
      <c r="AS55" s="136">
        <v>0</v>
      </c>
      <c r="AT55" s="136">
        <v>0</v>
      </c>
      <c r="AU55" s="136">
        <v>0</v>
      </c>
      <c r="AV55" s="136">
        <v>0</v>
      </c>
      <c r="AW55" s="136">
        <v>0</v>
      </c>
      <c r="AX55" s="136">
        <v>0</v>
      </c>
      <c r="AY55" s="136">
        <v>0</v>
      </c>
      <c r="AZ55" s="136">
        <v>0</v>
      </c>
      <c r="BA55" s="136">
        <v>0</v>
      </c>
      <c r="BB55" s="136">
        <v>0</v>
      </c>
      <c r="BC55" s="136">
        <v>0</v>
      </c>
      <c r="BD55" s="136">
        <v>0</v>
      </c>
      <c r="BE55" s="136">
        <v>0</v>
      </c>
      <c r="BF55" s="136">
        <v>0</v>
      </c>
      <c r="BG55" s="136">
        <v>0</v>
      </c>
      <c r="BH55" s="136">
        <v>0</v>
      </c>
      <c r="BI55" s="136">
        <v>0</v>
      </c>
      <c r="BJ55" s="136">
        <v>0</v>
      </c>
      <c r="BK55" s="136">
        <v>0</v>
      </c>
      <c r="BL55" s="136">
        <v>0</v>
      </c>
      <c r="BM55" s="136">
        <v>0</v>
      </c>
      <c r="BN55" s="136">
        <v>0</v>
      </c>
      <c r="BO55" s="136">
        <v>0</v>
      </c>
      <c r="BP55" s="136">
        <v>0</v>
      </c>
      <c r="BQ55" s="136">
        <v>0</v>
      </c>
      <c r="BR55" s="136">
        <v>0</v>
      </c>
      <c r="BS55" s="136">
        <v>0</v>
      </c>
      <c r="BT55" s="136">
        <v>0</v>
      </c>
      <c r="BU55" s="136">
        <v>0</v>
      </c>
      <c r="BV55" s="136">
        <v>0</v>
      </c>
      <c r="BW55" s="136">
        <v>0</v>
      </c>
      <c r="BX55" s="136">
        <v>0</v>
      </c>
      <c r="BY55" s="136">
        <v>0</v>
      </c>
      <c r="BZ55" s="136">
        <v>0</v>
      </c>
      <c r="CA55" s="136">
        <v>0</v>
      </c>
      <c r="CB55" s="136">
        <v>0</v>
      </c>
      <c r="CC55" s="136">
        <v>0</v>
      </c>
      <c r="CD55" s="136">
        <v>0</v>
      </c>
      <c r="CE55" s="136">
        <v>0</v>
      </c>
      <c r="CF55" s="136">
        <v>0</v>
      </c>
      <c r="CG55" s="136">
        <v>0</v>
      </c>
      <c r="CH55" s="136">
        <v>0</v>
      </c>
      <c r="CI55" s="136">
        <v>0</v>
      </c>
      <c r="CJ55" s="136">
        <v>0</v>
      </c>
      <c r="CK55" s="136">
        <v>0</v>
      </c>
      <c r="CL55" s="136">
        <v>0</v>
      </c>
      <c r="CM55" s="136">
        <v>0</v>
      </c>
      <c r="CN55" s="136">
        <v>0</v>
      </c>
      <c r="CO55" s="136">
        <v>0</v>
      </c>
      <c r="CP55" s="136">
        <v>0</v>
      </c>
      <c r="CQ55" s="136">
        <v>0</v>
      </c>
      <c r="CR55" s="136">
        <v>0</v>
      </c>
      <c r="CS55" s="136">
        <v>0</v>
      </c>
      <c r="CT55" s="136">
        <v>0</v>
      </c>
      <c r="CU55" s="136">
        <v>0</v>
      </c>
      <c r="CV55" s="136">
        <v>0</v>
      </c>
      <c r="CW55" s="136">
        <v>0</v>
      </c>
      <c r="CX55" s="136">
        <v>0</v>
      </c>
      <c r="CY55" s="136">
        <v>0</v>
      </c>
      <c r="CZ55" s="136">
        <v>0</v>
      </c>
      <c r="DA55" s="136"/>
      <c r="DB55" s="136"/>
      <c r="DC55" s="136"/>
      <c r="DD55" s="136"/>
      <c r="DE55" s="136"/>
      <c r="DF55" s="136"/>
      <c r="DG55" s="136">
        <v>0</v>
      </c>
      <c r="DH55" s="136">
        <v>0</v>
      </c>
      <c r="DI55" s="136">
        <v>0</v>
      </c>
      <c r="DJ55" s="136">
        <v>0</v>
      </c>
      <c r="DK55" s="136">
        <v>0</v>
      </c>
      <c r="DL55" s="136">
        <v>0</v>
      </c>
      <c r="DM55" s="136">
        <v>0</v>
      </c>
      <c r="DN55" s="136">
        <v>0</v>
      </c>
      <c r="DO55" s="136">
        <v>0</v>
      </c>
      <c r="DP55" s="136">
        <v>0</v>
      </c>
      <c r="DQ55" s="136">
        <v>0</v>
      </c>
      <c r="DR55" s="136">
        <v>0</v>
      </c>
      <c r="DS55" s="136"/>
      <c r="DT55" s="136"/>
      <c r="DU55" s="136"/>
      <c r="DV55" s="136"/>
      <c r="DW55" s="136"/>
      <c r="DX55" s="136"/>
      <c r="DY55" s="136">
        <v>0</v>
      </c>
      <c r="DZ55" s="136">
        <v>0</v>
      </c>
      <c r="EA55" s="136">
        <v>0</v>
      </c>
      <c r="EB55" s="136">
        <v>0</v>
      </c>
      <c r="EC55" s="136">
        <v>0</v>
      </c>
      <c r="ED55" s="136">
        <v>0</v>
      </c>
      <c r="EE55" s="136">
        <v>0</v>
      </c>
      <c r="EF55" s="136">
        <v>0</v>
      </c>
      <c r="EG55" s="136">
        <v>0</v>
      </c>
      <c r="EH55" s="136">
        <v>0</v>
      </c>
      <c r="EI55" s="136">
        <v>0</v>
      </c>
      <c r="EJ55" s="136">
        <v>0</v>
      </c>
      <c r="EK55" s="136"/>
      <c r="EL55" s="136"/>
      <c r="EM55" s="136"/>
      <c r="EN55" s="136"/>
      <c r="EO55" s="136"/>
      <c r="EP55" s="136"/>
      <c r="EQ55" s="136">
        <v>0</v>
      </c>
      <c r="ER55" s="136">
        <v>0</v>
      </c>
      <c r="ES55" s="136">
        <v>0</v>
      </c>
      <c r="ET55" s="136">
        <v>0</v>
      </c>
      <c r="EU55" s="136">
        <v>0</v>
      </c>
      <c r="EV55" s="136">
        <v>0</v>
      </c>
      <c r="EW55" s="136"/>
      <c r="EX55" s="136"/>
      <c r="EY55" s="136"/>
      <c r="EZ55" s="136"/>
      <c r="FA55" s="136"/>
      <c r="FB55" s="136"/>
      <c r="FC55" s="136">
        <v>0</v>
      </c>
      <c r="FD55" s="136">
        <v>0</v>
      </c>
      <c r="FE55" s="136">
        <v>0</v>
      </c>
      <c r="FF55" s="136">
        <v>0</v>
      </c>
      <c r="FG55" s="136">
        <v>0</v>
      </c>
      <c r="FH55" s="136">
        <v>0</v>
      </c>
      <c r="FI55" s="136"/>
      <c r="FJ55" s="136"/>
      <c r="FK55" s="136"/>
      <c r="FL55" s="136"/>
      <c r="FM55" s="136"/>
      <c r="FN55" s="136"/>
      <c r="FO55" s="136">
        <v>0</v>
      </c>
      <c r="FP55" s="136">
        <v>0</v>
      </c>
      <c r="FQ55" s="136">
        <v>0</v>
      </c>
      <c r="FR55" s="136">
        <v>0</v>
      </c>
      <c r="FS55" s="136">
        <v>0</v>
      </c>
      <c r="FT55" s="136">
        <v>0</v>
      </c>
      <c r="FU55" s="136">
        <v>0</v>
      </c>
      <c r="FV55" s="136">
        <v>0</v>
      </c>
      <c r="FW55" s="136">
        <v>0</v>
      </c>
      <c r="FX55" s="136">
        <v>0</v>
      </c>
      <c r="FY55" s="136">
        <v>0</v>
      </c>
      <c r="FZ55" s="136">
        <v>0</v>
      </c>
      <c r="GA55" s="136">
        <v>0</v>
      </c>
      <c r="GB55" s="136">
        <v>0</v>
      </c>
      <c r="GC55" s="136">
        <v>0</v>
      </c>
      <c r="GD55" s="136">
        <v>0</v>
      </c>
      <c r="GE55" s="136">
        <v>0</v>
      </c>
      <c r="GF55" s="136">
        <v>0</v>
      </c>
      <c r="GG55" s="136">
        <v>0</v>
      </c>
      <c r="GH55" s="136">
        <v>0</v>
      </c>
      <c r="GI55" s="136">
        <v>0</v>
      </c>
      <c r="GJ55" s="136">
        <v>0</v>
      </c>
      <c r="GK55" s="136">
        <v>0</v>
      </c>
      <c r="GL55" s="136">
        <v>0</v>
      </c>
      <c r="GM55" s="136">
        <v>0</v>
      </c>
      <c r="GN55" s="136">
        <v>0</v>
      </c>
      <c r="GO55" s="136">
        <v>0</v>
      </c>
      <c r="GP55" s="136">
        <v>0</v>
      </c>
      <c r="GQ55" s="136">
        <v>0</v>
      </c>
      <c r="GR55" s="136">
        <v>0</v>
      </c>
      <c r="GS55" s="136">
        <v>5708782</v>
      </c>
      <c r="GT55" s="136">
        <v>2957397</v>
      </c>
      <c r="GU55" s="136">
        <v>23844946</v>
      </c>
      <c r="GV55" s="35" t="s">
        <v>79</v>
      </c>
      <c r="GW55" s="137">
        <v>9563644058</v>
      </c>
      <c r="GX55" s="35" t="s">
        <v>81</v>
      </c>
      <c r="GY55" s="136">
        <v>2957397</v>
      </c>
      <c r="GZ55" s="136" t="s">
        <v>439</v>
      </c>
      <c r="HA55" s="136" t="s">
        <v>439</v>
      </c>
      <c r="HB55" s="136" t="s">
        <v>439</v>
      </c>
      <c r="HC55" s="136" t="s">
        <v>439</v>
      </c>
      <c r="HD55" s="136" t="s">
        <v>439</v>
      </c>
      <c r="HE55" s="136" t="s">
        <v>439</v>
      </c>
      <c r="HF55" s="136" t="s">
        <v>439</v>
      </c>
      <c r="HG55" s="136" t="s">
        <v>439</v>
      </c>
      <c r="HH55" s="136" t="s">
        <v>439</v>
      </c>
      <c r="HI55" s="35" t="s">
        <v>439</v>
      </c>
      <c r="HJ55" s="35" t="s">
        <v>439</v>
      </c>
      <c r="HK55" s="35" t="s">
        <v>439</v>
      </c>
      <c r="HL55"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55"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55"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55"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55"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55"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55"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2957397</v>
      </c>
    </row>
    <row r="56" spans="1:226">
      <c r="A56" s="35" t="s">
        <v>69</v>
      </c>
      <c r="B56" s="37" t="s">
        <v>62</v>
      </c>
      <c r="C56" s="37">
        <v>550</v>
      </c>
      <c r="D56" s="37" t="s">
        <v>835</v>
      </c>
      <c r="E56" s="103">
        <v>3634</v>
      </c>
      <c r="F56" s="136">
        <v>21198</v>
      </c>
      <c r="G56" s="136">
        <v>0</v>
      </c>
      <c r="H56" s="136">
        <v>0</v>
      </c>
      <c r="I56" s="136">
        <v>0</v>
      </c>
      <c r="J56" s="136">
        <v>0</v>
      </c>
      <c r="K56" s="136">
        <v>0</v>
      </c>
      <c r="L56" s="136">
        <v>0</v>
      </c>
      <c r="M56" s="136">
        <v>0</v>
      </c>
      <c r="N56" s="136">
        <v>0</v>
      </c>
      <c r="O56" s="136">
        <v>0</v>
      </c>
      <c r="P56" s="136">
        <v>0</v>
      </c>
      <c r="Q56" s="136">
        <v>0</v>
      </c>
      <c r="R56" s="136">
        <v>0</v>
      </c>
      <c r="S56" s="136">
        <v>0</v>
      </c>
      <c r="T56" s="136">
        <v>0</v>
      </c>
      <c r="U56" s="136">
        <v>0</v>
      </c>
      <c r="V56" s="136">
        <v>0</v>
      </c>
      <c r="W56" s="136">
        <v>0</v>
      </c>
      <c r="X56" s="136">
        <v>0</v>
      </c>
      <c r="Y56" s="136">
        <v>0</v>
      </c>
      <c r="Z56" s="136">
        <v>0</v>
      </c>
      <c r="AA56" s="136">
        <v>0</v>
      </c>
      <c r="AB56" s="136">
        <v>0</v>
      </c>
      <c r="AC56" s="136">
        <v>0</v>
      </c>
      <c r="AD56" s="136">
        <v>0</v>
      </c>
      <c r="AE56" s="136">
        <v>0</v>
      </c>
      <c r="AF56" s="136">
        <v>0</v>
      </c>
      <c r="AG56" s="136">
        <v>0</v>
      </c>
      <c r="AH56" s="136">
        <v>0</v>
      </c>
      <c r="AI56" s="136">
        <v>0</v>
      </c>
      <c r="AJ56" s="136">
        <v>0</v>
      </c>
      <c r="AK56" s="136">
        <v>0</v>
      </c>
      <c r="AL56" s="136">
        <v>0</v>
      </c>
      <c r="AM56" s="136">
        <v>0</v>
      </c>
      <c r="AN56" s="136">
        <v>0</v>
      </c>
      <c r="AO56" s="136">
        <v>0</v>
      </c>
      <c r="AP56" s="136">
        <v>0</v>
      </c>
      <c r="AQ56" s="136">
        <v>0</v>
      </c>
      <c r="AR56" s="136">
        <v>0</v>
      </c>
      <c r="AS56" s="136">
        <v>0</v>
      </c>
      <c r="AT56" s="136">
        <v>0</v>
      </c>
      <c r="AU56" s="136">
        <v>0</v>
      </c>
      <c r="AV56" s="136">
        <v>0</v>
      </c>
      <c r="AW56" s="136">
        <v>0</v>
      </c>
      <c r="AX56" s="136">
        <v>0</v>
      </c>
      <c r="AY56" s="136">
        <v>0</v>
      </c>
      <c r="AZ56" s="136">
        <v>0</v>
      </c>
      <c r="BA56" s="136">
        <v>0</v>
      </c>
      <c r="BB56" s="136">
        <v>0</v>
      </c>
      <c r="BC56" s="136">
        <v>0</v>
      </c>
      <c r="BD56" s="136">
        <v>0</v>
      </c>
      <c r="BE56" s="136">
        <v>0</v>
      </c>
      <c r="BF56" s="136">
        <v>0</v>
      </c>
      <c r="BG56" s="136">
        <v>0</v>
      </c>
      <c r="BH56" s="136">
        <v>0</v>
      </c>
      <c r="BI56" s="136">
        <v>0</v>
      </c>
      <c r="BJ56" s="136">
        <v>0</v>
      </c>
      <c r="BK56" s="136">
        <v>0</v>
      </c>
      <c r="BL56" s="136">
        <v>0</v>
      </c>
      <c r="BM56" s="136">
        <v>0</v>
      </c>
      <c r="BN56" s="136">
        <v>0</v>
      </c>
      <c r="BO56" s="136">
        <v>0</v>
      </c>
      <c r="BP56" s="136">
        <v>0</v>
      </c>
      <c r="BQ56" s="136">
        <v>0</v>
      </c>
      <c r="BR56" s="136">
        <v>0</v>
      </c>
      <c r="BS56" s="136">
        <v>0</v>
      </c>
      <c r="BT56" s="136">
        <v>0</v>
      </c>
      <c r="BU56" s="136">
        <v>0</v>
      </c>
      <c r="BV56" s="136">
        <v>0</v>
      </c>
      <c r="BW56" s="136">
        <v>0</v>
      </c>
      <c r="BX56" s="136">
        <v>0</v>
      </c>
      <c r="BY56" s="136">
        <v>0</v>
      </c>
      <c r="BZ56" s="136">
        <v>0</v>
      </c>
      <c r="CA56" s="136">
        <v>0</v>
      </c>
      <c r="CB56" s="136">
        <v>0</v>
      </c>
      <c r="CC56" s="136">
        <v>0</v>
      </c>
      <c r="CD56" s="136">
        <v>0</v>
      </c>
      <c r="CE56" s="136">
        <v>0</v>
      </c>
      <c r="CF56" s="136">
        <v>0</v>
      </c>
      <c r="CG56" s="136">
        <v>0</v>
      </c>
      <c r="CH56" s="136">
        <v>0</v>
      </c>
      <c r="CI56" s="136">
        <v>0</v>
      </c>
      <c r="CJ56" s="136">
        <v>0</v>
      </c>
      <c r="CK56" s="136">
        <v>0</v>
      </c>
      <c r="CL56" s="136">
        <v>0</v>
      </c>
      <c r="CM56" s="136">
        <v>0</v>
      </c>
      <c r="CN56" s="136">
        <v>0</v>
      </c>
      <c r="CO56" s="136">
        <v>0</v>
      </c>
      <c r="CP56" s="136">
        <v>0</v>
      </c>
      <c r="CQ56" s="136">
        <v>0</v>
      </c>
      <c r="CR56" s="136">
        <v>0</v>
      </c>
      <c r="CS56" s="136">
        <v>0</v>
      </c>
      <c r="CT56" s="136">
        <v>0</v>
      </c>
      <c r="CU56" s="136">
        <v>0</v>
      </c>
      <c r="CV56" s="136">
        <v>0</v>
      </c>
      <c r="CW56" s="136">
        <v>0</v>
      </c>
      <c r="CX56" s="136">
        <v>0</v>
      </c>
      <c r="CY56" s="136">
        <v>0</v>
      </c>
      <c r="CZ56" s="136">
        <v>0</v>
      </c>
      <c r="DA56" s="136"/>
      <c r="DB56" s="136"/>
      <c r="DC56" s="136"/>
      <c r="DD56" s="136"/>
      <c r="DE56" s="136"/>
      <c r="DF56" s="136"/>
      <c r="DG56" s="136">
        <v>0</v>
      </c>
      <c r="DH56" s="136">
        <v>0</v>
      </c>
      <c r="DI56" s="136">
        <v>0</v>
      </c>
      <c r="DJ56" s="136">
        <v>0</v>
      </c>
      <c r="DK56" s="136">
        <v>0</v>
      </c>
      <c r="DL56" s="136">
        <v>0</v>
      </c>
      <c r="DM56" s="136">
        <v>0</v>
      </c>
      <c r="DN56" s="136">
        <v>0</v>
      </c>
      <c r="DO56" s="136">
        <v>0</v>
      </c>
      <c r="DP56" s="136">
        <v>0</v>
      </c>
      <c r="DQ56" s="136">
        <v>0</v>
      </c>
      <c r="DR56" s="136">
        <v>0</v>
      </c>
      <c r="DS56" s="136"/>
      <c r="DT56" s="136"/>
      <c r="DU56" s="136"/>
      <c r="DV56" s="136"/>
      <c r="DW56" s="136"/>
      <c r="DX56" s="136"/>
      <c r="DY56" s="136">
        <v>0</v>
      </c>
      <c r="DZ56" s="136">
        <v>0</v>
      </c>
      <c r="EA56" s="136">
        <v>0</v>
      </c>
      <c r="EB56" s="136">
        <v>0</v>
      </c>
      <c r="EC56" s="136">
        <v>0</v>
      </c>
      <c r="ED56" s="136">
        <v>0</v>
      </c>
      <c r="EE56" s="136">
        <v>0</v>
      </c>
      <c r="EF56" s="136">
        <v>0</v>
      </c>
      <c r="EG56" s="136">
        <v>0</v>
      </c>
      <c r="EH56" s="136">
        <v>0</v>
      </c>
      <c r="EI56" s="136">
        <v>0</v>
      </c>
      <c r="EJ56" s="136">
        <v>0</v>
      </c>
      <c r="EK56" s="136"/>
      <c r="EL56" s="136"/>
      <c r="EM56" s="136"/>
      <c r="EN56" s="136"/>
      <c r="EO56" s="136"/>
      <c r="EP56" s="136"/>
      <c r="EQ56" s="136">
        <v>0</v>
      </c>
      <c r="ER56" s="136">
        <v>0</v>
      </c>
      <c r="ES56" s="136">
        <v>0</v>
      </c>
      <c r="ET56" s="136">
        <v>0</v>
      </c>
      <c r="EU56" s="136">
        <v>0</v>
      </c>
      <c r="EV56" s="136">
        <v>0</v>
      </c>
      <c r="EW56" s="136"/>
      <c r="EX56" s="136"/>
      <c r="EY56" s="136"/>
      <c r="EZ56" s="136"/>
      <c r="FA56" s="136"/>
      <c r="FB56" s="136"/>
      <c r="FC56" s="136">
        <v>0</v>
      </c>
      <c r="FD56" s="136">
        <v>0</v>
      </c>
      <c r="FE56" s="136">
        <v>0</v>
      </c>
      <c r="FF56" s="136">
        <v>0</v>
      </c>
      <c r="FG56" s="136">
        <v>0</v>
      </c>
      <c r="FH56" s="136">
        <v>0</v>
      </c>
      <c r="FI56" s="136"/>
      <c r="FJ56" s="136"/>
      <c r="FK56" s="136"/>
      <c r="FL56" s="136"/>
      <c r="FM56" s="136"/>
      <c r="FN56" s="136"/>
      <c r="FO56" s="136">
        <v>0</v>
      </c>
      <c r="FP56" s="136">
        <v>0</v>
      </c>
      <c r="FQ56" s="136">
        <v>0</v>
      </c>
      <c r="FR56" s="136">
        <v>0</v>
      </c>
      <c r="FS56" s="136">
        <v>0</v>
      </c>
      <c r="FT56" s="136">
        <v>0</v>
      </c>
      <c r="FU56" s="136">
        <v>0</v>
      </c>
      <c r="FV56" s="136">
        <v>0</v>
      </c>
      <c r="FW56" s="136">
        <v>0</v>
      </c>
      <c r="FX56" s="136">
        <v>0</v>
      </c>
      <c r="FY56" s="136">
        <v>0</v>
      </c>
      <c r="FZ56" s="136">
        <v>0</v>
      </c>
      <c r="GA56" s="136">
        <v>0</v>
      </c>
      <c r="GB56" s="136">
        <v>0</v>
      </c>
      <c r="GC56" s="136">
        <v>0</v>
      </c>
      <c r="GD56" s="136">
        <v>0</v>
      </c>
      <c r="GE56" s="136">
        <v>0</v>
      </c>
      <c r="GF56" s="136">
        <v>0</v>
      </c>
      <c r="GG56" s="136">
        <v>0</v>
      </c>
      <c r="GH56" s="136">
        <v>0</v>
      </c>
      <c r="GI56" s="136">
        <v>0</v>
      </c>
      <c r="GJ56" s="136">
        <v>0</v>
      </c>
      <c r="GK56" s="136">
        <v>0</v>
      </c>
      <c r="GL56" s="136">
        <v>0</v>
      </c>
      <c r="GM56" s="136">
        <v>0</v>
      </c>
      <c r="GN56" s="136">
        <v>0</v>
      </c>
      <c r="GO56" s="136">
        <v>0</v>
      </c>
      <c r="GP56" s="136">
        <v>0</v>
      </c>
      <c r="GQ56" s="136">
        <v>0</v>
      </c>
      <c r="GR56" s="136">
        <v>0</v>
      </c>
      <c r="GS56" s="136">
        <v>52302268</v>
      </c>
      <c r="GT56" s="136">
        <v>21198</v>
      </c>
      <c r="GU56" s="136">
        <v>92844702</v>
      </c>
      <c r="GV56" s="35" t="s">
        <v>82</v>
      </c>
      <c r="GW56" s="137">
        <v>3528711084</v>
      </c>
      <c r="GX56" s="35" t="s">
        <v>83</v>
      </c>
      <c r="GY56" s="136">
        <v>21198</v>
      </c>
      <c r="GZ56" s="136" t="s">
        <v>439</v>
      </c>
      <c r="HA56" s="136" t="s">
        <v>439</v>
      </c>
      <c r="HB56" s="136" t="s">
        <v>439</v>
      </c>
      <c r="HC56" s="136" t="s">
        <v>439</v>
      </c>
      <c r="HD56" s="136" t="s">
        <v>439</v>
      </c>
      <c r="HE56" s="136" t="s">
        <v>439</v>
      </c>
      <c r="HF56" s="136" t="s">
        <v>439</v>
      </c>
      <c r="HG56" s="136" t="s">
        <v>439</v>
      </c>
      <c r="HH56" s="136" t="s">
        <v>439</v>
      </c>
      <c r="HI56" s="35" t="s">
        <v>439</v>
      </c>
      <c r="HJ56" s="35" t="s">
        <v>439</v>
      </c>
      <c r="HK56" s="35" t="s">
        <v>439</v>
      </c>
      <c r="HL56"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56"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56"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56"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56"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56"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56"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21198</v>
      </c>
    </row>
    <row r="57" spans="1:226">
      <c r="A57" s="35" t="s">
        <v>67</v>
      </c>
      <c r="B57" s="37" t="s">
        <v>62</v>
      </c>
      <c r="C57" s="37">
        <v>530</v>
      </c>
      <c r="D57" s="37" t="s">
        <v>835</v>
      </c>
      <c r="E57" s="103">
        <v>9932</v>
      </c>
      <c r="F57" s="136">
        <v>0</v>
      </c>
      <c r="G57" s="136">
        <v>0</v>
      </c>
      <c r="H57" s="136">
        <v>0</v>
      </c>
      <c r="I57" s="136">
        <v>0</v>
      </c>
      <c r="J57" s="136">
        <v>0</v>
      </c>
      <c r="K57" s="136">
        <v>0</v>
      </c>
      <c r="L57" s="136">
        <v>0</v>
      </c>
      <c r="M57" s="136">
        <v>0</v>
      </c>
      <c r="N57" s="136">
        <v>0</v>
      </c>
      <c r="O57" s="136">
        <v>0</v>
      </c>
      <c r="P57" s="136">
        <v>0</v>
      </c>
      <c r="Q57" s="136">
        <v>0</v>
      </c>
      <c r="R57" s="136">
        <v>0</v>
      </c>
      <c r="S57" s="136">
        <v>0</v>
      </c>
      <c r="T57" s="136">
        <v>0</v>
      </c>
      <c r="U57" s="136">
        <v>0</v>
      </c>
      <c r="V57" s="136">
        <v>0</v>
      </c>
      <c r="W57" s="136">
        <v>0</v>
      </c>
      <c r="X57" s="136">
        <v>0</v>
      </c>
      <c r="Y57" s="136">
        <v>0</v>
      </c>
      <c r="Z57" s="136">
        <v>0</v>
      </c>
      <c r="AA57" s="136">
        <v>0</v>
      </c>
      <c r="AB57" s="136">
        <v>0</v>
      </c>
      <c r="AC57" s="136">
        <v>0</v>
      </c>
      <c r="AD57" s="136">
        <v>0</v>
      </c>
      <c r="AE57" s="136">
        <v>0</v>
      </c>
      <c r="AF57" s="136">
        <v>0</v>
      </c>
      <c r="AG57" s="136">
        <v>0</v>
      </c>
      <c r="AH57" s="136">
        <v>0</v>
      </c>
      <c r="AI57" s="136">
        <v>0</v>
      </c>
      <c r="AJ57" s="136">
        <v>0</v>
      </c>
      <c r="AK57" s="136">
        <v>0</v>
      </c>
      <c r="AL57" s="136">
        <v>0</v>
      </c>
      <c r="AM57" s="136">
        <v>0</v>
      </c>
      <c r="AN57" s="136">
        <v>0</v>
      </c>
      <c r="AO57" s="136">
        <v>0</v>
      </c>
      <c r="AP57" s="136">
        <v>0</v>
      </c>
      <c r="AQ57" s="136">
        <v>0</v>
      </c>
      <c r="AR57" s="136">
        <v>0</v>
      </c>
      <c r="AS57" s="136">
        <v>0</v>
      </c>
      <c r="AT57" s="136">
        <v>0</v>
      </c>
      <c r="AU57" s="136">
        <v>0</v>
      </c>
      <c r="AV57" s="136">
        <v>0</v>
      </c>
      <c r="AW57" s="136">
        <v>0</v>
      </c>
      <c r="AX57" s="136">
        <v>0</v>
      </c>
      <c r="AY57" s="136">
        <v>0</v>
      </c>
      <c r="AZ57" s="136">
        <v>0</v>
      </c>
      <c r="BA57" s="136">
        <v>0</v>
      </c>
      <c r="BB57" s="136">
        <v>0</v>
      </c>
      <c r="BC57" s="136">
        <v>0</v>
      </c>
      <c r="BD57" s="136">
        <v>0</v>
      </c>
      <c r="BE57" s="136">
        <v>0</v>
      </c>
      <c r="BF57" s="136">
        <v>0</v>
      </c>
      <c r="BG57" s="136">
        <v>0</v>
      </c>
      <c r="BH57" s="136">
        <v>0</v>
      </c>
      <c r="BI57" s="136">
        <v>0</v>
      </c>
      <c r="BJ57" s="136">
        <v>0</v>
      </c>
      <c r="BK57" s="136">
        <v>0</v>
      </c>
      <c r="BL57" s="136">
        <v>0</v>
      </c>
      <c r="BM57" s="136">
        <v>0</v>
      </c>
      <c r="BN57" s="136">
        <v>0</v>
      </c>
      <c r="BO57" s="136">
        <v>0</v>
      </c>
      <c r="BP57" s="136">
        <v>0</v>
      </c>
      <c r="BQ57" s="136">
        <v>0</v>
      </c>
      <c r="BR57" s="136">
        <v>0</v>
      </c>
      <c r="BS57" s="136">
        <v>0</v>
      </c>
      <c r="BT57" s="136">
        <v>0</v>
      </c>
      <c r="BU57" s="136">
        <v>0</v>
      </c>
      <c r="BV57" s="136">
        <v>0</v>
      </c>
      <c r="BW57" s="136">
        <v>0</v>
      </c>
      <c r="BX57" s="136">
        <v>0</v>
      </c>
      <c r="BY57" s="136">
        <v>0</v>
      </c>
      <c r="BZ57" s="136">
        <v>0</v>
      </c>
      <c r="CA57" s="136">
        <v>0</v>
      </c>
      <c r="CB57" s="136">
        <v>0</v>
      </c>
      <c r="CC57" s="136">
        <v>0</v>
      </c>
      <c r="CD57" s="136">
        <v>0</v>
      </c>
      <c r="CE57" s="136">
        <v>0</v>
      </c>
      <c r="CF57" s="136">
        <v>0</v>
      </c>
      <c r="CG57" s="136">
        <v>0</v>
      </c>
      <c r="CH57" s="136">
        <v>0</v>
      </c>
      <c r="CI57" s="136">
        <v>0</v>
      </c>
      <c r="CJ57" s="136">
        <v>0</v>
      </c>
      <c r="CK57" s="136">
        <v>0</v>
      </c>
      <c r="CL57" s="136">
        <v>0</v>
      </c>
      <c r="CM57" s="136">
        <v>0</v>
      </c>
      <c r="CN57" s="136">
        <v>0</v>
      </c>
      <c r="CO57" s="136">
        <v>0</v>
      </c>
      <c r="CP57" s="136">
        <v>0</v>
      </c>
      <c r="CQ57" s="136">
        <v>0</v>
      </c>
      <c r="CR57" s="136">
        <v>0</v>
      </c>
      <c r="CS57" s="136">
        <v>0</v>
      </c>
      <c r="CT57" s="136">
        <v>0</v>
      </c>
      <c r="CU57" s="136">
        <v>0</v>
      </c>
      <c r="CV57" s="136">
        <v>0</v>
      </c>
      <c r="CW57" s="136">
        <v>0</v>
      </c>
      <c r="CX57" s="136">
        <v>0</v>
      </c>
      <c r="CY57" s="136">
        <v>0</v>
      </c>
      <c r="CZ57" s="136">
        <v>0</v>
      </c>
      <c r="DA57" s="136"/>
      <c r="DB57" s="136"/>
      <c r="DC57" s="136"/>
      <c r="DD57" s="136"/>
      <c r="DE57" s="136"/>
      <c r="DF57" s="136"/>
      <c r="DG57" s="136">
        <v>0</v>
      </c>
      <c r="DH57" s="136">
        <v>0</v>
      </c>
      <c r="DI57" s="136">
        <v>0</v>
      </c>
      <c r="DJ57" s="136">
        <v>0</v>
      </c>
      <c r="DK57" s="136">
        <v>0</v>
      </c>
      <c r="DL57" s="136">
        <v>0</v>
      </c>
      <c r="DM57" s="136">
        <v>0</v>
      </c>
      <c r="DN57" s="136">
        <v>0</v>
      </c>
      <c r="DO57" s="136">
        <v>0</v>
      </c>
      <c r="DP57" s="136">
        <v>0</v>
      </c>
      <c r="DQ57" s="136">
        <v>0</v>
      </c>
      <c r="DR57" s="136">
        <v>0</v>
      </c>
      <c r="DS57" s="136"/>
      <c r="DT57" s="136"/>
      <c r="DU57" s="136"/>
      <c r="DV57" s="136"/>
      <c r="DW57" s="136"/>
      <c r="DX57" s="136"/>
      <c r="DY57" s="136">
        <v>0</v>
      </c>
      <c r="DZ57" s="136">
        <v>0</v>
      </c>
      <c r="EA57" s="136">
        <v>0</v>
      </c>
      <c r="EB57" s="136">
        <v>0</v>
      </c>
      <c r="EC57" s="136">
        <v>0</v>
      </c>
      <c r="ED57" s="136">
        <v>0</v>
      </c>
      <c r="EE57" s="136">
        <v>0</v>
      </c>
      <c r="EF57" s="136">
        <v>0</v>
      </c>
      <c r="EG57" s="136">
        <v>0</v>
      </c>
      <c r="EH57" s="136">
        <v>0</v>
      </c>
      <c r="EI57" s="136">
        <v>0</v>
      </c>
      <c r="EJ57" s="136">
        <v>0</v>
      </c>
      <c r="EK57" s="136"/>
      <c r="EL57" s="136"/>
      <c r="EM57" s="136"/>
      <c r="EN57" s="136"/>
      <c r="EO57" s="136"/>
      <c r="EP57" s="136"/>
      <c r="EQ57" s="136">
        <v>0</v>
      </c>
      <c r="ER57" s="136">
        <v>0</v>
      </c>
      <c r="ES57" s="136">
        <v>0</v>
      </c>
      <c r="ET57" s="136">
        <v>0</v>
      </c>
      <c r="EU57" s="136">
        <v>0</v>
      </c>
      <c r="EV57" s="136">
        <v>0</v>
      </c>
      <c r="EW57" s="136"/>
      <c r="EX57" s="136"/>
      <c r="EY57" s="136"/>
      <c r="EZ57" s="136"/>
      <c r="FA57" s="136"/>
      <c r="FB57" s="136"/>
      <c r="FC57" s="136">
        <v>0</v>
      </c>
      <c r="FD57" s="136">
        <v>0</v>
      </c>
      <c r="FE57" s="136">
        <v>0</v>
      </c>
      <c r="FF57" s="136">
        <v>0</v>
      </c>
      <c r="FG57" s="136">
        <v>0</v>
      </c>
      <c r="FH57" s="136">
        <v>0</v>
      </c>
      <c r="FI57" s="136"/>
      <c r="FJ57" s="136"/>
      <c r="FK57" s="136"/>
      <c r="FL57" s="136"/>
      <c r="FM57" s="136"/>
      <c r="FN57" s="136"/>
      <c r="FO57" s="136">
        <v>0</v>
      </c>
      <c r="FP57" s="136">
        <v>0</v>
      </c>
      <c r="FQ57" s="136">
        <v>0</v>
      </c>
      <c r="FR57" s="136">
        <v>0</v>
      </c>
      <c r="FS57" s="136">
        <v>0</v>
      </c>
      <c r="FT57" s="136">
        <v>0</v>
      </c>
      <c r="FU57" s="136">
        <v>0</v>
      </c>
      <c r="FV57" s="136">
        <v>0</v>
      </c>
      <c r="FW57" s="136">
        <v>0</v>
      </c>
      <c r="FX57" s="136">
        <v>0</v>
      </c>
      <c r="FY57" s="136">
        <v>0</v>
      </c>
      <c r="FZ57" s="136">
        <v>0</v>
      </c>
      <c r="GA57" s="136">
        <v>0</v>
      </c>
      <c r="GB57" s="136">
        <v>0</v>
      </c>
      <c r="GC57" s="136">
        <v>0</v>
      </c>
      <c r="GD57" s="136">
        <v>0</v>
      </c>
      <c r="GE57" s="136">
        <v>0</v>
      </c>
      <c r="GF57" s="136">
        <v>0</v>
      </c>
      <c r="GG57" s="136">
        <v>0</v>
      </c>
      <c r="GH57" s="136">
        <v>0</v>
      </c>
      <c r="GI57" s="136">
        <v>0</v>
      </c>
      <c r="GJ57" s="136">
        <v>0</v>
      </c>
      <c r="GK57" s="136">
        <v>0</v>
      </c>
      <c r="GL57" s="136">
        <v>0</v>
      </c>
      <c r="GM57" s="136">
        <v>0</v>
      </c>
      <c r="GN57" s="136">
        <v>0</v>
      </c>
      <c r="GO57" s="136">
        <v>0</v>
      </c>
      <c r="GP57" s="136">
        <v>0</v>
      </c>
      <c r="GQ57" s="136">
        <v>0</v>
      </c>
      <c r="GR57" s="136">
        <v>0</v>
      </c>
      <c r="GS57" s="136">
        <v>17133561</v>
      </c>
      <c r="GT57" s="136">
        <v>0</v>
      </c>
      <c r="GU57" s="136">
        <v>23292497</v>
      </c>
      <c r="GV57" s="35" t="s">
        <v>79</v>
      </c>
      <c r="GW57" s="137">
        <v>9563644058</v>
      </c>
      <c r="GX57" s="35" t="s">
        <v>80</v>
      </c>
      <c r="GY57" s="136">
        <v>0</v>
      </c>
      <c r="GZ57" s="136" t="s">
        <v>439</v>
      </c>
      <c r="HA57" s="136" t="s">
        <v>439</v>
      </c>
      <c r="HB57" s="136" t="s">
        <v>439</v>
      </c>
      <c r="HC57" s="136" t="s">
        <v>439</v>
      </c>
      <c r="HD57" s="136" t="s">
        <v>439</v>
      </c>
      <c r="HE57" s="136" t="s">
        <v>439</v>
      </c>
      <c r="HF57" s="136" t="s">
        <v>439</v>
      </c>
      <c r="HG57" s="136" t="s">
        <v>439</v>
      </c>
      <c r="HH57" s="136" t="s">
        <v>439</v>
      </c>
      <c r="HI57" s="35" t="s">
        <v>439</v>
      </c>
      <c r="HJ57" s="35" t="s">
        <v>439</v>
      </c>
      <c r="HK57" s="35" t="s">
        <v>439</v>
      </c>
      <c r="HL57"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57"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57"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57"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57"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57"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57"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58" spans="1:226">
      <c r="A58" s="35" t="s">
        <v>44</v>
      </c>
      <c r="B58" s="37" t="s">
        <v>19</v>
      </c>
      <c r="C58" s="37">
        <v>290</v>
      </c>
      <c r="D58" s="37" t="s">
        <v>835</v>
      </c>
      <c r="E58" s="103">
        <v>3615</v>
      </c>
      <c r="F58" s="136">
        <v>0</v>
      </c>
      <c r="G58" s="136">
        <v>0</v>
      </c>
      <c r="H58" s="136">
        <v>126839858</v>
      </c>
      <c r="I58" s="136">
        <v>9038327</v>
      </c>
      <c r="J58" s="136">
        <v>5412845</v>
      </c>
      <c r="K58" s="136">
        <v>0</v>
      </c>
      <c r="L58" s="136">
        <v>0</v>
      </c>
      <c r="M58" s="136">
        <v>0</v>
      </c>
      <c r="N58" s="136">
        <v>0</v>
      </c>
      <c r="O58" s="136">
        <v>1363849</v>
      </c>
      <c r="P58" s="136">
        <v>0</v>
      </c>
      <c r="Q58" s="136">
        <v>71419</v>
      </c>
      <c r="R58" s="136">
        <v>680799</v>
      </c>
      <c r="S58" s="136">
        <v>139265</v>
      </c>
      <c r="T58" s="136">
        <v>49105</v>
      </c>
      <c r="U58" s="136">
        <v>4114057</v>
      </c>
      <c r="V58" s="136">
        <v>368910</v>
      </c>
      <c r="W58" s="136">
        <v>841250</v>
      </c>
      <c r="X58" s="136">
        <v>6185714</v>
      </c>
      <c r="Y58" s="136">
        <v>343487</v>
      </c>
      <c r="Z58" s="136">
        <v>410833</v>
      </c>
      <c r="AA58" s="136">
        <v>1150386</v>
      </c>
      <c r="AB58" s="136">
        <v>101462</v>
      </c>
      <c r="AC58" s="136">
        <v>0</v>
      </c>
      <c r="AD58" s="136">
        <v>4000534</v>
      </c>
      <c r="AE58" s="136">
        <v>532599</v>
      </c>
      <c r="AF58" s="136">
        <v>37115</v>
      </c>
      <c r="AG58" s="136">
        <v>3576597</v>
      </c>
      <c r="AH58" s="136">
        <v>1983173</v>
      </c>
      <c r="AI58" s="136">
        <v>372229</v>
      </c>
      <c r="AJ58" s="136">
        <v>2313488</v>
      </c>
      <c r="AK58" s="136">
        <v>313327</v>
      </c>
      <c r="AL58" s="136">
        <v>385939</v>
      </c>
      <c r="AM58" s="136">
        <v>1985124</v>
      </c>
      <c r="AN58" s="136">
        <v>532278</v>
      </c>
      <c r="AO58" s="136">
        <v>789283</v>
      </c>
      <c r="AP58" s="136">
        <v>397608</v>
      </c>
      <c r="AQ58" s="136">
        <v>0</v>
      </c>
      <c r="AR58" s="136">
        <v>860265</v>
      </c>
      <c r="AS58" s="136">
        <v>1513704</v>
      </c>
      <c r="AT58" s="136">
        <v>45634</v>
      </c>
      <c r="AU58" s="136">
        <v>0</v>
      </c>
      <c r="AV58" s="136">
        <v>1882891</v>
      </c>
      <c r="AW58" s="136">
        <v>0</v>
      </c>
      <c r="AX58" s="136">
        <v>22067</v>
      </c>
      <c r="AY58" s="136">
        <v>1497559</v>
      </c>
      <c r="AZ58" s="136">
        <v>50031</v>
      </c>
      <c r="BA58" s="136">
        <v>12418</v>
      </c>
      <c r="BB58" s="136">
        <v>3315475</v>
      </c>
      <c r="BC58" s="136">
        <v>68929</v>
      </c>
      <c r="BD58" s="136">
        <v>112576</v>
      </c>
      <c r="BE58" s="136">
        <v>3906022</v>
      </c>
      <c r="BF58" s="136">
        <v>91929</v>
      </c>
      <c r="BG58" s="136">
        <v>143086</v>
      </c>
      <c r="BH58" s="136">
        <v>2233285</v>
      </c>
      <c r="BI58" s="136">
        <v>0</v>
      </c>
      <c r="BJ58" s="136">
        <v>333296</v>
      </c>
      <c r="BK58" s="136">
        <v>149043</v>
      </c>
      <c r="BL58" s="136">
        <v>0</v>
      </c>
      <c r="BM58" s="136">
        <v>0</v>
      </c>
      <c r="BN58" s="136">
        <v>755840</v>
      </c>
      <c r="BO58" s="136">
        <v>38885</v>
      </c>
      <c r="BP58" s="136">
        <v>14580</v>
      </c>
      <c r="BQ58" s="136">
        <v>3881131</v>
      </c>
      <c r="BR58" s="136">
        <v>3012342</v>
      </c>
      <c r="BS58" s="136">
        <v>184997</v>
      </c>
      <c r="BT58" s="136">
        <v>3430630</v>
      </c>
      <c r="BU58" s="136">
        <v>59779</v>
      </c>
      <c r="BV58" s="136">
        <v>211422</v>
      </c>
      <c r="BW58" s="136">
        <v>45403</v>
      </c>
      <c r="BX58" s="136">
        <v>504173</v>
      </c>
      <c r="BY58" s="136">
        <v>0</v>
      </c>
      <c r="BZ58" s="136">
        <v>3651386</v>
      </c>
      <c r="CA58" s="136">
        <v>0</v>
      </c>
      <c r="CB58" s="136">
        <v>11320</v>
      </c>
      <c r="CC58" s="136">
        <v>258848</v>
      </c>
      <c r="CD58" s="136">
        <v>162864</v>
      </c>
      <c r="CE58" s="136">
        <v>0</v>
      </c>
      <c r="CF58" s="136">
        <v>3378884</v>
      </c>
      <c r="CG58" s="136">
        <v>17235</v>
      </c>
      <c r="CH58" s="136">
        <v>95465</v>
      </c>
      <c r="CI58" s="136">
        <v>5618932</v>
      </c>
      <c r="CJ58" s="136">
        <v>424808</v>
      </c>
      <c r="CK58" s="136">
        <v>0</v>
      </c>
      <c r="CL58" s="136">
        <v>4183064</v>
      </c>
      <c r="CM58" s="136">
        <v>18495</v>
      </c>
      <c r="CN58" s="136">
        <v>416235</v>
      </c>
      <c r="CO58" s="136">
        <v>14575383</v>
      </c>
      <c r="CP58" s="136">
        <v>970147</v>
      </c>
      <c r="CQ58" s="136">
        <v>34049</v>
      </c>
      <c r="CR58" s="136">
        <v>3013747</v>
      </c>
      <c r="CS58" s="136">
        <v>486</v>
      </c>
      <c r="CT58" s="136">
        <v>509455</v>
      </c>
      <c r="CU58" s="136">
        <v>0</v>
      </c>
      <c r="CV58" s="136">
        <v>22608209</v>
      </c>
      <c r="CW58" s="136">
        <v>2290025</v>
      </c>
      <c r="CX58" s="136">
        <v>1166047</v>
      </c>
      <c r="CY58" s="136">
        <v>0</v>
      </c>
      <c r="CZ58" s="136">
        <v>3388221</v>
      </c>
      <c r="DA58" s="136"/>
      <c r="DB58" s="136"/>
      <c r="DC58" s="136"/>
      <c r="DD58" s="136"/>
      <c r="DE58" s="136"/>
      <c r="DF58" s="136"/>
      <c r="DG58" s="136">
        <v>660394</v>
      </c>
      <c r="DH58" s="136">
        <v>6034592</v>
      </c>
      <c r="DI58" s="136">
        <v>-70952</v>
      </c>
      <c r="DJ58" s="136">
        <v>6205733</v>
      </c>
      <c r="DK58" s="136">
        <v>0</v>
      </c>
      <c r="DL58" s="136">
        <v>250736</v>
      </c>
      <c r="DM58" s="136">
        <v>0</v>
      </c>
      <c r="DN58" s="136">
        <v>0</v>
      </c>
      <c r="DO58" s="136">
        <v>0</v>
      </c>
      <c r="DP58" s="136">
        <v>0</v>
      </c>
      <c r="DQ58" s="136">
        <v>0</v>
      </c>
      <c r="DR58" s="136">
        <v>0</v>
      </c>
      <c r="DS58" s="136"/>
      <c r="DT58" s="136"/>
      <c r="DU58" s="136"/>
      <c r="DV58" s="136"/>
      <c r="DW58" s="136"/>
      <c r="DX58" s="136"/>
      <c r="DY58" s="136">
        <v>557561</v>
      </c>
      <c r="DZ58" s="136">
        <v>0</v>
      </c>
      <c r="EA58" s="136">
        <v>142238</v>
      </c>
      <c r="EB58" s="136">
        <v>414536</v>
      </c>
      <c r="EC58" s="136">
        <v>0</v>
      </c>
      <c r="ED58" s="136">
        <v>0</v>
      </c>
      <c r="EE58" s="136">
        <v>0</v>
      </c>
      <c r="EF58" s="136">
        <v>0</v>
      </c>
      <c r="EG58" s="136">
        <v>0</v>
      </c>
      <c r="EH58" s="136">
        <v>0</v>
      </c>
      <c r="EI58" s="136">
        <v>0</v>
      </c>
      <c r="EJ58" s="136">
        <v>0</v>
      </c>
      <c r="EK58" s="136"/>
      <c r="EL58" s="136"/>
      <c r="EM58" s="136"/>
      <c r="EN58" s="136"/>
      <c r="EO58" s="136"/>
      <c r="EP58" s="136"/>
      <c r="EQ58" s="136">
        <v>353137</v>
      </c>
      <c r="ER58" s="136">
        <v>0</v>
      </c>
      <c r="ES58" s="136">
        <v>0</v>
      </c>
      <c r="ET58" s="136">
        <v>0</v>
      </c>
      <c r="EU58" s="136">
        <v>0</v>
      </c>
      <c r="EV58" s="136">
        <v>0</v>
      </c>
      <c r="EW58" s="136"/>
      <c r="EX58" s="136"/>
      <c r="EY58" s="136"/>
      <c r="EZ58" s="136"/>
      <c r="FA58" s="136"/>
      <c r="FB58" s="136"/>
      <c r="FC58" s="136">
        <v>2303630</v>
      </c>
      <c r="FD58" s="136">
        <v>9814</v>
      </c>
      <c r="FE58" s="136">
        <v>315132</v>
      </c>
      <c r="FF58" s="136">
        <v>247601</v>
      </c>
      <c r="FG58" s="136">
        <v>313731</v>
      </c>
      <c r="FH58" s="136">
        <v>341041</v>
      </c>
      <c r="FI58" s="136"/>
      <c r="FJ58" s="136"/>
      <c r="FK58" s="136"/>
      <c r="FL58" s="136"/>
      <c r="FM58" s="136"/>
      <c r="FN58" s="136"/>
      <c r="FO58" s="136">
        <v>0</v>
      </c>
      <c r="FP58" s="136">
        <v>1973359</v>
      </c>
      <c r="FQ58" s="136">
        <v>0</v>
      </c>
      <c r="FR58" s="136">
        <v>94015</v>
      </c>
      <c r="FS58" s="136">
        <v>0</v>
      </c>
      <c r="FT58" s="136">
        <v>30020</v>
      </c>
      <c r="FU58" s="136">
        <v>1105340</v>
      </c>
      <c r="FV58" s="136">
        <v>0</v>
      </c>
      <c r="FW58" s="136">
        <v>0</v>
      </c>
      <c r="FX58" s="136">
        <v>149616</v>
      </c>
      <c r="FY58" s="136">
        <v>379558</v>
      </c>
      <c r="FZ58" s="136">
        <v>1044</v>
      </c>
      <c r="GA58" s="136">
        <v>1352698</v>
      </c>
      <c r="GB58" s="136">
        <v>246174</v>
      </c>
      <c r="GC58" s="136">
        <v>751832</v>
      </c>
      <c r="GD58" s="136">
        <v>125923</v>
      </c>
      <c r="GE58" s="136">
        <v>0</v>
      </c>
      <c r="GF58" s="136">
        <v>797334</v>
      </c>
      <c r="GG58" s="136">
        <v>0</v>
      </c>
      <c r="GH58" s="136">
        <v>0</v>
      </c>
      <c r="GI58" s="136">
        <v>0</v>
      </c>
      <c r="GJ58" s="136">
        <v>0</v>
      </c>
      <c r="GK58" s="136">
        <v>0</v>
      </c>
      <c r="GL58" s="136">
        <v>0</v>
      </c>
      <c r="GM58" s="136">
        <v>0</v>
      </c>
      <c r="GN58" s="136">
        <v>0</v>
      </c>
      <c r="GO58" s="136">
        <v>0</v>
      </c>
      <c r="GP58" s="136">
        <v>0</v>
      </c>
      <c r="GQ58" s="136">
        <v>0</v>
      </c>
      <c r="GR58" s="136">
        <v>0</v>
      </c>
      <c r="GS58" s="136">
        <v>192827364</v>
      </c>
      <c r="GT58" s="136">
        <v>130931460</v>
      </c>
      <c r="GU58" s="136">
        <v>574498437</v>
      </c>
      <c r="GV58" s="35" t="s">
        <v>355</v>
      </c>
      <c r="GW58" s="137">
        <v>5122452087</v>
      </c>
      <c r="GX58" s="35" t="s">
        <v>356</v>
      </c>
      <c r="GY58" s="136">
        <v>126839858</v>
      </c>
      <c r="GZ58" s="136">
        <v>-79788081</v>
      </c>
      <c r="HA58" s="136">
        <v>0</v>
      </c>
      <c r="HB58" s="136">
        <v>0</v>
      </c>
      <c r="HC58" s="136">
        <v>0</v>
      </c>
      <c r="HD58" s="136">
        <v>0</v>
      </c>
      <c r="HE58" s="136">
        <v>0</v>
      </c>
      <c r="HF58" s="136">
        <v>0</v>
      </c>
      <c r="HG58" s="136">
        <v>0</v>
      </c>
      <c r="HH58" s="136">
        <v>0</v>
      </c>
      <c r="HI58" s="35" t="s">
        <v>439</v>
      </c>
      <c r="HJ58" s="35" t="s">
        <v>439</v>
      </c>
      <c r="HK58" s="35" t="s">
        <v>439</v>
      </c>
      <c r="HL58"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44296432</v>
      </c>
      <c r="HM58"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36890552</v>
      </c>
      <c r="HN58"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4667804</v>
      </c>
      <c r="HO58"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41249786</v>
      </c>
      <c r="HP58"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1532487</v>
      </c>
      <c r="HQ58"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7108630</v>
      </c>
      <c r="HR58"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47051777</v>
      </c>
    </row>
    <row r="59" spans="1:226">
      <c r="A59" s="35" t="s">
        <v>46</v>
      </c>
      <c r="B59" s="37" t="s">
        <v>19</v>
      </c>
      <c r="C59" s="37">
        <v>310</v>
      </c>
      <c r="D59" s="37" t="s">
        <v>835</v>
      </c>
      <c r="E59" s="103">
        <v>3644</v>
      </c>
      <c r="F59" s="136">
        <v>1199691</v>
      </c>
      <c r="G59" s="136">
        <v>0</v>
      </c>
      <c r="H59" s="136">
        <v>192410578</v>
      </c>
      <c r="I59" s="136">
        <v>13830192</v>
      </c>
      <c r="J59" s="136">
        <v>23188543</v>
      </c>
      <c r="K59" s="136">
        <v>0</v>
      </c>
      <c r="L59" s="136">
        <v>0</v>
      </c>
      <c r="M59" s="136">
        <v>22651275</v>
      </c>
      <c r="N59" s="136">
        <v>6994542</v>
      </c>
      <c r="O59" s="136">
        <v>7821427</v>
      </c>
      <c r="P59" s="136">
        <v>12529498</v>
      </c>
      <c r="Q59" s="136">
        <v>454445</v>
      </c>
      <c r="R59" s="136">
        <v>8350351</v>
      </c>
      <c r="S59" s="136">
        <v>5000577</v>
      </c>
      <c r="T59" s="136">
        <v>4411371</v>
      </c>
      <c r="U59" s="136">
        <v>6642103</v>
      </c>
      <c r="V59" s="136">
        <v>7767957</v>
      </c>
      <c r="W59" s="136">
        <v>36528</v>
      </c>
      <c r="X59" s="136">
        <v>3581201</v>
      </c>
      <c r="Y59" s="136">
        <v>1027313</v>
      </c>
      <c r="Z59" s="136">
        <v>1187143</v>
      </c>
      <c r="AA59" s="136">
        <v>1443962</v>
      </c>
      <c r="AB59" s="136">
        <v>2358781</v>
      </c>
      <c r="AC59" s="136">
        <v>9391</v>
      </c>
      <c r="AD59" s="136">
        <v>1776604</v>
      </c>
      <c r="AE59" s="136">
        <v>87959</v>
      </c>
      <c r="AF59" s="136">
        <v>77057</v>
      </c>
      <c r="AG59" s="136">
        <v>28149527</v>
      </c>
      <c r="AH59" s="136">
        <v>16910563</v>
      </c>
      <c r="AI59" s="136">
        <v>1098111</v>
      </c>
      <c r="AJ59" s="136">
        <v>5782764</v>
      </c>
      <c r="AK59" s="136">
        <v>3156386</v>
      </c>
      <c r="AL59" s="136">
        <v>1499249</v>
      </c>
      <c r="AM59" s="136">
        <v>4310996</v>
      </c>
      <c r="AN59" s="136">
        <v>2189670</v>
      </c>
      <c r="AO59" s="136">
        <v>0</v>
      </c>
      <c r="AP59" s="136">
        <v>577372</v>
      </c>
      <c r="AQ59" s="136">
        <v>200629</v>
      </c>
      <c r="AR59" s="136">
        <v>174890</v>
      </c>
      <c r="AS59" s="136">
        <v>856712</v>
      </c>
      <c r="AT59" s="136">
        <v>3233665</v>
      </c>
      <c r="AU59" s="136">
        <v>0</v>
      </c>
      <c r="AV59" s="136">
        <v>289772</v>
      </c>
      <c r="AW59" s="136">
        <v>17444</v>
      </c>
      <c r="AX59" s="136">
        <v>45460</v>
      </c>
      <c r="AY59" s="136">
        <v>956046</v>
      </c>
      <c r="AZ59" s="136">
        <v>10362709</v>
      </c>
      <c r="BA59" s="136">
        <v>312345</v>
      </c>
      <c r="BB59" s="136">
        <v>1197260</v>
      </c>
      <c r="BC59" s="136">
        <v>323187</v>
      </c>
      <c r="BD59" s="136">
        <v>195051</v>
      </c>
      <c r="BE59" s="136">
        <v>4428786</v>
      </c>
      <c r="BF59" s="136">
        <v>5227229</v>
      </c>
      <c r="BG59" s="136">
        <v>0</v>
      </c>
      <c r="BH59" s="136">
        <v>4551700</v>
      </c>
      <c r="BI59" s="136">
        <v>362205</v>
      </c>
      <c r="BJ59" s="136">
        <v>551556</v>
      </c>
      <c r="BK59" s="136">
        <v>936192</v>
      </c>
      <c r="BL59" s="136">
        <v>4426026</v>
      </c>
      <c r="BM59" s="136">
        <v>17904</v>
      </c>
      <c r="BN59" s="136">
        <v>1993336</v>
      </c>
      <c r="BO59" s="136">
        <v>588736</v>
      </c>
      <c r="BP59" s="136">
        <v>473643</v>
      </c>
      <c r="BQ59" s="136">
        <v>567387</v>
      </c>
      <c r="BR59" s="136">
        <v>7240799</v>
      </c>
      <c r="BS59" s="136">
        <v>0</v>
      </c>
      <c r="BT59" s="136">
        <v>1824200</v>
      </c>
      <c r="BU59" s="136">
        <v>2074574</v>
      </c>
      <c r="BV59" s="136">
        <v>1371981</v>
      </c>
      <c r="BW59" s="136">
        <v>305280</v>
      </c>
      <c r="BX59" s="136">
        <v>0</v>
      </c>
      <c r="BY59" s="136">
        <v>0</v>
      </c>
      <c r="BZ59" s="136">
        <v>453006</v>
      </c>
      <c r="CA59" s="136">
        <v>0</v>
      </c>
      <c r="CB59" s="136">
        <v>0</v>
      </c>
      <c r="CC59" s="136">
        <v>272321</v>
      </c>
      <c r="CD59" s="136">
        <v>6537757</v>
      </c>
      <c r="CE59" s="136">
        <v>0</v>
      </c>
      <c r="CF59" s="136">
        <v>876204</v>
      </c>
      <c r="CG59" s="136">
        <v>120044</v>
      </c>
      <c r="CH59" s="136">
        <v>97748</v>
      </c>
      <c r="CI59" s="136">
        <v>977873</v>
      </c>
      <c r="CJ59" s="136">
        <v>6181158</v>
      </c>
      <c r="CK59" s="136">
        <v>0</v>
      </c>
      <c r="CL59" s="136">
        <v>8435554</v>
      </c>
      <c r="CM59" s="136">
        <v>1937695</v>
      </c>
      <c r="CN59" s="136">
        <v>1038760</v>
      </c>
      <c r="CO59" s="136">
        <v>629211</v>
      </c>
      <c r="CP59" s="136">
        <v>3809242</v>
      </c>
      <c r="CQ59" s="136">
        <v>3924586</v>
      </c>
      <c r="CR59" s="136">
        <v>823107</v>
      </c>
      <c r="CS59" s="136">
        <v>177866</v>
      </c>
      <c r="CT59" s="136">
        <v>3666228</v>
      </c>
      <c r="CU59" s="136">
        <v>0</v>
      </c>
      <c r="CV59" s="136">
        <v>1446959</v>
      </c>
      <c r="CW59" s="136">
        <v>0</v>
      </c>
      <c r="CX59" s="136">
        <v>399984</v>
      </c>
      <c r="CY59" s="136">
        <v>114319</v>
      </c>
      <c r="CZ59" s="136">
        <v>65192</v>
      </c>
      <c r="DA59" s="136"/>
      <c r="DB59" s="136"/>
      <c r="DC59" s="136"/>
      <c r="DD59" s="136"/>
      <c r="DE59" s="136"/>
      <c r="DF59" s="136"/>
      <c r="DG59" s="136">
        <v>201278</v>
      </c>
      <c r="DH59" s="136">
        <v>3033951</v>
      </c>
      <c r="DI59" s="136">
        <v>0</v>
      </c>
      <c r="DJ59" s="136">
        <v>439824</v>
      </c>
      <c r="DK59" s="136">
        <v>230138</v>
      </c>
      <c r="DL59" s="136">
        <v>194298</v>
      </c>
      <c r="DM59" s="136">
        <v>566086</v>
      </c>
      <c r="DN59" s="136">
        <v>0</v>
      </c>
      <c r="DO59" s="136">
        <v>0</v>
      </c>
      <c r="DP59" s="136">
        <v>0</v>
      </c>
      <c r="DQ59" s="136">
        <v>0</v>
      </c>
      <c r="DR59" s="136">
        <v>0</v>
      </c>
      <c r="DS59" s="136"/>
      <c r="DT59" s="136"/>
      <c r="DU59" s="136"/>
      <c r="DV59" s="136"/>
      <c r="DW59" s="136"/>
      <c r="DX59" s="136"/>
      <c r="DY59" s="136">
        <v>1648453</v>
      </c>
      <c r="DZ59" s="136">
        <v>0</v>
      </c>
      <c r="EA59" s="136">
        <v>7520</v>
      </c>
      <c r="EB59" s="136">
        <v>0</v>
      </c>
      <c r="EC59" s="136">
        <v>151967</v>
      </c>
      <c r="ED59" s="136">
        <v>158680</v>
      </c>
      <c r="EE59" s="136">
        <v>460933</v>
      </c>
      <c r="EF59" s="136">
        <v>0</v>
      </c>
      <c r="EG59" s="136">
        <v>0</v>
      </c>
      <c r="EH59" s="136">
        <v>0</v>
      </c>
      <c r="EI59" s="136">
        <v>0</v>
      </c>
      <c r="EJ59" s="136">
        <v>72225</v>
      </c>
      <c r="EK59" s="136"/>
      <c r="EL59" s="136"/>
      <c r="EM59" s="136"/>
      <c r="EN59" s="136"/>
      <c r="EO59" s="136"/>
      <c r="EP59" s="136"/>
      <c r="EQ59" s="136">
        <v>1750524</v>
      </c>
      <c r="ER59" s="136">
        <v>0</v>
      </c>
      <c r="ES59" s="136">
        <v>319320</v>
      </c>
      <c r="ET59" s="136">
        <v>112904</v>
      </c>
      <c r="EU59" s="136">
        <v>27431</v>
      </c>
      <c r="EV59" s="136">
        <v>0</v>
      </c>
      <c r="EW59" s="136"/>
      <c r="EX59" s="136"/>
      <c r="EY59" s="136"/>
      <c r="EZ59" s="136"/>
      <c r="FA59" s="136"/>
      <c r="FB59" s="136"/>
      <c r="FC59" s="136">
        <v>831986</v>
      </c>
      <c r="FD59" s="136">
        <v>0</v>
      </c>
      <c r="FE59" s="136">
        <v>0</v>
      </c>
      <c r="FF59" s="136">
        <v>0</v>
      </c>
      <c r="FG59" s="136">
        <v>1019</v>
      </c>
      <c r="FH59" s="136">
        <v>0</v>
      </c>
      <c r="FI59" s="136"/>
      <c r="FJ59" s="136"/>
      <c r="FK59" s="136"/>
      <c r="FL59" s="136"/>
      <c r="FM59" s="136"/>
      <c r="FN59" s="136"/>
      <c r="FO59" s="136">
        <v>1857302</v>
      </c>
      <c r="FP59" s="136">
        <v>0</v>
      </c>
      <c r="FQ59" s="136">
        <v>0</v>
      </c>
      <c r="FR59" s="136">
        <v>0</v>
      </c>
      <c r="FS59" s="136">
        <v>74960</v>
      </c>
      <c r="FT59" s="136">
        <v>228633</v>
      </c>
      <c r="FU59" s="136">
        <v>1315452</v>
      </c>
      <c r="FV59" s="136">
        <v>0</v>
      </c>
      <c r="FW59" s="136">
        <v>0</v>
      </c>
      <c r="FX59" s="136">
        <v>0</v>
      </c>
      <c r="FY59" s="136">
        <v>67280</v>
      </c>
      <c r="FZ59" s="136">
        <v>25749</v>
      </c>
      <c r="GA59" s="136">
        <v>982363</v>
      </c>
      <c r="GB59" s="136">
        <v>18637</v>
      </c>
      <c r="GC59" s="136">
        <v>355212</v>
      </c>
      <c r="GD59" s="136">
        <v>5616</v>
      </c>
      <c r="GE59" s="136">
        <v>0</v>
      </c>
      <c r="GF59" s="136">
        <v>98940</v>
      </c>
      <c r="GG59" s="136">
        <v>0</v>
      </c>
      <c r="GH59" s="136">
        <v>0</v>
      </c>
      <c r="GI59" s="136">
        <v>0</v>
      </c>
      <c r="GJ59" s="136">
        <v>0</v>
      </c>
      <c r="GK59" s="136">
        <v>0</v>
      </c>
      <c r="GL59" s="136">
        <v>0</v>
      </c>
      <c r="GM59" s="136">
        <v>0</v>
      </c>
      <c r="GN59" s="136">
        <v>0</v>
      </c>
      <c r="GO59" s="136">
        <v>0</v>
      </c>
      <c r="GP59" s="136">
        <v>0</v>
      </c>
      <c r="GQ59" s="136">
        <v>0</v>
      </c>
      <c r="GR59" s="136">
        <v>0</v>
      </c>
      <c r="GS59" s="136">
        <v>247846497</v>
      </c>
      <c r="GT59" s="136">
        <v>216376126</v>
      </c>
      <c r="GU59" s="136">
        <v>870358991</v>
      </c>
      <c r="GV59" s="35" t="s">
        <v>359</v>
      </c>
      <c r="GW59" s="137">
        <v>8068344640</v>
      </c>
      <c r="GX59" s="35" t="s">
        <v>360</v>
      </c>
      <c r="GY59" s="136">
        <v>193610269</v>
      </c>
      <c r="GZ59" s="136">
        <v>-118612963</v>
      </c>
      <c r="HA59" s="136">
        <v>7211134</v>
      </c>
      <c r="HB59" s="136">
        <v>-12961519</v>
      </c>
      <c r="HC59" s="136">
        <v>0</v>
      </c>
      <c r="HD59" s="136">
        <v>-303838</v>
      </c>
      <c r="HE59" s="136">
        <v>0</v>
      </c>
      <c r="HF59" s="136">
        <v>204945</v>
      </c>
      <c r="HG59" s="136">
        <v>0</v>
      </c>
      <c r="HH59" s="136">
        <v>0</v>
      </c>
      <c r="HI59" s="35" t="s">
        <v>382</v>
      </c>
      <c r="HJ59" s="35"/>
      <c r="HK59" s="35"/>
      <c r="HL59"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58499101</v>
      </c>
      <c r="HM59"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93255964</v>
      </c>
      <c r="HN59"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5853310</v>
      </c>
      <c r="HO59"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41113693</v>
      </c>
      <c r="HP59"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15419072</v>
      </c>
      <c r="HQ59"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15049627</v>
      </c>
      <c r="HR59"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69148028</v>
      </c>
    </row>
    <row r="60" spans="1:226">
      <c r="A60" s="35" t="s">
        <v>832</v>
      </c>
      <c r="B60" s="37" t="s">
        <v>828</v>
      </c>
      <c r="C60" s="37" t="s">
        <v>655</v>
      </c>
      <c r="D60" s="37" t="s">
        <v>835</v>
      </c>
      <c r="E60" s="103">
        <v>439154</v>
      </c>
      <c r="F60" s="136">
        <v>0</v>
      </c>
      <c r="G60" s="136">
        <v>0</v>
      </c>
      <c r="H60" s="136">
        <v>0</v>
      </c>
      <c r="I60" s="136">
        <v>0</v>
      </c>
      <c r="J60" s="136">
        <v>0</v>
      </c>
      <c r="K60" s="136">
        <v>0</v>
      </c>
      <c r="L60" s="136">
        <v>0</v>
      </c>
      <c r="M60" s="136">
        <v>0</v>
      </c>
      <c r="N60" s="136">
        <v>0</v>
      </c>
      <c r="O60" s="136">
        <v>0</v>
      </c>
      <c r="P60" s="136">
        <v>0</v>
      </c>
      <c r="Q60" s="136">
        <v>0</v>
      </c>
      <c r="R60" s="136">
        <v>0</v>
      </c>
      <c r="S60" s="136">
        <v>0</v>
      </c>
      <c r="T60" s="136">
        <v>0</v>
      </c>
      <c r="U60" s="136">
        <v>0</v>
      </c>
      <c r="V60" s="136">
        <v>0</v>
      </c>
      <c r="W60" s="136">
        <v>0</v>
      </c>
      <c r="X60" s="136">
        <v>0</v>
      </c>
      <c r="Y60" s="136">
        <v>0</v>
      </c>
      <c r="Z60" s="136">
        <v>0</v>
      </c>
      <c r="AA60" s="136">
        <v>0</v>
      </c>
      <c r="AB60" s="136">
        <v>0</v>
      </c>
      <c r="AC60" s="136">
        <v>0</v>
      </c>
      <c r="AD60" s="136">
        <v>0</v>
      </c>
      <c r="AE60" s="136">
        <v>0</v>
      </c>
      <c r="AF60" s="136">
        <v>0</v>
      </c>
      <c r="AG60" s="136">
        <v>0</v>
      </c>
      <c r="AH60" s="136">
        <v>0</v>
      </c>
      <c r="AI60" s="136">
        <v>0</v>
      </c>
      <c r="AJ60" s="136">
        <v>0</v>
      </c>
      <c r="AK60" s="136">
        <v>0</v>
      </c>
      <c r="AL60" s="136">
        <v>0</v>
      </c>
      <c r="AM60" s="136">
        <v>0</v>
      </c>
      <c r="AN60" s="136">
        <v>0</v>
      </c>
      <c r="AO60" s="136">
        <v>0</v>
      </c>
      <c r="AP60" s="136">
        <v>0</v>
      </c>
      <c r="AQ60" s="136">
        <v>0</v>
      </c>
      <c r="AR60" s="136">
        <v>0</v>
      </c>
      <c r="AS60" s="136">
        <v>0</v>
      </c>
      <c r="AT60" s="136">
        <v>0</v>
      </c>
      <c r="AU60" s="136">
        <v>0</v>
      </c>
      <c r="AV60" s="136">
        <v>0</v>
      </c>
      <c r="AW60" s="136">
        <v>0</v>
      </c>
      <c r="AX60" s="136">
        <v>0</v>
      </c>
      <c r="AY60" s="136">
        <v>0</v>
      </c>
      <c r="AZ60" s="136">
        <v>0</v>
      </c>
      <c r="BA60" s="136">
        <v>0</v>
      </c>
      <c r="BB60" s="136">
        <v>0</v>
      </c>
      <c r="BC60" s="136">
        <v>0</v>
      </c>
      <c r="BD60" s="136">
        <v>0</v>
      </c>
      <c r="BE60" s="136">
        <v>0</v>
      </c>
      <c r="BF60" s="136">
        <v>0</v>
      </c>
      <c r="BG60" s="136">
        <v>0</v>
      </c>
      <c r="BH60" s="136">
        <v>0</v>
      </c>
      <c r="BI60" s="136">
        <v>0</v>
      </c>
      <c r="BJ60" s="136">
        <v>0</v>
      </c>
      <c r="BK60" s="136">
        <v>0</v>
      </c>
      <c r="BL60" s="136">
        <v>0</v>
      </c>
      <c r="BM60" s="136">
        <v>0</v>
      </c>
      <c r="BN60" s="136">
        <v>0</v>
      </c>
      <c r="BO60" s="136">
        <v>0</v>
      </c>
      <c r="BP60" s="136">
        <v>0</v>
      </c>
      <c r="BQ60" s="136">
        <v>0</v>
      </c>
      <c r="BR60" s="136">
        <v>0</v>
      </c>
      <c r="BS60" s="136">
        <v>0</v>
      </c>
      <c r="BT60" s="136">
        <v>0</v>
      </c>
      <c r="BU60" s="136">
        <v>0</v>
      </c>
      <c r="BV60" s="136">
        <v>0</v>
      </c>
      <c r="BW60" s="136">
        <v>0</v>
      </c>
      <c r="BX60" s="136">
        <v>0</v>
      </c>
      <c r="BY60" s="136">
        <v>0</v>
      </c>
      <c r="BZ60" s="136">
        <v>0</v>
      </c>
      <c r="CA60" s="136">
        <v>0</v>
      </c>
      <c r="CB60" s="136">
        <v>0</v>
      </c>
      <c r="CC60" s="136">
        <v>0</v>
      </c>
      <c r="CD60" s="136">
        <v>0</v>
      </c>
      <c r="CE60" s="136">
        <v>0</v>
      </c>
      <c r="CF60" s="136">
        <v>0</v>
      </c>
      <c r="CG60" s="136">
        <v>0</v>
      </c>
      <c r="CH60" s="136">
        <v>0</v>
      </c>
      <c r="CI60" s="136">
        <v>0</v>
      </c>
      <c r="CJ60" s="136">
        <v>0</v>
      </c>
      <c r="CK60" s="136">
        <v>0</v>
      </c>
      <c r="CL60" s="136">
        <v>0</v>
      </c>
      <c r="CM60" s="136">
        <v>0</v>
      </c>
      <c r="CN60" s="136">
        <v>0</v>
      </c>
      <c r="CO60" s="136">
        <v>0</v>
      </c>
      <c r="CP60" s="136">
        <v>0</v>
      </c>
      <c r="CQ60" s="136">
        <v>0</v>
      </c>
      <c r="CR60" s="136">
        <v>0</v>
      </c>
      <c r="CS60" s="136">
        <v>0</v>
      </c>
      <c r="CT60" s="136">
        <v>0</v>
      </c>
      <c r="CU60" s="136">
        <v>0</v>
      </c>
      <c r="CV60" s="136">
        <v>0</v>
      </c>
      <c r="CW60" s="136">
        <v>0</v>
      </c>
      <c r="CX60" s="136">
        <v>0</v>
      </c>
      <c r="CY60" s="136">
        <v>0</v>
      </c>
      <c r="CZ60" s="136">
        <v>0</v>
      </c>
      <c r="DA60" s="136"/>
      <c r="DB60" s="136"/>
      <c r="DC60" s="136"/>
      <c r="DD60" s="136"/>
      <c r="DE60" s="136"/>
      <c r="DF60" s="136"/>
      <c r="DG60" s="136">
        <v>0</v>
      </c>
      <c r="DH60" s="136">
        <v>0</v>
      </c>
      <c r="DI60" s="136">
        <v>0</v>
      </c>
      <c r="DJ60" s="136">
        <v>0</v>
      </c>
      <c r="DK60" s="136">
        <v>0</v>
      </c>
      <c r="DL60" s="136">
        <v>0</v>
      </c>
      <c r="DM60" s="136">
        <v>0</v>
      </c>
      <c r="DN60" s="136">
        <v>0</v>
      </c>
      <c r="DO60" s="136">
        <v>0</v>
      </c>
      <c r="DP60" s="136">
        <v>0</v>
      </c>
      <c r="DQ60" s="136">
        <v>0</v>
      </c>
      <c r="DR60" s="136">
        <v>0</v>
      </c>
      <c r="DS60" s="136"/>
      <c r="DT60" s="136"/>
      <c r="DU60" s="136"/>
      <c r="DV60" s="136"/>
      <c r="DW60" s="136"/>
      <c r="DX60" s="136"/>
      <c r="DY60" s="136">
        <v>0</v>
      </c>
      <c r="DZ60" s="136">
        <v>0</v>
      </c>
      <c r="EA60" s="136">
        <v>0</v>
      </c>
      <c r="EB60" s="136">
        <v>0</v>
      </c>
      <c r="EC60" s="136">
        <v>0</v>
      </c>
      <c r="ED60" s="136">
        <v>0</v>
      </c>
      <c r="EE60" s="136">
        <v>0</v>
      </c>
      <c r="EF60" s="136">
        <v>0</v>
      </c>
      <c r="EG60" s="136">
        <v>0</v>
      </c>
      <c r="EH60" s="136">
        <v>0</v>
      </c>
      <c r="EI60" s="136">
        <v>0</v>
      </c>
      <c r="EJ60" s="136">
        <v>0</v>
      </c>
      <c r="EK60" s="136"/>
      <c r="EL60" s="136"/>
      <c r="EM60" s="136"/>
      <c r="EN60" s="136"/>
      <c r="EO60" s="136"/>
      <c r="EP60" s="136"/>
      <c r="EQ60" s="136">
        <v>0</v>
      </c>
      <c r="ER60" s="136">
        <v>0</v>
      </c>
      <c r="ES60" s="136">
        <v>0</v>
      </c>
      <c r="ET60" s="136">
        <v>0</v>
      </c>
      <c r="EU60" s="136">
        <v>0</v>
      </c>
      <c r="EV60" s="136">
        <v>0</v>
      </c>
      <c r="EW60" s="136"/>
      <c r="EX60" s="136"/>
      <c r="EY60" s="136"/>
      <c r="EZ60" s="136"/>
      <c r="FA60" s="136"/>
      <c r="FB60" s="136"/>
      <c r="FC60" s="136">
        <v>0</v>
      </c>
      <c r="FD60" s="136">
        <v>0</v>
      </c>
      <c r="FE60" s="136">
        <v>0</v>
      </c>
      <c r="FF60" s="136">
        <v>0</v>
      </c>
      <c r="FG60" s="136">
        <v>0</v>
      </c>
      <c r="FH60" s="136">
        <v>0</v>
      </c>
      <c r="FI60" s="136"/>
      <c r="FJ60" s="136"/>
      <c r="FK60" s="136"/>
      <c r="FL60" s="136"/>
      <c r="FM60" s="136"/>
      <c r="FN60" s="136"/>
      <c r="FO60" s="136">
        <v>0</v>
      </c>
      <c r="FP60" s="136">
        <v>0</v>
      </c>
      <c r="FQ60" s="136">
        <v>0</v>
      </c>
      <c r="FR60" s="136">
        <v>0</v>
      </c>
      <c r="FS60" s="136">
        <v>0</v>
      </c>
      <c r="FT60" s="136">
        <v>0</v>
      </c>
      <c r="FU60" s="136">
        <v>0</v>
      </c>
      <c r="FV60" s="136">
        <v>0</v>
      </c>
      <c r="FW60" s="136">
        <v>0</v>
      </c>
      <c r="FX60" s="136">
        <v>0</v>
      </c>
      <c r="FY60" s="136">
        <v>0</v>
      </c>
      <c r="FZ60" s="136">
        <v>0</v>
      </c>
      <c r="GA60" s="136">
        <v>0</v>
      </c>
      <c r="GB60" s="136">
        <v>0</v>
      </c>
      <c r="GC60" s="136">
        <v>0</v>
      </c>
      <c r="GD60" s="136">
        <v>0</v>
      </c>
      <c r="GE60" s="136">
        <v>0</v>
      </c>
      <c r="GF60" s="136">
        <v>0</v>
      </c>
      <c r="GG60" s="136">
        <v>0</v>
      </c>
      <c r="GH60" s="136">
        <v>0</v>
      </c>
      <c r="GI60" s="136">
        <v>0</v>
      </c>
      <c r="GJ60" s="136">
        <v>0</v>
      </c>
      <c r="GK60" s="136">
        <v>0</v>
      </c>
      <c r="GL60" s="136">
        <v>0</v>
      </c>
      <c r="GM60" s="136">
        <v>0</v>
      </c>
      <c r="GN60" s="136">
        <v>0</v>
      </c>
      <c r="GO60" s="136">
        <v>0</v>
      </c>
      <c r="GP60" s="136">
        <v>0</v>
      </c>
      <c r="GQ60" s="136">
        <v>0</v>
      </c>
      <c r="GR60" s="136">
        <v>0</v>
      </c>
      <c r="GS60" s="136">
        <v>2876789</v>
      </c>
      <c r="GT60" s="136">
        <v>0</v>
      </c>
      <c r="GU60" s="136">
        <v>129636386</v>
      </c>
      <c r="GW60" s="137"/>
      <c r="GY60" s="141">
        <v>0</v>
      </c>
      <c r="GZ60" s="141">
        <v>0</v>
      </c>
      <c r="HA60" s="136">
        <v>0</v>
      </c>
      <c r="HB60" s="136">
        <v>0</v>
      </c>
      <c r="HC60" s="136">
        <v>0</v>
      </c>
      <c r="HD60" s="136">
        <v>0</v>
      </c>
      <c r="HE60" s="136">
        <v>0</v>
      </c>
      <c r="HF60" s="136">
        <v>0</v>
      </c>
      <c r="HG60" s="136">
        <v>0</v>
      </c>
      <c r="HH60" s="136">
        <v>0</v>
      </c>
      <c r="HI60" s="35">
        <v>0</v>
      </c>
      <c r="HJ60" s="35">
        <v>0</v>
      </c>
      <c r="HK60" s="35">
        <v>0</v>
      </c>
      <c r="HL60"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60"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60"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60"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60"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60"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60"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61" spans="1:226">
      <c r="A61" s="35" t="s">
        <v>393</v>
      </c>
      <c r="B61" s="37" t="s">
        <v>384</v>
      </c>
      <c r="C61" s="37">
        <v>470</v>
      </c>
      <c r="D61" s="37" t="s">
        <v>835</v>
      </c>
      <c r="E61" s="103">
        <v>412</v>
      </c>
      <c r="F61" s="136">
        <v>125514</v>
      </c>
      <c r="G61" s="136">
        <v>383300</v>
      </c>
      <c r="H61" s="136">
        <v>41153833</v>
      </c>
      <c r="I61" s="136">
        <v>5064482</v>
      </c>
      <c r="J61" s="136">
        <v>2460613</v>
      </c>
      <c r="K61" s="136">
        <v>0</v>
      </c>
      <c r="L61" s="136">
        <v>0</v>
      </c>
      <c r="M61" s="136">
        <v>2231752</v>
      </c>
      <c r="N61" s="136">
        <v>1037657</v>
      </c>
      <c r="O61" s="136">
        <v>0</v>
      </c>
      <c r="P61" s="136">
        <v>0</v>
      </c>
      <c r="Q61" s="136">
        <v>0</v>
      </c>
      <c r="R61" s="136">
        <v>0</v>
      </c>
      <c r="S61" s="136">
        <v>0</v>
      </c>
      <c r="T61" s="136">
        <v>0</v>
      </c>
      <c r="U61" s="136">
        <v>7823768</v>
      </c>
      <c r="V61" s="136">
        <v>6278849</v>
      </c>
      <c r="W61" s="136">
        <v>772323</v>
      </c>
      <c r="X61" s="136">
        <v>3923368</v>
      </c>
      <c r="Y61" s="136">
        <v>104168</v>
      </c>
      <c r="Z61" s="136">
        <v>2724448</v>
      </c>
      <c r="AA61" s="136">
        <v>0</v>
      </c>
      <c r="AB61" s="136">
        <v>0</v>
      </c>
      <c r="AC61" s="136">
        <v>0</v>
      </c>
      <c r="AD61" s="136">
        <v>0</v>
      </c>
      <c r="AE61" s="136">
        <v>0</v>
      </c>
      <c r="AF61" s="136">
        <v>0</v>
      </c>
      <c r="AG61" s="136">
        <v>0</v>
      </c>
      <c r="AH61" s="136">
        <v>0</v>
      </c>
      <c r="AI61" s="136">
        <v>0</v>
      </c>
      <c r="AJ61" s="136">
        <v>0</v>
      </c>
      <c r="AK61" s="136">
        <v>0</v>
      </c>
      <c r="AL61" s="136">
        <v>0</v>
      </c>
      <c r="AM61" s="136">
        <v>0</v>
      </c>
      <c r="AN61" s="136">
        <v>0</v>
      </c>
      <c r="AO61" s="136">
        <v>0</v>
      </c>
      <c r="AP61" s="136">
        <v>0</v>
      </c>
      <c r="AQ61" s="136">
        <v>0</v>
      </c>
      <c r="AR61" s="136">
        <v>0</v>
      </c>
      <c r="AS61" s="136">
        <v>0</v>
      </c>
      <c r="AT61" s="136">
        <v>0</v>
      </c>
      <c r="AU61" s="136">
        <v>0</v>
      </c>
      <c r="AV61" s="136">
        <v>0</v>
      </c>
      <c r="AW61" s="136">
        <v>0</v>
      </c>
      <c r="AX61" s="136">
        <v>0</v>
      </c>
      <c r="AY61" s="136">
        <v>6753008</v>
      </c>
      <c r="AZ61" s="136">
        <v>8020345</v>
      </c>
      <c r="BA61" s="136">
        <v>2660281</v>
      </c>
      <c r="BB61" s="136">
        <v>5268120</v>
      </c>
      <c r="BC61" s="136">
        <v>483041</v>
      </c>
      <c r="BD61" s="136">
        <v>2300644</v>
      </c>
      <c r="BE61" s="136">
        <v>0</v>
      </c>
      <c r="BF61" s="136">
        <v>0</v>
      </c>
      <c r="BG61" s="136">
        <v>0</v>
      </c>
      <c r="BH61" s="136">
        <v>0</v>
      </c>
      <c r="BI61" s="136">
        <v>0</v>
      </c>
      <c r="BJ61" s="136">
        <v>0</v>
      </c>
      <c r="BK61" s="136">
        <v>0</v>
      </c>
      <c r="BL61" s="136">
        <v>0</v>
      </c>
      <c r="BM61" s="136">
        <v>0</v>
      </c>
      <c r="BN61" s="136">
        <v>0</v>
      </c>
      <c r="BO61" s="136">
        <v>0</v>
      </c>
      <c r="BP61" s="136">
        <v>0</v>
      </c>
      <c r="BQ61" s="136">
        <v>0</v>
      </c>
      <c r="BR61" s="136">
        <v>0</v>
      </c>
      <c r="BS61" s="136">
        <v>0</v>
      </c>
      <c r="BT61" s="136">
        <v>0</v>
      </c>
      <c r="BU61" s="136">
        <v>0</v>
      </c>
      <c r="BV61" s="136">
        <v>0</v>
      </c>
      <c r="BW61" s="136">
        <v>26320</v>
      </c>
      <c r="BX61" s="136">
        <v>28945</v>
      </c>
      <c r="BY61" s="136">
        <v>0</v>
      </c>
      <c r="BZ61" s="136">
        <v>17576</v>
      </c>
      <c r="CA61" s="136">
        <v>19730</v>
      </c>
      <c r="CB61" s="136">
        <v>32336</v>
      </c>
      <c r="CC61" s="136">
        <v>0</v>
      </c>
      <c r="CD61" s="136">
        <v>0</v>
      </c>
      <c r="CE61" s="136">
        <v>0</v>
      </c>
      <c r="CF61" s="136">
        <v>0</v>
      </c>
      <c r="CG61" s="136">
        <v>0</v>
      </c>
      <c r="CH61" s="136">
        <v>0</v>
      </c>
      <c r="CI61" s="136">
        <v>0</v>
      </c>
      <c r="CJ61" s="136">
        <v>0</v>
      </c>
      <c r="CK61" s="136">
        <v>0</v>
      </c>
      <c r="CL61" s="136">
        <v>0</v>
      </c>
      <c r="CM61" s="136">
        <v>0</v>
      </c>
      <c r="CN61" s="136">
        <v>0</v>
      </c>
      <c r="CO61" s="136">
        <v>27448</v>
      </c>
      <c r="CP61" s="136">
        <v>1267784</v>
      </c>
      <c r="CQ61" s="136">
        <v>0</v>
      </c>
      <c r="CR61" s="136">
        <v>30323</v>
      </c>
      <c r="CS61" s="136">
        <v>21426</v>
      </c>
      <c r="CT61" s="136">
        <v>94677</v>
      </c>
      <c r="CU61" s="136">
        <v>0</v>
      </c>
      <c r="CV61" s="136">
        <v>0</v>
      </c>
      <c r="CW61" s="136">
        <v>0</v>
      </c>
      <c r="CX61" s="136">
        <v>0</v>
      </c>
      <c r="CY61" s="136">
        <v>0</v>
      </c>
      <c r="CZ61" s="136">
        <v>0</v>
      </c>
      <c r="DA61" s="136"/>
      <c r="DB61" s="136"/>
      <c r="DC61" s="136"/>
      <c r="DD61" s="136"/>
      <c r="DE61" s="136"/>
      <c r="DF61" s="136"/>
      <c r="DG61" s="136">
        <v>0</v>
      </c>
      <c r="DH61" s="136">
        <v>0</v>
      </c>
      <c r="DI61" s="136">
        <v>0</v>
      </c>
      <c r="DJ61" s="136">
        <v>0</v>
      </c>
      <c r="DK61" s="136">
        <v>0</v>
      </c>
      <c r="DL61" s="136">
        <v>0</v>
      </c>
      <c r="DM61" s="136"/>
      <c r="DN61" s="136"/>
      <c r="DO61" s="136"/>
      <c r="DP61" s="136"/>
      <c r="DQ61" s="136"/>
      <c r="DR61" s="136"/>
      <c r="DS61" s="136">
        <v>2812337</v>
      </c>
      <c r="DT61" s="136">
        <v>2788967</v>
      </c>
      <c r="DU61" s="136">
        <v>139477</v>
      </c>
      <c r="DV61" s="136">
        <v>2470558</v>
      </c>
      <c r="DW61" s="136">
        <v>90554</v>
      </c>
      <c r="DX61" s="136">
        <v>458651</v>
      </c>
      <c r="DY61" s="136"/>
      <c r="DZ61" s="136"/>
      <c r="EA61" s="136"/>
      <c r="EB61" s="136"/>
      <c r="EC61" s="136"/>
      <c r="ED61" s="136"/>
      <c r="EE61" s="136">
        <v>3186014</v>
      </c>
      <c r="EF61" s="136">
        <v>6318920</v>
      </c>
      <c r="EG61" s="136">
        <v>3303116</v>
      </c>
      <c r="EH61" s="136">
        <v>3257424</v>
      </c>
      <c r="EI61" s="136">
        <v>48020</v>
      </c>
      <c r="EJ61" s="136">
        <v>945822</v>
      </c>
      <c r="EK61" s="136">
        <v>2507491</v>
      </c>
      <c r="EL61" s="136">
        <v>5120274</v>
      </c>
      <c r="EM61" s="136">
        <v>0</v>
      </c>
      <c r="EN61" s="136">
        <v>2894424</v>
      </c>
      <c r="EO61" s="136">
        <v>187676</v>
      </c>
      <c r="EP61" s="136">
        <v>177685</v>
      </c>
      <c r="EQ61" s="136"/>
      <c r="ER61" s="136"/>
      <c r="ES61" s="136"/>
      <c r="ET61" s="136"/>
      <c r="EU61" s="136"/>
      <c r="EV61" s="136"/>
      <c r="EW61" s="136">
        <v>0</v>
      </c>
      <c r="EX61" s="136">
        <v>1945974</v>
      </c>
      <c r="EY61" s="136">
        <v>0</v>
      </c>
      <c r="EZ61" s="136">
        <v>2401623</v>
      </c>
      <c r="FA61" s="136">
        <v>69981</v>
      </c>
      <c r="FB61" s="136">
        <v>433914</v>
      </c>
      <c r="FC61" s="136"/>
      <c r="FD61" s="136"/>
      <c r="FE61" s="136"/>
      <c r="FF61" s="136"/>
      <c r="FG61" s="136"/>
      <c r="FH61" s="136"/>
      <c r="FI61" s="136">
        <v>1118767</v>
      </c>
      <c r="FJ61" s="136">
        <v>2838187</v>
      </c>
      <c r="FK61" s="136">
        <v>139477</v>
      </c>
      <c r="FL61" s="136">
        <v>1411426</v>
      </c>
      <c r="FM61" s="136">
        <v>0</v>
      </c>
      <c r="FN61" s="136">
        <v>267560</v>
      </c>
      <c r="FO61" s="136"/>
      <c r="FP61" s="136"/>
      <c r="FQ61" s="136"/>
      <c r="FR61" s="136"/>
      <c r="FS61" s="136"/>
      <c r="FT61" s="136"/>
      <c r="FU61" s="136"/>
      <c r="FV61" s="136"/>
      <c r="FW61" s="136"/>
      <c r="FX61" s="136"/>
      <c r="FY61" s="136"/>
      <c r="FZ61" s="136"/>
      <c r="GA61" s="136"/>
      <c r="GB61" s="136"/>
      <c r="GC61" s="136"/>
      <c r="GD61" s="136"/>
      <c r="GE61" s="136"/>
      <c r="GF61" s="136"/>
      <c r="GG61" s="136">
        <v>4197</v>
      </c>
      <c r="GH61" s="136">
        <v>372</v>
      </c>
      <c r="GI61" s="136">
        <v>0</v>
      </c>
      <c r="GJ61" s="136">
        <v>0</v>
      </c>
      <c r="GK61" s="136">
        <v>0</v>
      </c>
      <c r="GL61" s="136">
        <v>0</v>
      </c>
      <c r="GM61" s="136">
        <v>0</v>
      </c>
      <c r="GN61" s="136">
        <v>0</v>
      </c>
      <c r="GO61" s="136">
        <v>0</v>
      </c>
      <c r="GP61" s="136">
        <v>0</v>
      </c>
      <c r="GQ61" s="136">
        <v>0</v>
      </c>
      <c r="GR61" s="136">
        <v>0</v>
      </c>
      <c r="GS61" s="136">
        <v>197281647</v>
      </c>
      <c r="GT61" s="136">
        <v>43446251</v>
      </c>
      <c r="GU61" s="136">
        <v>673528600</v>
      </c>
      <c r="GV61" s="35" t="s">
        <v>435</v>
      </c>
      <c r="GW61" s="137">
        <v>8067437381</v>
      </c>
      <c r="GX61" s="35" t="s">
        <v>436</v>
      </c>
      <c r="GY61" s="136">
        <v>41279347</v>
      </c>
      <c r="GZ61" s="136" t="s">
        <v>439</v>
      </c>
      <c r="HA61" s="136" t="s">
        <v>439</v>
      </c>
      <c r="HB61" s="136" t="s">
        <v>439</v>
      </c>
      <c r="HC61" s="136" t="s">
        <v>439</v>
      </c>
      <c r="HD61" s="136" t="s">
        <v>439</v>
      </c>
      <c r="HE61" s="136" t="s">
        <v>439</v>
      </c>
      <c r="HF61" s="136" t="s">
        <v>439</v>
      </c>
      <c r="HG61" s="136" t="s">
        <v>439</v>
      </c>
      <c r="HH61" s="136" t="s">
        <v>439</v>
      </c>
      <c r="HI61" s="35" t="s">
        <v>439</v>
      </c>
      <c r="HJ61" s="35" t="s">
        <v>439</v>
      </c>
      <c r="HK61" s="35" t="s">
        <v>439</v>
      </c>
      <c r="HL61"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14630544</v>
      </c>
      <c r="HM61"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15595923</v>
      </c>
      <c r="HN61"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3432604</v>
      </c>
      <c r="HO61"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9239387</v>
      </c>
      <c r="HP61"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628365</v>
      </c>
      <c r="HQ61"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5152105</v>
      </c>
      <c r="HR61"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41279347</v>
      </c>
    </row>
    <row r="62" spans="1:226">
      <c r="A62" s="35" t="s">
        <v>394</v>
      </c>
      <c r="B62" s="37" t="s">
        <v>384</v>
      </c>
      <c r="C62" s="37">
        <v>480</v>
      </c>
      <c r="D62" s="37" t="s">
        <v>835</v>
      </c>
      <c r="E62" s="103">
        <v>862</v>
      </c>
      <c r="F62" s="136">
        <v>90904</v>
      </c>
      <c r="G62" s="136">
        <v>0</v>
      </c>
      <c r="H62" s="136">
        <v>11601595</v>
      </c>
      <c r="I62" s="136">
        <v>887193</v>
      </c>
      <c r="J62" s="136">
        <v>172398</v>
      </c>
      <c r="K62" s="136">
        <v>0</v>
      </c>
      <c r="L62" s="136">
        <v>0</v>
      </c>
      <c r="M62" s="136">
        <v>708871</v>
      </c>
      <c r="N62" s="136">
        <v>93426</v>
      </c>
      <c r="O62" s="136">
        <v>0</v>
      </c>
      <c r="P62" s="136">
        <v>0</v>
      </c>
      <c r="Q62" s="136">
        <v>0</v>
      </c>
      <c r="R62" s="136">
        <v>0</v>
      </c>
      <c r="S62" s="136">
        <v>0</v>
      </c>
      <c r="T62" s="136">
        <v>0</v>
      </c>
      <c r="U62" s="136">
        <v>942525</v>
      </c>
      <c r="V62" s="136">
        <v>1983456</v>
      </c>
      <c r="W62" s="136">
        <v>210269</v>
      </c>
      <c r="X62" s="136">
        <v>459083</v>
      </c>
      <c r="Y62" s="136">
        <v>2648</v>
      </c>
      <c r="Z62" s="136">
        <v>337583</v>
      </c>
      <c r="AA62" s="136">
        <v>0</v>
      </c>
      <c r="AB62" s="136">
        <v>0</v>
      </c>
      <c r="AC62" s="136">
        <v>0</v>
      </c>
      <c r="AD62" s="136">
        <v>0</v>
      </c>
      <c r="AE62" s="136">
        <v>0</v>
      </c>
      <c r="AF62" s="136">
        <v>0</v>
      </c>
      <c r="AG62" s="136">
        <v>0</v>
      </c>
      <c r="AH62" s="136">
        <v>0</v>
      </c>
      <c r="AI62" s="136">
        <v>0</v>
      </c>
      <c r="AJ62" s="136">
        <v>0</v>
      </c>
      <c r="AK62" s="136">
        <v>0</v>
      </c>
      <c r="AL62" s="136">
        <v>0</v>
      </c>
      <c r="AM62" s="136">
        <v>0</v>
      </c>
      <c r="AN62" s="136">
        <v>0</v>
      </c>
      <c r="AO62" s="136">
        <v>0</v>
      </c>
      <c r="AP62" s="136">
        <v>0</v>
      </c>
      <c r="AQ62" s="136">
        <v>0</v>
      </c>
      <c r="AR62" s="136">
        <v>0</v>
      </c>
      <c r="AS62" s="136">
        <v>0</v>
      </c>
      <c r="AT62" s="136">
        <v>0</v>
      </c>
      <c r="AU62" s="136">
        <v>0</v>
      </c>
      <c r="AV62" s="136">
        <v>0</v>
      </c>
      <c r="AW62" s="136">
        <v>0</v>
      </c>
      <c r="AX62" s="136">
        <v>0</v>
      </c>
      <c r="AY62" s="136">
        <v>796743</v>
      </c>
      <c r="AZ62" s="136">
        <v>2166574</v>
      </c>
      <c r="BA62" s="136">
        <v>2813039</v>
      </c>
      <c r="BB62" s="136">
        <v>1583954</v>
      </c>
      <c r="BC62" s="136">
        <v>226826</v>
      </c>
      <c r="BD62" s="136">
        <v>153797</v>
      </c>
      <c r="BE62" s="136">
        <v>0</v>
      </c>
      <c r="BF62" s="136">
        <v>0</v>
      </c>
      <c r="BG62" s="136">
        <v>0</v>
      </c>
      <c r="BH62" s="136">
        <v>0</v>
      </c>
      <c r="BI62" s="136">
        <v>0</v>
      </c>
      <c r="BJ62" s="136">
        <v>0</v>
      </c>
      <c r="BK62" s="136">
        <v>0</v>
      </c>
      <c r="BL62" s="136">
        <v>0</v>
      </c>
      <c r="BM62" s="136">
        <v>0</v>
      </c>
      <c r="BN62" s="136">
        <v>0</v>
      </c>
      <c r="BO62" s="136">
        <v>0</v>
      </c>
      <c r="BP62" s="136">
        <v>0</v>
      </c>
      <c r="BQ62" s="136">
        <v>0</v>
      </c>
      <c r="BR62" s="136">
        <v>0</v>
      </c>
      <c r="BS62" s="136">
        <v>0</v>
      </c>
      <c r="BT62" s="136">
        <v>0</v>
      </c>
      <c r="BU62" s="136">
        <v>0</v>
      </c>
      <c r="BV62" s="136">
        <v>0</v>
      </c>
      <c r="BW62" s="136">
        <v>5108</v>
      </c>
      <c r="BX62" s="136">
        <v>226496</v>
      </c>
      <c r="BY62" s="136">
        <v>0</v>
      </c>
      <c r="BZ62" s="136">
        <v>8356</v>
      </c>
      <c r="CA62" s="136">
        <v>0</v>
      </c>
      <c r="CB62" s="136">
        <v>0</v>
      </c>
      <c r="CC62" s="136">
        <v>0</v>
      </c>
      <c r="CD62" s="136">
        <v>0</v>
      </c>
      <c r="CE62" s="136">
        <v>0</v>
      </c>
      <c r="CF62" s="136">
        <v>0</v>
      </c>
      <c r="CG62" s="136">
        <v>0</v>
      </c>
      <c r="CH62" s="136">
        <v>0</v>
      </c>
      <c r="CI62" s="136">
        <v>0</v>
      </c>
      <c r="CJ62" s="136">
        <v>0</v>
      </c>
      <c r="CK62" s="136">
        <v>0</v>
      </c>
      <c r="CL62" s="136">
        <v>0</v>
      </c>
      <c r="CM62" s="136">
        <v>0</v>
      </c>
      <c r="CN62" s="136">
        <v>0</v>
      </c>
      <c r="CO62" s="136">
        <v>653034</v>
      </c>
      <c r="CP62" s="136">
        <v>60935</v>
      </c>
      <c r="CQ62" s="136">
        <v>0</v>
      </c>
      <c r="CR62" s="136">
        <v>21181</v>
      </c>
      <c r="CS62" s="136">
        <v>0</v>
      </c>
      <c r="CT62" s="136">
        <v>9579</v>
      </c>
      <c r="CU62" s="136">
        <v>0</v>
      </c>
      <c r="CV62" s="136">
        <v>0</v>
      </c>
      <c r="CW62" s="136">
        <v>0</v>
      </c>
      <c r="CX62" s="136">
        <v>0</v>
      </c>
      <c r="CY62" s="136">
        <v>0</v>
      </c>
      <c r="CZ62" s="136">
        <v>0</v>
      </c>
      <c r="DA62" s="136"/>
      <c r="DB62" s="136"/>
      <c r="DC62" s="136"/>
      <c r="DD62" s="136"/>
      <c r="DE62" s="136"/>
      <c r="DF62" s="136"/>
      <c r="DG62" s="136">
        <v>0</v>
      </c>
      <c r="DH62" s="136">
        <v>0</v>
      </c>
      <c r="DI62" s="136">
        <v>0</v>
      </c>
      <c r="DJ62" s="136">
        <v>0</v>
      </c>
      <c r="DK62" s="136">
        <v>0</v>
      </c>
      <c r="DL62" s="136">
        <v>0</v>
      </c>
      <c r="DM62" s="136"/>
      <c r="DN62" s="136"/>
      <c r="DO62" s="136"/>
      <c r="DP62" s="136"/>
      <c r="DQ62" s="136"/>
      <c r="DR62" s="136"/>
      <c r="DS62" s="136">
        <v>90104</v>
      </c>
      <c r="DT62" s="136">
        <v>0</v>
      </c>
      <c r="DU62" s="136">
        <v>0</v>
      </c>
      <c r="DV62" s="136">
        <v>190450</v>
      </c>
      <c r="DW62" s="136">
        <v>0</v>
      </c>
      <c r="DX62" s="136">
        <v>12553</v>
      </c>
      <c r="DY62" s="136"/>
      <c r="DZ62" s="136"/>
      <c r="EA62" s="136"/>
      <c r="EB62" s="136"/>
      <c r="EC62" s="136"/>
      <c r="ED62" s="136"/>
      <c r="EE62" s="136">
        <v>93743</v>
      </c>
      <c r="EF62" s="136">
        <v>1641343</v>
      </c>
      <c r="EG62" s="136">
        <v>2818068</v>
      </c>
      <c r="EH62" s="136">
        <v>253274</v>
      </c>
      <c r="EI62" s="136">
        <v>48295</v>
      </c>
      <c r="EJ62" s="136">
        <v>314377</v>
      </c>
      <c r="EK62" s="136">
        <v>46056</v>
      </c>
      <c r="EL62" s="136">
        <v>0</v>
      </c>
      <c r="EM62" s="136">
        <v>0</v>
      </c>
      <c r="EN62" s="136">
        <v>23789</v>
      </c>
      <c r="EO62" s="136">
        <v>4033</v>
      </c>
      <c r="EP62" s="136">
        <v>0</v>
      </c>
      <c r="EQ62" s="136"/>
      <c r="ER62" s="136"/>
      <c r="ES62" s="136"/>
      <c r="ET62" s="136"/>
      <c r="EU62" s="136"/>
      <c r="EV62" s="136"/>
      <c r="EW62" s="136">
        <v>111809</v>
      </c>
      <c r="EX62" s="136">
        <v>0</v>
      </c>
      <c r="EY62" s="136">
        <v>6027</v>
      </c>
      <c r="EZ62" s="136">
        <v>54236</v>
      </c>
      <c r="FA62" s="136">
        <v>1302</v>
      </c>
      <c r="FB62" s="136">
        <v>21732</v>
      </c>
      <c r="FC62" s="136"/>
      <c r="FD62" s="136"/>
      <c r="FE62" s="136"/>
      <c r="FF62" s="136"/>
      <c r="FG62" s="136"/>
      <c r="FH62" s="136"/>
      <c r="FI62" s="136">
        <v>13758</v>
      </c>
      <c r="FJ62" s="136">
        <v>230691</v>
      </c>
      <c r="FK62" s="136">
        <v>0</v>
      </c>
      <c r="FL62" s="136">
        <v>36044</v>
      </c>
      <c r="FM62" s="136">
        <v>1224</v>
      </c>
      <c r="FN62" s="136">
        <v>21607</v>
      </c>
      <c r="FO62" s="136"/>
      <c r="FP62" s="136"/>
      <c r="FQ62" s="136"/>
      <c r="FR62" s="136"/>
      <c r="FS62" s="136"/>
      <c r="FT62" s="136"/>
      <c r="FU62" s="136"/>
      <c r="FV62" s="136"/>
      <c r="FW62" s="136"/>
      <c r="FX62" s="136"/>
      <c r="FY62" s="136"/>
      <c r="FZ62" s="136"/>
      <c r="GA62" s="136"/>
      <c r="GB62" s="136"/>
      <c r="GC62" s="136"/>
      <c r="GD62" s="136"/>
      <c r="GE62" s="136"/>
      <c r="GF62" s="136"/>
      <c r="GG62" s="136">
        <v>0</v>
      </c>
      <c r="GH62" s="136">
        <v>0</v>
      </c>
      <c r="GI62" s="136">
        <v>0</v>
      </c>
      <c r="GJ62" s="136">
        <v>0</v>
      </c>
      <c r="GK62" s="136">
        <v>0</v>
      </c>
      <c r="GL62" s="136">
        <v>0</v>
      </c>
      <c r="GM62" s="136">
        <v>0</v>
      </c>
      <c r="GN62" s="136">
        <v>0</v>
      </c>
      <c r="GO62" s="136">
        <v>0</v>
      </c>
      <c r="GP62" s="136">
        <v>0</v>
      </c>
      <c r="GQ62" s="136">
        <v>0</v>
      </c>
      <c r="GR62" s="136">
        <v>0</v>
      </c>
      <c r="GS62" s="136">
        <v>153616336</v>
      </c>
      <c r="GT62" s="136">
        <v>11773993</v>
      </c>
      <c r="GU62" s="136">
        <v>278943755</v>
      </c>
      <c r="GV62" s="35" t="s">
        <v>437</v>
      </c>
      <c r="GW62" s="137">
        <v>9152154378</v>
      </c>
      <c r="GX62" s="35" t="s">
        <v>438</v>
      </c>
      <c r="GY62" s="136">
        <v>11692499</v>
      </c>
      <c r="GZ62" s="136" t="s">
        <v>439</v>
      </c>
      <c r="HA62" s="136" t="s">
        <v>439</v>
      </c>
      <c r="HB62" s="136" t="s">
        <v>439</v>
      </c>
      <c r="HC62" s="136" t="s">
        <v>439</v>
      </c>
      <c r="HD62" s="136" t="s">
        <v>439</v>
      </c>
      <c r="HE62" s="136" t="s">
        <v>439</v>
      </c>
      <c r="HF62" s="136" t="s">
        <v>439</v>
      </c>
      <c r="HG62" s="136" t="s">
        <v>439</v>
      </c>
      <c r="HH62" s="136" t="s">
        <v>439</v>
      </c>
      <c r="HI62" s="35" t="s">
        <v>439</v>
      </c>
      <c r="HJ62" s="35" t="s">
        <v>439</v>
      </c>
      <c r="HK62" s="35" t="s">
        <v>439</v>
      </c>
      <c r="HL62"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2397410</v>
      </c>
      <c r="HM62"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4437461</v>
      </c>
      <c r="HN62"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3023308</v>
      </c>
      <c r="HO62"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2072574</v>
      </c>
      <c r="HP62"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229474</v>
      </c>
      <c r="HQ62"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500959</v>
      </c>
      <c r="HR62"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11692499</v>
      </c>
    </row>
    <row r="63" spans="1:226">
      <c r="A63" s="35" t="s">
        <v>316</v>
      </c>
      <c r="B63" s="37" t="s">
        <v>703</v>
      </c>
      <c r="D63" s="37" t="s">
        <v>835</v>
      </c>
      <c r="E63" s="103">
        <v>3645</v>
      </c>
      <c r="F63" s="136">
        <v>0</v>
      </c>
      <c r="G63" s="136">
        <v>0</v>
      </c>
      <c r="H63" s="136">
        <v>157325</v>
      </c>
      <c r="I63" s="136">
        <v>0</v>
      </c>
      <c r="J63" s="136">
        <v>0</v>
      </c>
      <c r="K63" s="136">
        <v>0</v>
      </c>
      <c r="L63" s="136">
        <v>0</v>
      </c>
      <c r="M63" s="136">
        <v>0</v>
      </c>
      <c r="N63" s="136">
        <v>0</v>
      </c>
      <c r="O63" s="136">
        <v>0</v>
      </c>
      <c r="P63" s="136">
        <v>0</v>
      </c>
      <c r="Q63" s="136">
        <v>0</v>
      </c>
      <c r="R63" s="136">
        <v>0</v>
      </c>
      <c r="S63" s="136">
        <v>0</v>
      </c>
      <c r="T63" s="136">
        <v>0</v>
      </c>
      <c r="U63" s="136">
        <v>0</v>
      </c>
      <c r="V63" s="136">
        <v>0</v>
      </c>
      <c r="W63" s="136">
        <v>0</v>
      </c>
      <c r="X63" s="136">
        <v>0</v>
      </c>
      <c r="Y63" s="136">
        <v>0</v>
      </c>
      <c r="Z63" s="136">
        <v>1542</v>
      </c>
      <c r="AA63" s="136">
        <v>0</v>
      </c>
      <c r="AB63" s="136">
        <v>0</v>
      </c>
      <c r="AC63" s="136">
        <v>0</v>
      </c>
      <c r="AD63" s="136">
        <v>0</v>
      </c>
      <c r="AE63" s="136">
        <v>0</v>
      </c>
      <c r="AF63" s="136">
        <v>0</v>
      </c>
      <c r="AG63" s="136">
        <v>0</v>
      </c>
      <c r="AH63" s="136">
        <v>0</v>
      </c>
      <c r="AI63" s="136">
        <v>0</v>
      </c>
      <c r="AJ63" s="136">
        <v>0</v>
      </c>
      <c r="AK63" s="136">
        <v>0</v>
      </c>
      <c r="AL63" s="136">
        <v>0</v>
      </c>
      <c r="AM63" s="136">
        <v>0</v>
      </c>
      <c r="AN63" s="136">
        <v>0</v>
      </c>
      <c r="AO63" s="136">
        <v>0</v>
      </c>
      <c r="AP63" s="136">
        <v>0</v>
      </c>
      <c r="AQ63" s="136">
        <v>0</v>
      </c>
      <c r="AR63" s="136">
        <v>0</v>
      </c>
      <c r="AS63" s="136">
        <v>0</v>
      </c>
      <c r="AT63" s="136">
        <v>0</v>
      </c>
      <c r="AU63" s="136">
        <v>0</v>
      </c>
      <c r="AV63" s="136">
        <v>0</v>
      </c>
      <c r="AW63" s="136">
        <v>0</v>
      </c>
      <c r="AX63" s="136">
        <v>0</v>
      </c>
      <c r="AY63" s="136">
        <v>0</v>
      </c>
      <c r="AZ63" s="136">
        <v>0</v>
      </c>
      <c r="BA63" s="136">
        <v>0</v>
      </c>
      <c r="BB63" s="136">
        <v>0</v>
      </c>
      <c r="BC63" s="136">
        <v>0</v>
      </c>
      <c r="BD63" s="136">
        <v>0</v>
      </c>
      <c r="BE63" s="136">
        <v>0</v>
      </c>
      <c r="BF63" s="136">
        <v>0</v>
      </c>
      <c r="BG63" s="136">
        <v>0</v>
      </c>
      <c r="BH63" s="136">
        <v>0</v>
      </c>
      <c r="BI63" s="136">
        <v>0</v>
      </c>
      <c r="BJ63" s="136">
        <v>6558</v>
      </c>
      <c r="BK63" s="136">
        <v>0</v>
      </c>
      <c r="BL63" s="136">
        <v>0</v>
      </c>
      <c r="BM63" s="136">
        <v>0</v>
      </c>
      <c r="BN63" s="136">
        <v>0</v>
      </c>
      <c r="BO63" s="136">
        <v>0</v>
      </c>
      <c r="BP63" s="136">
        <v>0</v>
      </c>
      <c r="BQ63" s="136">
        <v>0</v>
      </c>
      <c r="BR63" s="136">
        <v>0</v>
      </c>
      <c r="BS63" s="136">
        <v>0</v>
      </c>
      <c r="BT63" s="136">
        <v>0</v>
      </c>
      <c r="BU63" s="136">
        <v>0</v>
      </c>
      <c r="BV63" s="136">
        <v>12463</v>
      </c>
      <c r="BW63" s="136">
        <v>0</v>
      </c>
      <c r="BX63" s="136">
        <v>0</v>
      </c>
      <c r="BY63" s="136">
        <v>0</v>
      </c>
      <c r="BZ63" s="136">
        <v>0</v>
      </c>
      <c r="CA63" s="136">
        <v>0</v>
      </c>
      <c r="CB63" s="136">
        <v>0</v>
      </c>
      <c r="CC63" s="136">
        <v>0</v>
      </c>
      <c r="CD63" s="136">
        <v>0</v>
      </c>
      <c r="CE63" s="136">
        <v>0</v>
      </c>
      <c r="CF63" s="136">
        <v>0</v>
      </c>
      <c r="CG63" s="136">
        <v>0</v>
      </c>
      <c r="CH63" s="136">
        <v>2095</v>
      </c>
      <c r="CI63" s="136">
        <v>0</v>
      </c>
      <c r="CJ63" s="136">
        <v>0</v>
      </c>
      <c r="CK63" s="136">
        <v>0</v>
      </c>
      <c r="CL63" s="136">
        <v>0</v>
      </c>
      <c r="CM63" s="136">
        <v>0</v>
      </c>
      <c r="CN63" s="136">
        <v>7310</v>
      </c>
      <c r="CO63" s="136">
        <v>0</v>
      </c>
      <c r="CP63" s="136">
        <v>0</v>
      </c>
      <c r="CQ63" s="136">
        <v>0</v>
      </c>
      <c r="CR63" s="136">
        <v>0</v>
      </c>
      <c r="CS63" s="136">
        <v>0</v>
      </c>
      <c r="CT63" s="136">
        <v>126273</v>
      </c>
      <c r="CU63" s="136">
        <v>0</v>
      </c>
      <c r="CV63" s="136">
        <v>0</v>
      </c>
      <c r="CW63" s="136">
        <v>0</v>
      </c>
      <c r="CX63" s="136">
        <v>0</v>
      </c>
      <c r="CY63" s="136">
        <v>0</v>
      </c>
      <c r="CZ63" s="136">
        <v>0</v>
      </c>
      <c r="DA63" s="136"/>
      <c r="DB63" s="136"/>
      <c r="DC63" s="136"/>
      <c r="DD63" s="136"/>
      <c r="DE63" s="136"/>
      <c r="DF63" s="136"/>
      <c r="DG63" s="136">
        <v>0</v>
      </c>
      <c r="DH63" s="136">
        <v>0</v>
      </c>
      <c r="DI63" s="136">
        <v>0</v>
      </c>
      <c r="DJ63" s="136">
        <v>0</v>
      </c>
      <c r="DK63" s="136">
        <v>0</v>
      </c>
      <c r="DL63" s="136">
        <v>1084</v>
      </c>
      <c r="DM63" s="136">
        <v>0</v>
      </c>
      <c r="DN63" s="136">
        <v>0</v>
      </c>
      <c r="DO63" s="136">
        <v>0</v>
      </c>
      <c r="DP63" s="136">
        <v>0</v>
      </c>
      <c r="DQ63" s="136">
        <v>0</v>
      </c>
      <c r="DR63" s="136">
        <v>0</v>
      </c>
      <c r="DS63" s="136"/>
      <c r="DT63" s="136"/>
      <c r="DU63" s="136"/>
      <c r="DV63" s="136"/>
      <c r="DW63" s="136"/>
      <c r="DX63" s="136"/>
      <c r="DY63" s="136">
        <v>0</v>
      </c>
      <c r="DZ63" s="136">
        <v>0</v>
      </c>
      <c r="EA63" s="136">
        <v>0</v>
      </c>
      <c r="EB63" s="136">
        <v>0</v>
      </c>
      <c r="EC63" s="136">
        <v>0</v>
      </c>
      <c r="ED63" s="136">
        <v>0</v>
      </c>
      <c r="EE63" s="136">
        <v>0</v>
      </c>
      <c r="EF63" s="136">
        <v>0</v>
      </c>
      <c r="EG63" s="136">
        <v>0</v>
      </c>
      <c r="EH63" s="136">
        <v>0</v>
      </c>
      <c r="EI63" s="136">
        <v>0</v>
      </c>
      <c r="EJ63" s="136">
        <v>0</v>
      </c>
      <c r="EK63" s="136"/>
      <c r="EL63" s="136"/>
      <c r="EM63" s="136"/>
      <c r="EN63" s="136"/>
      <c r="EO63" s="136"/>
      <c r="EP63" s="136"/>
      <c r="EQ63" s="136">
        <v>0</v>
      </c>
      <c r="ER63" s="136">
        <v>0</v>
      </c>
      <c r="ES63" s="136">
        <v>0</v>
      </c>
      <c r="ET63" s="136">
        <v>0</v>
      </c>
      <c r="EU63" s="136">
        <v>0</v>
      </c>
      <c r="EV63" s="136">
        <v>0</v>
      </c>
      <c r="EW63" s="136"/>
      <c r="EX63" s="136"/>
      <c r="EY63" s="136"/>
      <c r="EZ63" s="136"/>
      <c r="FA63" s="136"/>
      <c r="FB63" s="136"/>
      <c r="FC63" s="136">
        <v>0</v>
      </c>
      <c r="FD63" s="136">
        <v>0</v>
      </c>
      <c r="FE63" s="136">
        <v>0</v>
      </c>
      <c r="FF63" s="136">
        <v>0</v>
      </c>
      <c r="FG63" s="136">
        <v>0</v>
      </c>
      <c r="FH63" s="136">
        <v>0</v>
      </c>
      <c r="FI63" s="136"/>
      <c r="FJ63" s="136"/>
      <c r="FK63" s="136"/>
      <c r="FL63" s="136"/>
      <c r="FM63" s="136"/>
      <c r="FN63" s="136"/>
      <c r="FO63" s="136">
        <v>0</v>
      </c>
      <c r="FP63" s="136">
        <v>0</v>
      </c>
      <c r="FQ63" s="136">
        <v>0</v>
      </c>
      <c r="FR63" s="136">
        <v>0</v>
      </c>
      <c r="FS63" s="136">
        <v>0</v>
      </c>
      <c r="FT63" s="136">
        <v>0</v>
      </c>
      <c r="FU63" s="136">
        <v>0</v>
      </c>
      <c r="FV63" s="136">
        <v>0</v>
      </c>
      <c r="FW63" s="136">
        <v>0</v>
      </c>
      <c r="FX63" s="136">
        <v>0</v>
      </c>
      <c r="FY63" s="136">
        <v>0</v>
      </c>
      <c r="FZ63" s="136">
        <v>0</v>
      </c>
      <c r="GA63" s="136">
        <v>0</v>
      </c>
      <c r="GB63" s="136">
        <v>0</v>
      </c>
      <c r="GC63" s="136">
        <v>0</v>
      </c>
      <c r="GD63" s="136">
        <v>0</v>
      </c>
      <c r="GE63" s="136">
        <v>0</v>
      </c>
      <c r="GF63" s="136">
        <v>0</v>
      </c>
      <c r="GG63" s="136">
        <v>0</v>
      </c>
      <c r="GH63" s="136">
        <v>0</v>
      </c>
      <c r="GI63" s="136">
        <v>0</v>
      </c>
      <c r="GJ63" s="136">
        <v>0</v>
      </c>
      <c r="GK63" s="136">
        <v>0</v>
      </c>
      <c r="GL63" s="136">
        <v>0</v>
      </c>
      <c r="GM63" s="136">
        <v>0</v>
      </c>
      <c r="GN63" s="136">
        <v>0</v>
      </c>
      <c r="GO63" s="136">
        <v>0</v>
      </c>
      <c r="GP63" s="136">
        <v>0</v>
      </c>
      <c r="GQ63" s="136">
        <v>0</v>
      </c>
      <c r="GR63" s="136">
        <v>0</v>
      </c>
      <c r="GS63" s="136">
        <v>0</v>
      </c>
      <c r="GT63" s="136">
        <v>0</v>
      </c>
      <c r="GU63" s="136">
        <v>0</v>
      </c>
      <c r="GW63" s="137"/>
      <c r="GY63" s="136">
        <v>157325</v>
      </c>
      <c r="GZ63" s="136" t="s">
        <v>439</v>
      </c>
      <c r="HA63" s="136" t="s">
        <v>439</v>
      </c>
      <c r="HB63" s="136" t="s">
        <v>439</v>
      </c>
      <c r="HC63" s="136" t="s">
        <v>439</v>
      </c>
      <c r="HD63" s="136" t="s">
        <v>439</v>
      </c>
      <c r="HE63" s="136" t="s">
        <v>439</v>
      </c>
      <c r="HF63" s="136" t="s">
        <v>439</v>
      </c>
      <c r="HG63" s="136" t="s">
        <v>439</v>
      </c>
      <c r="HH63" s="136" t="s">
        <v>439</v>
      </c>
      <c r="HI63" s="35" t="s">
        <v>439</v>
      </c>
      <c r="HJ63" s="35" t="s">
        <v>439</v>
      </c>
      <c r="HK63" s="35" t="s">
        <v>439</v>
      </c>
      <c r="HL63"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63"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63"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63"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63"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63"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157325</v>
      </c>
      <c r="HR63"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157325</v>
      </c>
    </row>
    <row r="64" spans="1:226">
      <c r="A64" s="35" t="s">
        <v>52</v>
      </c>
      <c r="B64" s="37" t="s">
        <v>19</v>
      </c>
      <c r="C64" s="37">
        <v>370</v>
      </c>
      <c r="D64" s="37" t="s">
        <v>835</v>
      </c>
      <c r="E64" s="103">
        <v>3646</v>
      </c>
      <c r="F64" s="136">
        <v>-737444</v>
      </c>
      <c r="G64" s="136">
        <v>862252</v>
      </c>
      <c r="H64" s="136">
        <v>7294508</v>
      </c>
      <c r="I64" s="136">
        <v>445003</v>
      </c>
      <c r="J64" s="136">
        <v>130334</v>
      </c>
      <c r="K64" s="136">
        <v>0</v>
      </c>
      <c r="L64" s="136">
        <v>0</v>
      </c>
      <c r="M64" s="136">
        <v>366146</v>
      </c>
      <c r="N64" s="136">
        <v>0</v>
      </c>
      <c r="O64" s="136">
        <v>0</v>
      </c>
      <c r="P64" s="136">
        <v>0</v>
      </c>
      <c r="Q64" s="136">
        <v>0</v>
      </c>
      <c r="R64" s="136">
        <v>0</v>
      </c>
      <c r="S64" s="136">
        <v>0</v>
      </c>
      <c r="T64" s="136">
        <v>0</v>
      </c>
      <c r="U64" s="136">
        <v>1105463</v>
      </c>
      <c r="V64" s="136">
        <v>103795</v>
      </c>
      <c r="W64" s="136">
        <v>0</v>
      </c>
      <c r="X64" s="136">
        <v>177181</v>
      </c>
      <c r="Y64" s="136">
        <v>0</v>
      </c>
      <c r="Z64" s="136">
        <v>4100</v>
      </c>
      <c r="AA64" s="136">
        <v>43313</v>
      </c>
      <c r="AB64" s="136">
        <v>17271</v>
      </c>
      <c r="AC64" s="136">
        <v>0</v>
      </c>
      <c r="AD64" s="136">
        <v>8093</v>
      </c>
      <c r="AE64" s="136">
        <v>0</v>
      </c>
      <c r="AF64" s="136">
        <v>0</v>
      </c>
      <c r="AG64" s="136">
        <v>0</v>
      </c>
      <c r="AH64" s="136">
        <v>0</v>
      </c>
      <c r="AI64" s="136">
        <v>0</v>
      </c>
      <c r="AJ64" s="136">
        <v>0</v>
      </c>
      <c r="AK64" s="136">
        <v>0</v>
      </c>
      <c r="AL64" s="136">
        <v>0</v>
      </c>
      <c r="AM64" s="136">
        <v>0</v>
      </c>
      <c r="AN64" s="136">
        <v>0</v>
      </c>
      <c r="AO64" s="136">
        <v>0</v>
      </c>
      <c r="AP64" s="136">
        <v>0</v>
      </c>
      <c r="AQ64" s="136">
        <v>0</v>
      </c>
      <c r="AR64" s="136">
        <v>0</v>
      </c>
      <c r="AS64" s="136">
        <v>0</v>
      </c>
      <c r="AT64" s="136">
        <v>153977</v>
      </c>
      <c r="AU64" s="136">
        <v>0</v>
      </c>
      <c r="AV64" s="136">
        <v>11882</v>
      </c>
      <c r="AW64" s="136">
        <v>0</v>
      </c>
      <c r="AX64" s="136">
        <v>0</v>
      </c>
      <c r="AY64" s="136">
        <v>0</v>
      </c>
      <c r="AZ64" s="136">
        <v>0</v>
      </c>
      <c r="BA64" s="136">
        <v>0</v>
      </c>
      <c r="BB64" s="136">
        <v>0</v>
      </c>
      <c r="BC64" s="136">
        <v>0</v>
      </c>
      <c r="BD64" s="136">
        <v>0</v>
      </c>
      <c r="BE64" s="136">
        <v>1000</v>
      </c>
      <c r="BF64" s="136">
        <v>134901</v>
      </c>
      <c r="BG64" s="136">
        <v>0</v>
      </c>
      <c r="BH64" s="136">
        <v>28026</v>
      </c>
      <c r="BI64" s="136">
        <v>0</v>
      </c>
      <c r="BJ64" s="136">
        <v>26103</v>
      </c>
      <c r="BK64" s="136">
        <v>348865</v>
      </c>
      <c r="BL64" s="136">
        <v>432109</v>
      </c>
      <c r="BM64" s="136">
        <v>0</v>
      </c>
      <c r="BN64" s="136">
        <v>177108</v>
      </c>
      <c r="BO64" s="136">
        <v>0</v>
      </c>
      <c r="BP64" s="136">
        <v>491551</v>
      </c>
      <c r="BQ64" s="136">
        <v>185</v>
      </c>
      <c r="BR64" s="136">
        <v>325290</v>
      </c>
      <c r="BS64" s="136">
        <v>0</v>
      </c>
      <c r="BT64" s="136">
        <v>34926</v>
      </c>
      <c r="BU64" s="136">
        <v>0</v>
      </c>
      <c r="BV64" s="136">
        <v>1672</v>
      </c>
      <c r="BW64" s="136">
        <v>681418</v>
      </c>
      <c r="BX64" s="136">
        <v>738323</v>
      </c>
      <c r="BY64" s="136">
        <v>141194</v>
      </c>
      <c r="BZ64" s="136">
        <v>755477</v>
      </c>
      <c r="CA64" s="136">
        <v>77165</v>
      </c>
      <c r="CB64" s="136">
        <v>248791</v>
      </c>
      <c r="CC64" s="136">
        <v>0</v>
      </c>
      <c r="CD64" s="136">
        <v>0</v>
      </c>
      <c r="CE64" s="136">
        <v>0</v>
      </c>
      <c r="CF64" s="136">
        <v>0</v>
      </c>
      <c r="CG64" s="136">
        <v>0</v>
      </c>
      <c r="CH64" s="136">
        <v>0</v>
      </c>
      <c r="CI64" s="136">
        <v>50236</v>
      </c>
      <c r="CJ64" s="136">
        <v>947434</v>
      </c>
      <c r="CK64" s="136">
        <v>0</v>
      </c>
      <c r="CL64" s="136">
        <v>7233</v>
      </c>
      <c r="CM64" s="136">
        <v>0</v>
      </c>
      <c r="CN64" s="136">
        <v>0</v>
      </c>
      <c r="CO64" s="136">
        <v>198432</v>
      </c>
      <c r="CP64" s="136">
        <v>0</v>
      </c>
      <c r="CQ64" s="136">
        <v>0</v>
      </c>
      <c r="CR64" s="136">
        <v>81294</v>
      </c>
      <c r="CS64" s="136">
        <v>0</v>
      </c>
      <c r="CT64" s="136">
        <v>13105</v>
      </c>
      <c r="CU64" s="136">
        <v>0</v>
      </c>
      <c r="CV64" s="136">
        <v>0</v>
      </c>
      <c r="CW64" s="136">
        <v>0</v>
      </c>
      <c r="CX64" s="136">
        <v>0</v>
      </c>
      <c r="CY64" s="136">
        <v>0</v>
      </c>
      <c r="CZ64" s="136">
        <v>0</v>
      </c>
      <c r="DA64" s="136"/>
      <c r="DB64" s="136"/>
      <c r="DC64" s="136"/>
      <c r="DD64" s="136"/>
      <c r="DE64" s="136"/>
      <c r="DF64" s="136"/>
      <c r="DG64" s="136">
        <v>9752</v>
      </c>
      <c r="DH64" s="136">
        <v>80142</v>
      </c>
      <c r="DI64" s="136">
        <v>9724</v>
      </c>
      <c r="DJ64" s="136">
        <v>114415</v>
      </c>
      <c r="DK64" s="136">
        <v>88899</v>
      </c>
      <c r="DL64" s="136">
        <v>0</v>
      </c>
      <c r="DM64" s="136">
        <v>0</v>
      </c>
      <c r="DN64" s="136">
        <v>0</v>
      </c>
      <c r="DO64" s="136">
        <v>0</v>
      </c>
      <c r="DP64" s="136">
        <v>0</v>
      </c>
      <c r="DQ64" s="136">
        <v>0</v>
      </c>
      <c r="DR64" s="136">
        <v>0</v>
      </c>
      <c r="DS64" s="136"/>
      <c r="DT64" s="136"/>
      <c r="DU64" s="136"/>
      <c r="DV64" s="136"/>
      <c r="DW64" s="136"/>
      <c r="DX64" s="136"/>
      <c r="DY64" s="136">
        <v>0</v>
      </c>
      <c r="DZ64" s="136">
        <v>0</v>
      </c>
      <c r="EA64" s="136">
        <v>0</v>
      </c>
      <c r="EB64" s="136">
        <v>0</v>
      </c>
      <c r="EC64" s="136">
        <v>0</v>
      </c>
      <c r="ED64" s="136">
        <v>0</v>
      </c>
      <c r="EE64" s="136">
        <v>0</v>
      </c>
      <c r="EF64" s="136">
        <v>0</v>
      </c>
      <c r="EG64" s="136">
        <v>0</v>
      </c>
      <c r="EH64" s="136">
        <v>0</v>
      </c>
      <c r="EI64" s="136">
        <v>0</v>
      </c>
      <c r="EJ64" s="136">
        <v>0</v>
      </c>
      <c r="EK64" s="136"/>
      <c r="EL64" s="136"/>
      <c r="EM64" s="136"/>
      <c r="EN64" s="136"/>
      <c r="EO64" s="136"/>
      <c r="EP64" s="136"/>
      <c r="EQ64" s="136">
        <v>0</v>
      </c>
      <c r="ER64" s="136">
        <v>0</v>
      </c>
      <c r="ES64" s="136">
        <v>0</v>
      </c>
      <c r="ET64" s="136">
        <v>0</v>
      </c>
      <c r="EU64" s="136">
        <v>0</v>
      </c>
      <c r="EV64" s="136">
        <v>0</v>
      </c>
      <c r="EW64" s="136"/>
      <c r="EX64" s="136"/>
      <c r="EY64" s="136"/>
      <c r="EZ64" s="136"/>
      <c r="FA64" s="136"/>
      <c r="FB64" s="136"/>
      <c r="FC64" s="136">
        <v>0</v>
      </c>
      <c r="FD64" s="136">
        <v>0</v>
      </c>
      <c r="FE64" s="136">
        <v>0</v>
      </c>
      <c r="FF64" s="136">
        <v>0</v>
      </c>
      <c r="FG64" s="136">
        <v>0</v>
      </c>
      <c r="FH64" s="136">
        <v>0</v>
      </c>
      <c r="FI64" s="136"/>
      <c r="FJ64" s="136"/>
      <c r="FK64" s="136"/>
      <c r="FL64" s="136"/>
      <c r="FM64" s="136"/>
      <c r="FN64" s="136"/>
      <c r="FO64" s="136">
        <v>0</v>
      </c>
      <c r="FP64" s="136">
        <v>0</v>
      </c>
      <c r="FQ64" s="136">
        <v>0</v>
      </c>
      <c r="FR64" s="136">
        <v>0</v>
      </c>
      <c r="FS64" s="136">
        <v>0</v>
      </c>
      <c r="FT64" s="136">
        <v>0</v>
      </c>
      <c r="FU64" s="136">
        <v>0</v>
      </c>
      <c r="FV64" s="136">
        <v>0</v>
      </c>
      <c r="FW64" s="136">
        <v>0</v>
      </c>
      <c r="FX64" s="136">
        <v>0</v>
      </c>
      <c r="FY64" s="136">
        <v>0</v>
      </c>
      <c r="FZ64" s="136">
        <v>0</v>
      </c>
      <c r="GA64" s="136">
        <v>0</v>
      </c>
      <c r="GB64" s="136">
        <v>0</v>
      </c>
      <c r="GC64" s="136">
        <v>0</v>
      </c>
      <c r="GD64" s="136">
        <v>0</v>
      </c>
      <c r="GE64" s="136">
        <v>0</v>
      </c>
      <c r="GF64" s="136">
        <v>0</v>
      </c>
      <c r="GG64" s="136">
        <v>0</v>
      </c>
      <c r="GH64" s="136">
        <v>0</v>
      </c>
      <c r="GI64" s="136">
        <v>0</v>
      </c>
      <c r="GJ64" s="136">
        <v>0</v>
      </c>
      <c r="GK64" s="136">
        <v>0</v>
      </c>
      <c r="GL64" s="136">
        <v>0</v>
      </c>
      <c r="GM64" s="136">
        <v>0</v>
      </c>
      <c r="GN64" s="136">
        <v>0</v>
      </c>
      <c r="GO64" s="136">
        <v>0</v>
      </c>
      <c r="GP64" s="136">
        <v>0</v>
      </c>
      <c r="GQ64" s="136">
        <v>0</v>
      </c>
      <c r="GR64" s="136">
        <v>0</v>
      </c>
      <c r="GS64" s="136">
        <v>90277845</v>
      </c>
      <c r="GT64" s="136">
        <v>6660350</v>
      </c>
      <c r="GU64" s="136">
        <v>206090903</v>
      </c>
      <c r="GV64" s="35" t="s">
        <v>369</v>
      </c>
      <c r="GW64" s="137">
        <v>9408983522</v>
      </c>
      <c r="GX64" s="35" t="s">
        <v>370</v>
      </c>
      <c r="GY64" s="136">
        <v>6557064</v>
      </c>
      <c r="GZ64" s="136">
        <v>-2281537</v>
      </c>
      <c r="HA64" s="136">
        <v>130334</v>
      </c>
      <c r="HB64" s="136">
        <v>0</v>
      </c>
      <c r="HC64" s="136">
        <v>0</v>
      </c>
      <c r="HD64" s="136">
        <v>0</v>
      </c>
      <c r="HE64" s="136">
        <v>0</v>
      </c>
      <c r="HF64" s="136">
        <v>9448</v>
      </c>
      <c r="HG64" s="136">
        <v>0</v>
      </c>
      <c r="HH64" s="136">
        <v>0</v>
      </c>
      <c r="HI64" s="35" t="s">
        <v>383</v>
      </c>
      <c r="HJ64" s="35"/>
      <c r="HK64" s="35"/>
      <c r="HL64"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2438664</v>
      </c>
      <c r="HM64"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2933242</v>
      </c>
      <c r="HN64"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150918</v>
      </c>
      <c r="HO64"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1290972</v>
      </c>
      <c r="HP64"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166064</v>
      </c>
      <c r="HQ64"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785322</v>
      </c>
      <c r="HR64"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4415309</v>
      </c>
    </row>
    <row r="65" spans="1:226">
      <c r="A65" s="35" t="s">
        <v>834</v>
      </c>
      <c r="B65" s="37" t="s">
        <v>828</v>
      </c>
      <c r="C65" s="37" t="s">
        <v>659</v>
      </c>
      <c r="D65" s="37" t="s">
        <v>835</v>
      </c>
      <c r="E65" s="103">
        <v>3655</v>
      </c>
      <c r="F65" s="136">
        <v>0</v>
      </c>
      <c r="G65" s="136">
        <v>0</v>
      </c>
      <c r="H65" s="136">
        <v>0</v>
      </c>
      <c r="I65" s="136">
        <v>0</v>
      </c>
      <c r="J65" s="136">
        <v>0</v>
      </c>
      <c r="K65" s="136">
        <v>0</v>
      </c>
      <c r="L65" s="136">
        <v>0</v>
      </c>
      <c r="M65" s="136">
        <v>0</v>
      </c>
      <c r="N65" s="136">
        <v>0</v>
      </c>
      <c r="O65" s="136">
        <v>0</v>
      </c>
      <c r="P65" s="136">
        <v>0</v>
      </c>
      <c r="Q65" s="136">
        <v>0</v>
      </c>
      <c r="R65" s="136">
        <v>0</v>
      </c>
      <c r="S65" s="136">
        <v>0</v>
      </c>
      <c r="T65" s="136">
        <v>0</v>
      </c>
      <c r="U65" s="136">
        <v>0</v>
      </c>
      <c r="V65" s="136">
        <v>0</v>
      </c>
      <c r="W65" s="136">
        <v>0</v>
      </c>
      <c r="X65" s="136">
        <v>0</v>
      </c>
      <c r="Y65" s="136">
        <v>0</v>
      </c>
      <c r="Z65" s="136">
        <v>0</v>
      </c>
      <c r="AA65" s="136">
        <v>0</v>
      </c>
      <c r="AB65" s="136">
        <v>0</v>
      </c>
      <c r="AC65" s="136">
        <v>0</v>
      </c>
      <c r="AD65" s="136">
        <v>0</v>
      </c>
      <c r="AE65" s="136">
        <v>0</v>
      </c>
      <c r="AF65" s="136">
        <v>0</v>
      </c>
      <c r="AG65" s="136">
        <v>0</v>
      </c>
      <c r="AH65" s="136">
        <v>0</v>
      </c>
      <c r="AI65" s="136">
        <v>0</v>
      </c>
      <c r="AJ65" s="136">
        <v>0</v>
      </c>
      <c r="AK65" s="136">
        <v>0</v>
      </c>
      <c r="AL65" s="136">
        <v>0</v>
      </c>
      <c r="AM65" s="136">
        <v>0</v>
      </c>
      <c r="AN65" s="136">
        <v>0</v>
      </c>
      <c r="AO65" s="136">
        <v>0</v>
      </c>
      <c r="AP65" s="136">
        <v>0</v>
      </c>
      <c r="AQ65" s="136">
        <v>0</v>
      </c>
      <c r="AR65" s="136">
        <v>0</v>
      </c>
      <c r="AS65" s="136">
        <v>0</v>
      </c>
      <c r="AT65" s="136">
        <v>0</v>
      </c>
      <c r="AU65" s="136">
        <v>0</v>
      </c>
      <c r="AV65" s="136">
        <v>0</v>
      </c>
      <c r="AW65" s="136">
        <v>0</v>
      </c>
      <c r="AX65" s="136">
        <v>0</v>
      </c>
      <c r="AY65" s="136">
        <v>0</v>
      </c>
      <c r="AZ65" s="136">
        <v>0</v>
      </c>
      <c r="BA65" s="136">
        <v>0</v>
      </c>
      <c r="BB65" s="136">
        <v>0</v>
      </c>
      <c r="BC65" s="136">
        <v>0</v>
      </c>
      <c r="BD65" s="136">
        <v>0</v>
      </c>
      <c r="BE65" s="136">
        <v>0</v>
      </c>
      <c r="BF65" s="136">
        <v>0</v>
      </c>
      <c r="BG65" s="136">
        <v>0</v>
      </c>
      <c r="BH65" s="136">
        <v>0</v>
      </c>
      <c r="BI65" s="136">
        <v>0</v>
      </c>
      <c r="BJ65" s="136">
        <v>0</v>
      </c>
      <c r="BK65" s="136">
        <v>0</v>
      </c>
      <c r="BL65" s="136">
        <v>0</v>
      </c>
      <c r="BM65" s="136">
        <v>0</v>
      </c>
      <c r="BN65" s="136">
        <v>0</v>
      </c>
      <c r="BO65" s="136">
        <v>0</v>
      </c>
      <c r="BP65" s="136">
        <v>0</v>
      </c>
      <c r="BQ65" s="136">
        <v>0</v>
      </c>
      <c r="BR65" s="136">
        <v>0</v>
      </c>
      <c r="BS65" s="136">
        <v>0</v>
      </c>
      <c r="BT65" s="136">
        <v>0</v>
      </c>
      <c r="BU65" s="136">
        <v>0</v>
      </c>
      <c r="BV65" s="136">
        <v>0</v>
      </c>
      <c r="BW65" s="136">
        <v>0</v>
      </c>
      <c r="BX65" s="136">
        <v>0</v>
      </c>
      <c r="BY65" s="136">
        <v>0</v>
      </c>
      <c r="BZ65" s="136">
        <v>0</v>
      </c>
      <c r="CA65" s="136">
        <v>0</v>
      </c>
      <c r="CB65" s="136">
        <v>0</v>
      </c>
      <c r="CC65" s="136">
        <v>0</v>
      </c>
      <c r="CD65" s="136">
        <v>0</v>
      </c>
      <c r="CE65" s="136">
        <v>0</v>
      </c>
      <c r="CF65" s="136">
        <v>0</v>
      </c>
      <c r="CG65" s="136">
        <v>0</v>
      </c>
      <c r="CH65" s="136">
        <v>0</v>
      </c>
      <c r="CI65" s="136">
        <v>0</v>
      </c>
      <c r="CJ65" s="136">
        <v>0</v>
      </c>
      <c r="CK65" s="136">
        <v>0</v>
      </c>
      <c r="CL65" s="136">
        <v>0</v>
      </c>
      <c r="CM65" s="136">
        <v>0</v>
      </c>
      <c r="CN65" s="136">
        <v>0</v>
      </c>
      <c r="CO65" s="136">
        <v>0</v>
      </c>
      <c r="CP65" s="136">
        <v>0</v>
      </c>
      <c r="CQ65" s="136">
        <v>0</v>
      </c>
      <c r="CR65" s="136">
        <v>0</v>
      </c>
      <c r="CS65" s="136">
        <v>0</v>
      </c>
      <c r="CT65" s="136">
        <v>0</v>
      </c>
      <c r="CU65" s="136">
        <v>0</v>
      </c>
      <c r="CV65" s="136">
        <v>0</v>
      </c>
      <c r="CW65" s="136">
        <v>0</v>
      </c>
      <c r="CX65" s="136">
        <v>0</v>
      </c>
      <c r="CY65" s="136">
        <v>0</v>
      </c>
      <c r="CZ65" s="136">
        <v>0</v>
      </c>
      <c r="DA65" s="136"/>
      <c r="DB65" s="136"/>
      <c r="DC65" s="136"/>
      <c r="DD65" s="136"/>
      <c r="DE65" s="136"/>
      <c r="DF65" s="136"/>
      <c r="DG65" s="136">
        <v>0</v>
      </c>
      <c r="DH65" s="136">
        <v>0</v>
      </c>
      <c r="DI65" s="136">
        <v>0</v>
      </c>
      <c r="DJ65" s="136">
        <v>0</v>
      </c>
      <c r="DK65" s="136">
        <v>0</v>
      </c>
      <c r="DL65" s="136">
        <v>0</v>
      </c>
      <c r="DM65" s="136">
        <v>0</v>
      </c>
      <c r="DN65" s="136">
        <v>0</v>
      </c>
      <c r="DO65" s="136">
        <v>0</v>
      </c>
      <c r="DP65" s="136">
        <v>0</v>
      </c>
      <c r="DQ65" s="136">
        <v>0</v>
      </c>
      <c r="DR65" s="136">
        <v>0</v>
      </c>
      <c r="DS65" s="136"/>
      <c r="DT65" s="136"/>
      <c r="DU65" s="136"/>
      <c r="DV65" s="136"/>
      <c r="DW65" s="136"/>
      <c r="DX65" s="136"/>
      <c r="DY65" s="136">
        <v>0</v>
      </c>
      <c r="DZ65" s="136">
        <v>0</v>
      </c>
      <c r="EA65" s="136">
        <v>0</v>
      </c>
      <c r="EB65" s="136">
        <v>0</v>
      </c>
      <c r="EC65" s="136">
        <v>0</v>
      </c>
      <c r="ED65" s="136">
        <v>0</v>
      </c>
      <c r="EE65" s="136">
        <v>0</v>
      </c>
      <c r="EF65" s="136">
        <v>0</v>
      </c>
      <c r="EG65" s="136">
        <v>0</v>
      </c>
      <c r="EH65" s="136">
        <v>0</v>
      </c>
      <c r="EI65" s="136">
        <v>0</v>
      </c>
      <c r="EJ65" s="136">
        <v>0</v>
      </c>
      <c r="EK65" s="136"/>
      <c r="EL65" s="136"/>
      <c r="EM65" s="136"/>
      <c r="EN65" s="136"/>
      <c r="EO65" s="136"/>
      <c r="EP65" s="136"/>
      <c r="EQ65" s="136">
        <v>0</v>
      </c>
      <c r="ER65" s="136">
        <v>0</v>
      </c>
      <c r="ES65" s="136">
        <v>0</v>
      </c>
      <c r="ET65" s="136">
        <v>0</v>
      </c>
      <c r="EU65" s="136">
        <v>0</v>
      </c>
      <c r="EV65" s="136">
        <v>0</v>
      </c>
      <c r="EW65" s="136"/>
      <c r="EX65" s="136"/>
      <c r="EY65" s="136"/>
      <c r="EZ65" s="136"/>
      <c r="FA65" s="136"/>
      <c r="FB65" s="136"/>
      <c r="FC65" s="136">
        <v>0</v>
      </c>
      <c r="FD65" s="136">
        <v>0</v>
      </c>
      <c r="FE65" s="136">
        <v>0</v>
      </c>
      <c r="FF65" s="136">
        <v>0</v>
      </c>
      <c r="FG65" s="136">
        <v>0</v>
      </c>
      <c r="FH65" s="136">
        <v>0</v>
      </c>
      <c r="FI65" s="136"/>
      <c r="FJ65" s="136"/>
      <c r="FK65" s="136"/>
      <c r="FL65" s="136"/>
      <c r="FM65" s="136"/>
      <c r="FN65" s="136"/>
      <c r="FO65" s="136">
        <v>0</v>
      </c>
      <c r="FP65" s="136">
        <v>0</v>
      </c>
      <c r="FQ65" s="136">
        <v>0</v>
      </c>
      <c r="FR65" s="136">
        <v>0</v>
      </c>
      <c r="FS65" s="136">
        <v>0</v>
      </c>
      <c r="FT65" s="136">
        <v>0</v>
      </c>
      <c r="FU65" s="136">
        <v>0</v>
      </c>
      <c r="FV65" s="136">
        <v>0</v>
      </c>
      <c r="FW65" s="136">
        <v>0</v>
      </c>
      <c r="FX65" s="136">
        <v>0</v>
      </c>
      <c r="FY65" s="136">
        <v>0</v>
      </c>
      <c r="FZ65" s="136">
        <v>0</v>
      </c>
      <c r="GA65" s="136">
        <v>0</v>
      </c>
      <c r="GB65" s="136">
        <v>0</v>
      </c>
      <c r="GC65" s="136">
        <v>0</v>
      </c>
      <c r="GD65" s="136">
        <v>0</v>
      </c>
      <c r="GE65" s="136">
        <v>0</v>
      </c>
      <c r="GF65" s="136">
        <v>0</v>
      </c>
      <c r="GG65" s="136">
        <v>0</v>
      </c>
      <c r="GH65" s="136">
        <v>0</v>
      </c>
      <c r="GI65" s="136">
        <v>0</v>
      </c>
      <c r="GJ65" s="136">
        <v>0</v>
      </c>
      <c r="GK65" s="136">
        <v>0</v>
      </c>
      <c r="GL65" s="136">
        <v>0</v>
      </c>
      <c r="GM65" s="136">
        <v>0</v>
      </c>
      <c r="GN65" s="136">
        <v>0</v>
      </c>
      <c r="GO65" s="136">
        <v>0</v>
      </c>
      <c r="GP65" s="136">
        <v>0</v>
      </c>
      <c r="GQ65" s="136">
        <v>0</v>
      </c>
      <c r="GR65" s="136">
        <v>0</v>
      </c>
      <c r="GS65" s="136">
        <v>10019017</v>
      </c>
      <c r="GT65" s="136">
        <v>0</v>
      </c>
      <c r="GU65" s="136">
        <v>619752981</v>
      </c>
      <c r="GV65" s="35" t="s">
        <v>881</v>
      </c>
      <c r="GW65" s="137">
        <v>5124994458</v>
      </c>
      <c r="GX65" s="35" t="s">
        <v>882</v>
      </c>
      <c r="GY65" s="141">
        <v>0</v>
      </c>
      <c r="GZ65" s="141">
        <v>0</v>
      </c>
      <c r="HA65" s="136">
        <v>0</v>
      </c>
      <c r="HB65" s="136">
        <v>0</v>
      </c>
      <c r="HC65" s="136">
        <v>0</v>
      </c>
      <c r="HD65" s="136">
        <v>0</v>
      </c>
      <c r="HE65" s="136">
        <v>0</v>
      </c>
      <c r="HF65" s="136">
        <v>0</v>
      </c>
      <c r="HG65" s="136">
        <v>0</v>
      </c>
      <c r="HH65" s="136">
        <v>0</v>
      </c>
      <c r="HI65" s="35">
        <v>0</v>
      </c>
      <c r="HJ65" s="35">
        <v>0</v>
      </c>
      <c r="HK65" s="35">
        <v>0</v>
      </c>
      <c r="HL65"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65"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65"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65"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65"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65"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65"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66" spans="1:226">
      <c r="A66" s="35" t="s">
        <v>20</v>
      </c>
      <c r="B66" s="37" t="s">
        <v>19</v>
      </c>
      <c r="C66" s="37">
        <v>40</v>
      </c>
      <c r="D66" s="37" t="s">
        <v>835</v>
      </c>
      <c r="E66" s="103">
        <v>3656</v>
      </c>
      <c r="F66" s="136">
        <v>4591864</v>
      </c>
      <c r="G66" s="136">
        <v>0</v>
      </c>
      <c r="H66" s="136">
        <v>108377847</v>
      </c>
      <c r="I66" s="136">
        <v>15957418</v>
      </c>
      <c r="J66" s="136">
        <v>9835287</v>
      </c>
      <c r="K66" s="136">
        <v>0</v>
      </c>
      <c r="L66" s="136">
        <v>0</v>
      </c>
      <c r="M66" s="136">
        <v>12362591</v>
      </c>
      <c r="N66" s="136">
        <v>2034485</v>
      </c>
      <c r="O66" s="136">
        <v>0</v>
      </c>
      <c r="P66" s="136">
        <v>0</v>
      </c>
      <c r="Q66" s="136">
        <v>0</v>
      </c>
      <c r="R66" s="136">
        <v>0</v>
      </c>
      <c r="S66" s="136">
        <v>0</v>
      </c>
      <c r="T66" s="136">
        <v>0</v>
      </c>
      <c r="U66" s="136">
        <v>3828460</v>
      </c>
      <c r="V66" s="136">
        <v>520769</v>
      </c>
      <c r="W66" s="136">
        <v>176451</v>
      </c>
      <c r="X66" s="136">
        <v>3153980</v>
      </c>
      <c r="Y66" s="136">
        <v>439105</v>
      </c>
      <c r="Z66" s="136">
        <v>22263</v>
      </c>
      <c r="AA66" s="136">
        <v>3504644</v>
      </c>
      <c r="AB66" s="136">
        <v>1943935</v>
      </c>
      <c r="AC66" s="136">
        <v>263464</v>
      </c>
      <c r="AD66" s="136">
        <v>2220052</v>
      </c>
      <c r="AE66" s="136">
        <v>316521</v>
      </c>
      <c r="AF66" s="136">
        <v>0</v>
      </c>
      <c r="AG66" s="136">
        <v>25580612</v>
      </c>
      <c r="AH66" s="136">
        <v>12369540</v>
      </c>
      <c r="AI66" s="136">
        <v>3947645</v>
      </c>
      <c r="AJ66" s="136">
        <v>10579154</v>
      </c>
      <c r="AK66" s="136">
        <v>4770339</v>
      </c>
      <c r="AL66" s="136">
        <v>1576305</v>
      </c>
      <c r="AM66" s="136">
        <v>82373</v>
      </c>
      <c r="AN66" s="136">
        <v>3443</v>
      </c>
      <c r="AO66" s="136">
        <v>0</v>
      </c>
      <c r="AP66" s="136">
        <v>983023</v>
      </c>
      <c r="AQ66" s="136">
        <v>31027</v>
      </c>
      <c r="AR66" s="136">
        <v>67629</v>
      </c>
      <c r="AS66" s="136">
        <v>945264</v>
      </c>
      <c r="AT66" s="136">
        <v>1305755</v>
      </c>
      <c r="AU66" s="136">
        <v>0</v>
      </c>
      <c r="AV66" s="136">
        <v>257045</v>
      </c>
      <c r="AW66" s="136">
        <v>1007</v>
      </c>
      <c r="AX66" s="136">
        <v>6920</v>
      </c>
      <c r="AY66" s="136">
        <v>1698367</v>
      </c>
      <c r="AZ66" s="136">
        <v>33767</v>
      </c>
      <c r="BA66" s="136">
        <v>20554</v>
      </c>
      <c r="BB66" s="136">
        <v>3347831</v>
      </c>
      <c r="BC66" s="136">
        <v>231630</v>
      </c>
      <c r="BD66" s="136">
        <v>49647</v>
      </c>
      <c r="BE66" s="136">
        <v>13885096</v>
      </c>
      <c r="BF66" s="136">
        <v>1151141</v>
      </c>
      <c r="BG66" s="136">
        <v>3753</v>
      </c>
      <c r="BH66" s="136">
        <v>7177985</v>
      </c>
      <c r="BI66" s="136">
        <v>600157</v>
      </c>
      <c r="BJ66" s="136">
        <v>915464</v>
      </c>
      <c r="BK66" s="136">
        <v>678442</v>
      </c>
      <c r="BL66" s="136">
        <v>0</v>
      </c>
      <c r="BM66" s="136">
        <v>0</v>
      </c>
      <c r="BN66" s="136">
        <v>1647696</v>
      </c>
      <c r="BO66" s="136">
        <v>21544</v>
      </c>
      <c r="BP66" s="136">
        <v>0</v>
      </c>
      <c r="BQ66" s="136">
        <v>1137645</v>
      </c>
      <c r="BR66" s="136">
        <v>70925</v>
      </c>
      <c r="BS66" s="136">
        <v>175149</v>
      </c>
      <c r="BT66" s="136">
        <v>513795</v>
      </c>
      <c r="BU66" s="136">
        <v>194678</v>
      </c>
      <c r="BV66" s="136">
        <v>194541</v>
      </c>
      <c r="BW66" s="136">
        <v>0</v>
      </c>
      <c r="BX66" s="136">
        <v>0</v>
      </c>
      <c r="BY66" s="136">
        <v>0</v>
      </c>
      <c r="BZ66" s="136">
        <v>0</v>
      </c>
      <c r="CA66" s="136">
        <v>0</v>
      </c>
      <c r="CB66" s="136">
        <v>0</v>
      </c>
      <c r="CC66" s="136">
        <v>45082</v>
      </c>
      <c r="CD66" s="136">
        <v>47354</v>
      </c>
      <c r="CE66" s="136">
        <v>0</v>
      </c>
      <c r="CF66" s="136">
        <v>749684</v>
      </c>
      <c r="CG66" s="136">
        <v>455255</v>
      </c>
      <c r="CH66" s="136">
        <v>36211</v>
      </c>
      <c r="CI66" s="136">
        <v>125535</v>
      </c>
      <c r="CJ66" s="136">
        <v>17208</v>
      </c>
      <c r="CK66" s="136">
        <v>0</v>
      </c>
      <c r="CL66" s="136">
        <v>1492122</v>
      </c>
      <c r="CM66" s="136">
        <v>1102965</v>
      </c>
      <c r="CN66" s="136">
        <v>0</v>
      </c>
      <c r="CO66" s="136">
        <v>936974</v>
      </c>
      <c r="CP66" s="136">
        <v>39938</v>
      </c>
      <c r="CQ66" s="136">
        <v>1113798</v>
      </c>
      <c r="CR66" s="136">
        <v>278763</v>
      </c>
      <c r="CS66" s="136">
        <v>48988</v>
      </c>
      <c r="CT66" s="136">
        <v>44912</v>
      </c>
      <c r="CU66" s="136">
        <v>0</v>
      </c>
      <c r="CV66" s="136">
        <v>0</v>
      </c>
      <c r="CW66" s="136">
        <v>0</v>
      </c>
      <c r="CX66" s="136">
        <v>0</v>
      </c>
      <c r="CY66" s="136">
        <v>0</v>
      </c>
      <c r="CZ66" s="136">
        <v>0</v>
      </c>
      <c r="DA66" s="136"/>
      <c r="DB66" s="136"/>
      <c r="DC66" s="136"/>
      <c r="DD66" s="136"/>
      <c r="DE66" s="136"/>
      <c r="DF66" s="136"/>
      <c r="DG66" s="136">
        <v>31443</v>
      </c>
      <c r="DH66" s="136">
        <v>4295423</v>
      </c>
      <c r="DI66" s="136">
        <v>750286</v>
      </c>
      <c r="DJ66" s="136">
        <v>9625051</v>
      </c>
      <c r="DK66" s="136">
        <v>217510</v>
      </c>
      <c r="DL66" s="136">
        <v>69518</v>
      </c>
      <c r="DM66" s="136">
        <v>7984353</v>
      </c>
      <c r="DN66" s="136">
        <v>2769341</v>
      </c>
      <c r="DO66" s="136">
        <v>0</v>
      </c>
      <c r="DP66" s="136">
        <v>2385347</v>
      </c>
      <c r="DQ66" s="136">
        <v>1955643</v>
      </c>
      <c r="DR66" s="136">
        <v>210309</v>
      </c>
      <c r="DS66" s="136"/>
      <c r="DT66" s="136"/>
      <c r="DU66" s="136"/>
      <c r="DV66" s="136"/>
      <c r="DW66" s="136"/>
      <c r="DX66" s="136"/>
      <c r="DY66" s="136">
        <v>2031357</v>
      </c>
      <c r="DZ66" s="136">
        <v>233452</v>
      </c>
      <c r="EA66" s="136">
        <v>166703</v>
      </c>
      <c r="EB66" s="136">
        <v>1414837</v>
      </c>
      <c r="EC66" s="136">
        <v>204820</v>
      </c>
      <c r="ED66" s="136">
        <v>862224</v>
      </c>
      <c r="EE66" s="136">
        <v>4656880</v>
      </c>
      <c r="EF66" s="136">
        <v>233452</v>
      </c>
      <c r="EG66" s="136">
        <v>491125</v>
      </c>
      <c r="EH66" s="136">
        <v>1471495</v>
      </c>
      <c r="EI66" s="136">
        <v>44509</v>
      </c>
      <c r="EJ66" s="136">
        <v>787159</v>
      </c>
      <c r="EK66" s="136"/>
      <c r="EL66" s="136"/>
      <c r="EM66" s="136"/>
      <c r="EN66" s="136"/>
      <c r="EO66" s="136"/>
      <c r="EP66" s="136"/>
      <c r="EQ66" s="136">
        <v>9362192</v>
      </c>
      <c r="ER66" s="136">
        <v>1926845</v>
      </c>
      <c r="ES66" s="136">
        <v>295818</v>
      </c>
      <c r="ET66" s="136">
        <v>1068099</v>
      </c>
      <c r="EU66" s="136">
        <v>908871</v>
      </c>
      <c r="EV66" s="136">
        <v>189904</v>
      </c>
      <c r="EW66" s="136"/>
      <c r="EX66" s="136"/>
      <c r="EY66" s="136"/>
      <c r="EZ66" s="136"/>
      <c r="FA66" s="136"/>
      <c r="FB66" s="136"/>
      <c r="FC66" s="136">
        <v>7681242</v>
      </c>
      <c r="FD66" s="136">
        <v>249830</v>
      </c>
      <c r="FE66" s="136">
        <v>44435</v>
      </c>
      <c r="FF66" s="136">
        <v>1929868</v>
      </c>
      <c r="FG66" s="136">
        <v>783998</v>
      </c>
      <c r="FH66" s="136">
        <v>424460</v>
      </c>
      <c r="FI66" s="136"/>
      <c r="FJ66" s="136"/>
      <c r="FK66" s="136"/>
      <c r="FL66" s="136"/>
      <c r="FM66" s="136"/>
      <c r="FN66" s="136"/>
      <c r="FO66" s="136">
        <v>14783733</v>
      </c>
      <c r="FP66" s="136">
        <v>4984725</v>
      </c>
      <c r="FQ66" s="136">
        <v>6126</v>
      </c>
      <c r="FR66" s="136">
        <v>5947369</v>
      </c>
      <c r="FS66" s="136">
        <v>932973</v>
      </c>
      <c r="FT66" s="136">
        <v>1145555</v>
      </c>
      <c r="FU66" s="136">
        <v>9050225</v>
      </c>
      <c r="FV66" s="136">
        <v>7167064</v>
      </c>
      <c r="FW66" s="136">
        <v>325319</v>
      </c>
      <c r="FX66" s="136">
        <v>3398453</v>
      </c>
      <c r="FY66" s="136">
        <v>654193</v>
      </c>
      <c r="FZ66" s="136">
        <v>493242</v>
      </c>
      <c r="GA66" s="136">
        <v>782578</v>
      </c>
      <c r="GB66" s="136">
        <v>0</v>
      </c>
      <c r="GC66" s="136">
        <v>1011344</v>
      </c>
      <c r="GD66" s="136">
        <v>983023</v>
      </c>
      <c r="GE66" s="136">
        <v>60771</v>
      </c>
      <c r="GF66" s="136">
        <v>143715</v>
      </c>
      <c r="GG66" s="136">
        <v>0</v>
      </c>
      <c r="GH66" s="136">
        <v>0</v>
      </c>
      <c r="GI66" s="136">
        <v>0</v>
      </c>
      <c r="GJ66" s="136">
        <v>0</v>
      </c>
      <c r="GK66" s="136">
        <v>0</v>
      </c>
      <c r="GL66" s="136">
        <v>0</v>
      </c>
      <c r="GM66" s="136">
        <v>0</v>
      </c>
      <c r="GN66" s="136">
        <v>0</v>
      </c>
      <c r="GO66" s="136">
        <v>0</v>
      </c>
      <c r="GP66" s="136">
        <v>0</v>
      </c>
      <c r="GQ66" s="136">
        <v>0</v>
      </c>
      <c r="GR66" s="136">
        <v>0</v>
      </c>
      <c r="GS66" s="136">
        <v>184377140</v>
      </c>
      <c r="GT66" s="136">
        <v>120770513</v>
      </c>
      <c r="GU66" s="136">
        <v>669974126</v>
      </c>
      <c r="GV66" s="35" t="s">
        <v>320</v>
      </c>
      <c r="GW66" s="137">
        <v>8172723330</v>
      </c>
      <c r="GX66" s="35" t="s">
        <v>321</v>
      </c>
      <c r="GY66" s="136">
        <v>112969711</v>
      </c>
      <c r="GZ66" s="136">
        <v>-56429330</v>
      </c>
      <c r="HA66" s="136">
        <v>2443777</v>
      </c>
      <c r="HB66" s="136">
        <v>-4591864</v>
      </c>
      <c r="HC66" s="136">
        <v>0</v>
      </c>
      <c r="HD66" s="136">
        <v>-1270898</v>
      </c>
      <c r="HE66" s="136">
        <v>0</v>
      </c>
      <c r="HF66" s="136">
        <v>0</v>
      </c>
      <c r="HG66" s="136">
        <v>0</v>
      </c>
      <c r="HH66" s="136">
        <v>0</v>
      </c>
      <c r="HI66" s="35" t="s">
        <v>439</v>
      </c>
      <c r="HJ66" s="35" t="s">
        <v>439</v>
      </c>
      <c r="HK66" s="35" t="s">
        <v>439</v>
      </c>
      <c r="HL66"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52479937</v>
      </c>
      <c r="HM66"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21799198</v>
      </c>
      <c r="HN66"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6451100</v>
      </c>
      <c r="HO66"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32432573</v>
      </c>
      <c r="HP66"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8430726</v>
      </c>
      <c r="HQ66"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2983410</v>
      </c>
      <c r="HR66"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53121396</v>
      </c>
    </row>
    <row r="67" spans="1:226">
      <c r="A67" s="35" t="s">
        <v>714</v>
      </c>
      <c r="B67" s="37" t="s">
        <v>19</v>
      </c>
      <c r="C67" s="37">
        <v>51</v>
      </c>
      <c r="D67" s="37" t="s">
        <v>835</v>
      </c>
      <c r="E67" s="103">
        <v>3658</v>
      </c>
      <c r="F67" s="136">
        <v>2751223</v>
      </c>
      <c r="G67" s="136">
        <v>0</v>
      </c>
      <c r="H67" s="136">
        <v>806988093</v>
      </c>
      <c r="I67" s="136">
        <v>152198610</v>
      </c>
      <c r="J67" s="136">
        <v>-48586683</v>
      </c>
      <c r="K67" s="136">
        <v>-961414</v>
      </c>
      <c r="L67" s="136">
        <v>0</v>
      </c>
      <c r="M67" s="136">
        <v>23919084</v>
      </c>
      <c r="N67" s="136">
        <v>0</v>
      </c>
      <c r="O67" s="136">
        <v>0</v>
      </c>
      <c r="P67" s="136">
        <v>0</v>
      </c>
      <c r="Q67" s="136">
        <v>0</v>
      </c>
      <c r="R67" s="136">
        <v>92429</v>
      </c>
      <c r="S67" s="136">
        <v>5</v>
      </c>
      <c r="T67" s="136">
        <v>0</v>
      </c>
      <c r="U67" s="136">
        <v>58353429</v>
      </c>
      <c r="V67" s="136">
        <v>12942</v>
      </c>
      <c r="W67" s="136">
        <v>2723333</v>
      </c>
      <c r="X67" s="136">
        <v>13939358</v>
      </c>
      <c r="Y67" s="136">
        <v>4142928</v>
      </c>
      <c r="Z67" s="136">
        <v>4919331</v>
      </c>
      <c r="AA67" s="136">
        <v>52170469</v>
      </c>
      <c r="AB67" s="136">
        <v>0</v>
      </c>
      <c r="AC67" s="136">
        <v>621443</v>
      </c>
      <c r="AD67" s="136">
        <v>11361906</v>
      </c>
      <c r="AE67" s="136">
        <v>3554074</v>
      </c>
      <c r="AF67" s="136">
        <v>1987604</v>
      </c>
      <c r="AG67" s="136">
        <v>324281910</v>
      </c>
      <c r="AH67" s="136">
        <v>9689212</v>
      </c>
      <c r="AI67" s="136">
        <v>20893931</v>
      </c>
      <c r="AJ67" s="136">
        <v>16276715</v>
      </c>
      <c r="AK67" s="136">
        <v>52958166</v>
      </c>
      <c r="AL67" s="136">
        <v>6387947</v>
      </c>
      <c r="AM67" s="136">
        <v>23555889</v>
      </c>
      <c r="AN67" s="136">
        <v>5107645</v>
      </c>
      <c r="AO67" s="136">
        <v>2128065</v>
      </c>
      <c r="AP67" s="136">
        <v>4662459</v>
      </c>
      <c r="AQ67" s="136">
        <v>4067000</v>
      </c>
      <c r="AR67" s="136">
        <v>1392363</v>
      </c>
      <c r="AS67" s="136">
        <v>30853560</v>
      </c>
      <c r="AT67" s="136">
        <v>0</v>
      </c>
      <c r="AU67" s="136">
        <v>1026818</v>
      </c>
      <c r="AV67" s="136">
        <v>1593120</v>
      </c>
      <c r="AW67" s="136">
        <v>2272944</v>
      </c>
      <c r="AX67" s="136">
        <v>3822846</v>
      </c>
      <c r="AY67" s="136">
        <v>24257928</v>
      </c>
      <c r="AZ67" s="136">
        <v>51895</v>
      </c>
      <c r="BA67" s="136">
        <v>2014101</v>
      </c>
      <c r="BB67" s="136">
        <v>2438421</v>
      </c>
      <c r="BC67" s="136">
        <v>2858294</v>
      </c>
      <c r="BD67" s="136">
        <v>853621</v>
      </c>
      <c r="BE67" s="136">
        <v>30201518</v>
      </c>
      <c r="BF67" s="136">
        <v>5963681</v>
      </c>
      <c r="BG67" s="136">
        <v>2872675</v>
      </c>
      <c r="BH67" s="136">
        <v>16390616</v>
      </c>
      <c r="BI67" s="136">
        <v>1898830</v>
      </c>
      <c r="BJ67" s="136">
        <v>4401253</v>
      </c>
      <c r="BK67" s="136">
        <v>12201351</v>
      </c>
      <c r="BL67" s="136">
        <v>0</v>
      </c>
      <c r="BM67" s="136">
        <v>711706</v>
      </c>
      <c r="BN67" s="136">
        <v>429523</v>
      </c>
      <c r="BO67" s="136">
        <v>189443</v>
      </c>
      <c r="BP67" s="136">
        <v>1168696</v>
      </c>
      <c r="BQ67" s="136">
        <v>21806466</v>
      </c>
      <c r="BR67" s="136">
        <v>517995</v>
      </c>
      <c r="BS67" s="136">
        <v>1933693</v>
      </c>
      <c r="BT67" s="136">
        <v>2893917</v>
      </c>
      <c r="BU67" s="136">
        <v>2760392</v>
      </c>
      <c r="BV67" s="136">
        <v>9830657</v>
      </c>
      <c r="BW67" s="136">
        <v>1346113</v>
      </c>
      <c r="BX67" s="136">
        <v>0</v>
      </c>
      <c r="BY67" s="136">
        <v>464938</v>
      </c>
      <c r="BZ67" s="136">
        <v>2876605</v>
      </c>
      <c r="CA67" s="136">
        <v>808692</v>
      </c>
      <c r="CB67" s="136">
        <v>502763</v>
      </c>
      <c r="CC67" s="136">
        <v>717331</v>
      </c>
      <c r="CD67" s="136">
        <v>0</v>
      </c>
      <c r="CE67" s="136">
        <v>57634</v>
      </c>
      <c r="CF67" s="136">
        <v>3288492</v>
      </c>
      <c r="CG67" s="136">
        <v>1262705</v>
      </c>
      <c r="CH67" s="136">
        <v>734645</v>
      </c>
      <c r="CI67" s="136">
        <v>565706</v>
      </c>
      <c r="CJ67" s="136">
        <v>657123</v>
      </c>
      <c r="CK67" s="136">
        <v>396929</v>
      </c>
      <c r="CL67" s="136">
        <v>261875</v>
      </c>
      <c r="CM67" s="136">
        <v>1925620</v>
      </c>
      <c r="CN67" s="136">
        <v>0</v>
      </c>
      <c r="CO67" s="136">
        <v>19415998</v>
      </c>
      <c r="CP67" s="136">
        <v>0</v>
      </c>
      <c r="CQ67" s="136">
        <v>1159374</v>
      </c>
      <c r="CR67" s="136">
        <v>1105282</v>
      </c>
      <c r="CS67" s="136">
        <v>311222</v>
      </c>
      <c r="CT67" s="136">
        <v>3083065</v>
      </c>
      <c r="CU67" s="136">
        <v>1655777</v>
      </c>
      <c r="CV67" s="136">
        <v>2688</v>
      </c>
      <c r="CW67" s="136">
        <v>637967</v>
      </c>
      <c r="CX67" s="136">
        <v>127771</v>
      </c>
      <c r="CY67" s="136">
        <v>2153886</v>
      </c>
      <c r="CZ67" s="136">
        <v>2627163</v>
      </c>
      <c r="DA67" s="136"/>
      <c r="DB67" s="136"/>
      <c r="DC67" s="136"/>
      <c r="DD67" s="136"/>
      <c r="DE67" s="136"/>
      <c r="DF67" s="136"/>
      <c r="DG67" s="136">
        <v>29763669</v>
      </c>
      <c r="DH67" s="136">
        <v>18054</v>
      </c>
      <c r="DI67" s="136">
        <v>191126</v>
      </c>
      <c r="DJ67" s="136">
        <v>9529706</v>
      </c>
      <c r="DK67" s="136">
        <v>7139107</v>
      </c>
      <c r="DL67" s="136">
        <v>1353067</v>
      </c>
      <c r="DM67" s="136">
        <v>13667165</v>
      </c>
      <c r="DN67" s="136">
        <v>0</v>
      </c>
      <c r="DO67" s="136">
        <v>85158</v>
      </c>
      <c r="DP67" s="136">
        <v>594470</v>
      </c>
      <c r="DQ67" s="136">
        <v>43332</v>
      </c>
      <c r="DR67" s="136">
        <v>718033</v>
      </c>
      <c r="DS67" s="136"/>
      <c r="DT67" s="136"/>
      <c r="DU67" s="136"/>
      <c r="DV67" s="136"/>
      <c r="DW67" s="136"/>
      <c r="DX67" s="136"/>
      <c r="DY67" s="136">
        <v>4571028</v>
      </c>
      <c r="DZ67" s="136">
        <v>348432</v>
      </c>
      <c r="EA67" s="136">
        <v>1135992</v>
      </c>
      <c r="EB67" s="136">
        <v>1262602</v>
      </c>
      <c r="EC67" s="136">
        <v>1195593</v>
      </c>
      <c r="ED67" s="136">
        <v>917363</v>
      </c>
      <c r="EE67" s="136">
        <v>1485906</v>
      </c>
      <c r="EF67" s="136">
        <v>0</v>
      </c>
      <c r="EG67" s="136">
        <v>10757050</v>
      </c>
      <c r="EH67" s="136">
        <v>0</v>
      </c>
      <c r="EI67" s="136">
        <v>678860</v>
      </c>
      <c r="EJ67" s="136">
        <v>0</v>
      </c>
      <c r="EK67" s="136"/>
      <c r="EL67" s="136"/>
      <c r="EM67" s="136"/>
      <c r="EN67" s="136"/>
      <c r="EO67" s="136"/>
      <c r="EP67" s="136"/>
      <c r="EQ67" s="136">
        <v>24479409</v>
      </c>
      <c r="ER67" s="136">
        <v>4743506</v>
      </c>
      <c r="ES67" s="136">
        <v>1320833</v>
      </c>
      <c r="ET67" s="136">
        <v>2331260</v>
      </c>
      <c r="EU67" s="136">
        <v>2732958</v>
      </c>
      <c r="EV67" s="136">
        <v>11558017</v>
      </c>
      <c r="EW67" s="136"/>
      <c r="EX67" s="136"/>
      <c r="EY67" s="136"/>
      <c r="EZ67" s="136"/>
      <c r="FA67" s="136"/>
      <c r="FB67" s="136"/>
      <c r="FC67" s="136">
        <v>1514259</v>
      </c>
      <c r="FD67" s="136">
        <v>0</v>
      </c>
      <c r="FE67" s="136">
        <v>57056</v>
      </c>
      <c r="FF67" s="136">
        <v>143904</v>
      </c>
      <c r="FG67" s="136">
        <v>74843</v>
      </c>
      <c r="FH67" s="136">
        <v>435622</v>
      </c>
      <c r="FI67" s="136"/>
      <c r="FJ67" s="136"/>
      <c r="FK67" s="136"/>
      <c r="FL67" s="136"/>
      <c r="FM67" s="136"/>
      <c r="FN67" s="136"/>
      <c r="FO67" s="136">
        <v>18170341</v>
      </c>
      <c r="FP67" s="136">
        <v>73866</v>
      </c>
      <c r="FQ67" s="136">
        <v>1258026</v>
      </c>
      <c r="FR67" s="136">
        <v>2613312</v>
      </c>
      <c r="FS67" s="136">
        <v>2065446</v>
      </c>
      <c r="FT67" s="136">
        <v>3442639</v>
      </c>
      <c r="FU67" s="136">
        <v>75437999</v>
      </c>
      <c r="FV67" s="136">
        <v>0</v>
      </c>
      <c r="FW67" s="136">
        <v>371464</v>
      </c>
      <c r="FX67" s="136">
        <v>3910833</v>
      </c>
      <c r="FY67" s="136">
        <v>1111311</v>
      </c>
      <c r="FZ67" s="136">
        <v>3217085</v>
      </c>
      <c r="GA67" s="136">
        <v>462866</v>
      </c>
      <c r="GB67" s="136">
        <v>0</v>
      </c>
      <c r="GC67" s="136">
        <v>886773</v>
      </c>
      <c r="GD67" s="136">
        <v>242467</v>
      </c>
      <c r="GE67" s="136">
        <v>4656</v>
      </c>
      <c r="GF67" s="136">
        <v>502022</v>
      </c>
      <c r="GG67" s="136">
        <v>480057</v>
      </c>
      <c r="GH67" s="136">
        <v>0</v>
      </c>
      <c r="GI67" s="136">
        <v>0</v>
      </c>
      <c r="GJ67" s="136">
        <v>0</v>
      </c>
      <c r="GK67" s="136">
        <v>1999453</v>
      </c>
      <c r="GL67" s="136">
        <v>0</v>
      </c>
      <c r="GM67" s="136">
        <v>0</v>
      </c>
      <c r="GN67" s="136">
        <v>0</v>
      </c>
      <c r="GO67" s="136">
        <v>0</v>
      </c>
      <c r="GP67" s="136">
        <v>0</v>
      </c>
      <c r="GQ67" s="136">
        <v>0</v>
      </c>
      <c r="GR67" s="136">
        <v>0</v>
      </c>
      <c r="GS67" s="136">
        <v>884331713</v>
      </c>
      <c r="GT67" s="136">
        <v>762294509</v>
      </c>
      <c r="GU67" s="136">
        <v>2860442739</v>
      </c>
      <c r="GV67" s="35" t="s">
        <v>322</v>
      </c>
      <c r="GW67" s="137">
        <v>5122327745</v>
      </c>
      <c r="GX67" s="35" t="s">
        <v>323</v>
      </c>
      <c r="GY67" s="136">
        <v>809739316</v>
      </c>
      <c r="GZ67" s="136">
        <v>-107415388</v>
      </c>
      <c r="HA67" s="136">
        <v>-57512474</v>
      </c>
      <c r="HB67" s="136">
        <v>0</v>
      </c>
      <c r="HC67" s="136">
        <v>0</v>
      </c>
      <c r="HD67" s="136">
        <v>0</v>
      </c>
      <c r="HE67" s="136">
        <v>0</v>
      </c>
      <c r="HF67" s="136">
        <v>0</v>
      </c>
      <c r="HG67" s="136">
        <v>0</v>
      </c>
      <c r="HH67" s="136">
        <v>0</v>
      </c>
      <c r="HI67" s="35" t="s">
        <v>439</v>
      </c>
      <c r="HJ67" s="35" t="s">
        <v>439</v>
      </c>
      <c r="HK67" s="35" t="s">
        <v>439</v>
      </c>
      <c r="HL67"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631147114</v>
      </c>
      <c r="HM67"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22021235</v>
      </c>
      <c r="HN67"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37833733</v>
      </c>
      <c r="HO67"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107502158</v>
      </c>
      <c r="HP67"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88303308</v>
      </c>
      <c r="HQ67"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43065021</v>
      </c>
      <c r="HR67"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644811454</v>
      </c>
    </row>
    <row r="68" spans="1:226">
      <c r="A68" s="35" t="s">
        <v>825</v>
      </c>
      <c r="B68" s="37" t="s">
        <v>844</v>
      </c>
      <c r="C68" s="37">
        <v>50</v>
      </c>
      <c r="D68" s="37" t="s">
        <v>835</v>
      </c>
      <c r="E68" s="103">
        <v>3658</v>
      </c>
      <c r="F68" s="131">
        <v>2922807</v>
      </c>
      <c r="G68" s="131">
        <v>0</v>
      </c>
      <c r="H68" s="131">
        <v>847718367</v>
      </c>
      <c r="I68" s="131">
        <v>157152147</v>
      </c>
      <c r="J68" s="131">
        <v>-48255629</v>
      </c>
      <c r="K68" s="131">
        <v>0</v>
      </c>
      <c r="L68" s="131">
        <v>0</v>
      </c>
      <c r="M68" s="131">
        <v>24483336</v>
      </c>
      <c r="N68" s="131">
        <v>0</v>
      </c>
      <c r="O68" s="131">
        <v>0</v>
      </c>
      <c r="P68" s="131">
        <v>0</v>
      </c>
      <c r="Q68" s="131">
        <v>0</v>
      </c>
      <c r="R68" s="131">
        <v>92429</v>
      </c>
      <c r="S68" s="131">
        <v>5</v>
      </c>
      <c r="T68" s="131">
        <v>0</v>
      </c>
      <c r="U68" s="131">
        <v>58353429</v>
      </c>
      <c r="V68" s="131">
        <v>12942</v>
      </c>
      <c r="W68" s="131">
        <v>2723333</v>
      </c>
      <c r="X68" s="131">
        <v>13939358</v>
      </c>
      <c r="Y68" s="131">
        <v>4142928</v>
      </c>
      <c r="Z68" s="131">
        <v>4919331</v>
      </c>
      <c r="AA68" s="131">
        <v>52170469</v>
      </c>
      <c r="AB68" s="131">
        <v>0</v>
      </c>
      <c r="AC68" s="131">
        <v>621443</v>
      </c>
      <c r="AD68" s="131">
        <v>11361906</v>
      </c>
      <c r="AE68" s="131">
        <v>3554074</v>
      </c>
      <c r="AF68" s="131">
        <v>1987604</v>
      </c>
      <c r="AG68" s="131">
        <v>324281910</v>
      </c>
      <c r="AH68" s="131">
        <v>9689212</v>
      </c>
      <c r="AI68" s="131">
        <v>20893931</v>
      </c>
      <c r="AJ68" s="131">
        <v>16276715</v>
      </c>
      <c r="AK68" s="131">
        <v>52958166</v>
      </c>
      <c r="AL68" s="131">
        <v>6387947</v>
      </c>
      <c r="AM68" s="131">
        <v>23555889</v>
      </c>
      <c r="AN68" s="131">
        <v>5107645</v>
      </c>
      <c r="AO68" s="131">
        <v>2128065</v>
      </c>
      <c r="AP68" s="131">
        <v>4662459</v>
      </c>
      <c r="AQ68" s="131">
        <v>4067000</v>
      </c>
      <c r="AR68" s="131">
        <v>1392363</v>
      </c>
      <c r="AS68" s="131">
        <v>30853560</v>
      </c>
      <c r="AT68" s="131">
        <v>0</v>
      </c>
      <c r="AU68" s="131">
        <v>1026818</v>
      </c>
      <c r="AV68" s="131">
        <v>1593120</v>
      </c>
      <c r="AW68" s="131">
        <v>2272944</v>
      </c>
      <c r="AX68" s="131">
        <v>3822846</v>
      </c>
      <c r="AY68" s="131">
        <v>40564632</v>
      </c>
      <c r="AZ68" s="131">
        <v>2618344</v>
      </c>
      <c r="BA68" s="131">
        <v>5292627</v>
      </c>
      <c r="BB68" s="131">
        <v>16855476</v>
      </c>
      <c r="BC68" s="131">
        <v>6190066</v>
      </c>
      <c r="BD68" s="131">
        <v>7872186</v>
      </c>
      <c r="BE68" s="131">
        <v>30201518</v>
      </c>
      <c r="BF68" s="131">
        <v>5963681</v>
      </c>
      <c r="BG68" s="131">
        <v>2872675</v>
      </c>
      <c r="BH68" s="131">
        <v>16390616</v>
      </c>
      <c r="BI68" s="131">
        <v>1898830</v>
      </c>
      <c r="BJ68" s="131">
        <v>4401253</v>
      </c>
      <c r="BK68" s="131">
        <v>12201351</v>
      </c>
      <c r="BL68" s="131">
        <v>0</v>
      </c>
      <c r="BM68" s="131">
        <v>711706</v>
      </c>
      <c r="BN68" s="131">
        <v>429523</v>
      </c>
      <c r="BO68" s="131">
        <v>189443</v>
      </c>
      <c r="BP68" s="131">
        <v>1168696</v>
      </c>
      <c r="BQ68" s="131">
        <v>21806466</v>
      </c>
      <c r="BR68" s="131">
        <v>517995</v>
      </c>
      <c r="BS68" s="131">
        <v>1933693</v>
      </c>
      <c r="BT68" s="131">
        <v>2893917</v>
      </c>
      <c r="BU68" s="131">
        <v>2808626</v>
      </c>
      <c r="BV68" s="131">
        <v>9839631</v>
      </c>
      <c r="BW68" s="131">
        <v>1346113</v>
      </c>
      <c r="BX68" s="131">
        <v>0</v>
      </c>
      <c r="BY68" s="131">
        <v>464938</v>
      </c>
      <c r="BZ68" s="131">
        <v>2876605</v>
      </c>
      <c r="CA68" s="131">
        <v>808692</v>
      </c>
      <c r="CB68" s="131">
        <v>502763</v>
      </c>
      <c r="CC68" s="131">
        <v>717331</v>
      </c>
      <c r="CD68" s="131">
        <v>0</v>
      </c>
      <c r="CE68" s="131">
        <v>57634</v>
      </c>
      <c r="CF68" s="131">
        <v>3288492</v>
      </c>
      <c r="CG68" s="131">
        <v>1262705</v>
      </c>
      <c r="CH68" s="131">
        <v>734645</v>
      </c>
      <c r="CI68" s="131">
        <v>565706</v>
      </c>
      <c r="CJ68" s="131">
        <v>657123</v>
      </c>
      <c r="CK68" s="131">
        <v>396929</v>
      </c>
      <c r="CL68" s="131">
        <v>261875</v>
      </c>
      <c r="CM68" s="131">
        <v>1925620</v>
      </c>
      <c r="CN68" s="131">
        <v>0</v>
      </c>
      <c r="CO68" s="131">
        <v>19415998</v>
      </c>
      <c r="CP68" s="131">
        <v>0</v>
      </c>
      <c r="CQ68" s="131">
        <v>1159374</v>
      </c>
      <c r="CR68" s="131">
        <v>1105282</v>
      </c>
      <c r="CS68" s="131">
        <v>311222</v>
      </c>
      <c r="CT68" s="131">
        <v>3083065</v>
      </c>
      <c r="CU68" s="131">
        <v>1655777</v>
      </c>
      <c r="CV68" s="131">
        <v>2688</v>
      </c>
      <c r="CW68" s="131">
        <v>637967</v>
      </c>
      <c r="CX68" s="131">
        <v>127771</v>
      </c>
      <c r="CY68" s="131">
        <v>2153886</v>
      </c>
      <c r="CZ68" s="131">
        <v>2627163</v>
      </c>
      <c r="DA68" s="131"/>
      <c r="DB68" s="131"/>
      <c r="DC68" s="131"/>
      <c r="DD68" s="131"/>
      <c r="DE68" s="131"/>
      <c r="DF68" s="131"/>
      <c r="DG68" s="131">
        <v>29763669</v>
      </c>
      <c r="DH68" s="131">
        <v>18054</v>
      </c>
      <c r="DI68" s="131">
        <v>191126</v>
      </c>
      <c r="DJ68" s="131">
        <v>9529706</v>
      </c>
      <c r="DK68" s="131">
        <v>7139107</v>
      </c>
      <c r="DL68" s="131">
        <v>1353067</v>
      </c>
      <c r="DM68" s="131">
        <v>13667165</v>
      </c>
      <c r="DN68" s="131">
        <v>0</v>
      </c>
      <c r="DO68" s="131">
        <v>85158</v>
      </c>
      <c r="DP68" s="131">
        <v>594470</v>
      </c>
      <c r="DQ68" s="131">
        <v>43332</v>
      </c>
      <c r="DR68" s="131">
        <v>718033</v>
      </c>
      <c r="DS68" s="131"/>
      <c r="DT68" s="131"/>
      <c r="DU68" s="131"/>
      <c r="DV68" s="131"/>
      <c r="DW68" s="131"/>
      <c r="DX68" s="131"/>
      <c r="DY68" s="131">
        <v>4571028</v>
      </c>
      <c r="DZ68" s="131">
        <v>348432</v>
      </c>
      <c r="EA68" s="131">
        <v>1135992</v>
      </c>
      <c r="EB68" s="131">
        <v>1262602</v>
      </c>
      <c r="EC68" s="131">
        <v>1195593</v>
      </c>
      <c r="ED68" s="131">
        <v>917363</v>
      </c>
      <c r="EE68" s="131">
        <v>1582600</v>
      </c>
      <c r="EF68" s="131">
        <v>0</v>
      </c>
      <c r="EG68" s="131">
        <v>13220724</v>
      </c>
      <c r="EH68" s="131">
        <v>0</v>
      </c>
      <c r="EI68" s="131">
        <v>678860</v>
      </c>
      <c r="EJ68" s="131">
        <v>284335</v>
      </c>
      <c r="EK68" s="131">
        <v>15000</v>
      </c>
      <c r="EL68" s="131">
        <v>0</v>
      </c>
      <c r="EM68" s="131">
        <v>0</v>
      </c>
      <c r="EN68" s="131">
        <v>0</v>
      </c>
      <c r="EO68" s="131">
        <v>129000</v>
      </c>
      <c r="EP68" s="131">
        <v>0</v>
      </c>
      <c r="EQ68" s="131">
        <v>24479409</v>
      </c>
      <c r="ER68" s="131">
        <v>4743506</v>
      </c>
      <c r="ES68" s="131">
        <v>1320833</v>
      </c>
      <c r="ET68" s="131">
        <v>2331260</v>
      </c>
      <c r="EU68" s="131">
        <v>2732958</v>
      </c>
      <c r="EV68" s="131">
        <v>11558017</v>
      </c>
      <c r="EW68" s="131"/>
      <c r="EX68" s="131"/>
      <c r="EY68" s="131"/>
      <c r="EZ68" s="131"/>
      <c r="FA68" s="131"/>
      <c r="FB68" s="131"/>
      <c r="FC68" s="131">
        <v>1514259</v>
      </c>
      <c r="FD68" s="131">
        <v>0</v>
      </c>
      <c r="FE68" s="131">
        <v>57056</v>
      </c>
      <c r="FF68" s="131">
        <v>143904</v>
      </c>
      <c r="FG68" s="131">
        <v>74843</v>
      </c>
      <c r="FH68" s="131">
        <v>435622</v>
      </c>
      <c r="FI68" s="131">
        <v>550551</v>
      </c>
      <c r="FJ68" s="131">
        <v>0</v>
      </c>
      <c r="FK68" s="131">
        <v>0</v>
      </c>
      <c r="FL68" s="131">
        <v>0</v>
      </c>
      <c r="FM68" s="131">
        <v>0</v>
      </c>
      <c r="FN68" s="131">
        <v>41554</v>
      </c>
      <c r="FO68" s="131">
        <v>18170341</v>
      </c>
      <c r="FP68" s="131">
        <v>73866</v>
      </c>
      <c r="FQ68" s="131">
        <v>1258026</v>
      </c>
      <c r="FR68" s="131">
        <v>2613312</v>
      </c>
      <c r="FS68" s="131">
        <v>2065446</v>
      </c>
      <c r="FT68" s="131">
        <v>3442639</v>
      </c>
      <c r="FU68" s="131">
        <v>75437999</v>
      </c>
      <c r="FV68" s="131">
        <v>0</v>
      </c>
      <c r="FW68" s="131">
        <v>371464</v>
      </c>
      <c r="FX68" s="131">
        <v>3910833</v>
      </c>
      <c r="FY68" s="131">
        <v>1111311</v>
      </c>
      <c r="FZ68" s="131">
        <v>3217085</v>
      </c>
      <c r="GA68" s="131">
        <v>462866</v>
      </c>
      <c r="GB68" s="131">
        <v>0</v>
      </c>
      <c r="GC68" s="131">
        <v>886773</v>
      </c>
      <c r="GD68" s="131">
        <v>242467</v>
      </c>
      <c r="GE68" s="131">
        <v>4656</v>
      </c>
      <c r="GF68" s="131">
        <v>502022</v>
      </c>
      <c r="GG68" s="131">
        <v>493552</v>
      </c>
      <c r="GH68" s="131">
        <v>0</v>
      </c>
      <c r="GI68" s="131">
        <v>0</v>
      </c>
      <c r="GJ68" s="131">
        <v>0</v>
      </c>
      <c r="GK68" s="131">
        <v>3787208</v>
      </c>
      <c r="GL68" s="131">
        <v>0</v>
      </c>
      <c r="GM68" s="131">
        <v>0</v>
      </c>
      <c r="GN68" s="131">
        <v>0</v>
      </c>
      <c r="GO68" s="131">
        <v>0</v>
      </c>
      <c r="GP68" s="131">
        <v>0</v>
      </c>
      <c r="GQ68" s="131">
        <v>0</v>
      </c>
      <c r="GR68" s="131">
        <v>0</v>
      </c>
      <c r="GS68" s="131">
        <v>906245269</v>
      </c>
      <c r="GT68" s="131">
        <v>799462738</v>
      </c>
      <c r="GU68" s="131">
        <v>3129220196</v>
      </c>
      <c r="GV68" s="132" t="s">
        <v>322</v>
      </c>
      <c r="GW68" s="133" t="s">
        <v>890</v>
      </c>
      <c r="GX68" s="132" t="s">
        <v>323</v>
      </c>
      <c r="GY68" s="136">
        <v>850641174</v>
      </c>
      <c r="GZ68" s="136">
        <v>-125334975</v>
      </c>
      <c r="HA68" s="136">
        <v>0</v>
      </c>
      <c r="HB68" s="136">
        <v>0</v>
      </c>
      <c r="HC68" s="136">
        <v>0</v>
      </c>
      <c r="HD68" s="136">
        <v>0</v>
      </c>
      <c r="HE68" s="136">
        <v>0</v>
      </c>
      <c r="HF68" s="136">
        <v>0</v>
      </c>
      <c r="HG68" s="136">
        <v>0</v>
      </c>
      <c r="HH68" s="136">
        <v>0</v>
      </c>
      <c r="HI68" s="102">
        <v>0</v>
      </c>
      <c r="HJ68" s="102">
        <v>0</v>
      </c>
      <c r="HK68" s="102">
        <v>0</v>
      </c>
      <c r="HL68"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647453818</v>
      </c>
      <c r="HM68"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24587684</v>
      </c>
      <c r="HN68"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41112259</v>
      </c>
      <c r="HO68"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121919213</v>
      </c>
      <c r="HP68"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91683314</v>
      </c>
      <c r="HQ68"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50092560</v>
      </c>
      <c r="HR68"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725306199</v>
      </c>
    </row>
    <row r="69" spans="1:226">
      <c r="A69" s="35" t="s">
        <v>837</v>
      </c>
      <c r="B69" s="37" t="s">
        <v>384</v>
      </c>
      <c r="C69" s="37">
        <v>510</v>
      </c>
      <c r="D69" s="37" t="s">
        <v>835</v>
      </c>
      <c r="E69" s="103">
        <v>203658</v>
      </c>
      <c r="F69" s="136">
        <v>171584</v>
      </c>
      <c r="G69" s="136">
        <v>0</v>
      </c>
      <c r="H69" s="136">
        <v>40730274</v>
      </c>
      <c r="I69" s="136">
        <v>4953537</v>
      </c>
      <c r="J69" s="136">
        <v>331054</v>
      </c>
      <c r="K69" s="136">
        <v>961414</v>
      </c>
      <c r="L69" s="136">
        <v>0</v>
      </c>
      <c r="M69" s="136">
        <v>564252</v>
      </c>
      <c r="N69" s="136">
        <v>0</v>
      </c>
      <c r="O69" s="136">
        <v>0</v>
      </c>
      <c r="P69" s="136">
        <v>0</v>
      </c>
      <c r="Q69" s="136">
        <v>0</v>
      </c>
      <c r="R69" s="136">
        <v>0</v>
      </c>
      <c r="S69" s="136">
        <v>0</v>
      </c>
      <c r="T69" s="136">
        <v>0</v>
      </c>
      <c r="U69" s="136">
        <v>0</v>
      </c>
      <c r="V69" s="136">
        <v>0</v>
      </c>
      <c r="W69" s="136">
        <v>0</v>
      </c>
      <c r="X69" s="136">
        <v>0</v>
      </c>
      <c r="Y69" s="136">
        <v>0</v>
      </c>
      <c r="Z69" s="136">
        <v>0</v>
      </c>
      <c r="AA69" s="136">
        <v>0</v>
      </c>
      <c r="AB69" s="136">
        <v>0</v>
      </c>
      <c r="AC69" s="136">
        <v>0</v>
      </c>
      <c r="AD69" s="136">
        <v>0</v>
      </c>
      <c r="AE69" s="136">
        <v>0</v>
      </c>
      <c r="AF69" s="136">
        <v>0</v>
      </c>
      <c r="AG69" s="136">
        <v>0</v>
      </c>
      <c r="AH69" s="136">
        <v>0</v>
      </c>
      <c r="AI69" s="136">
        <v>0</v>
      </c>
      <c r="AJ69" s="136">
        <v>0</v>
      </c>
      <c r="AK69" s="136">
        <v>0</v>
      </c>
      <c r="AL69" s="136">
        <v>0</v>
      </c>
      <c r="AM69" s="136">
        <v>0</v>
      </c>
      <c r="AN69" s="136">
        <v>0</v>
      </c>
      <c r="AO69" s="136">
        <v>0</v>
      </c>
      <c r="AP69" s="136">
        <v>0</v>
      </c>
      <c r="AQ69" s="136">
        <v>0</v>
      </c>
      <c r="AR69" s="136">
        <v>0</v>
      </c>
      <c r="AS69" s="136">
        <v>0</v>
      </c>
      <c r="AT69" s="136">
        <v>0</v>
      </c>
      <c r="AU69" s="136">
        <v>0</v>
      </c>
      <c r="AV69" s="136">
        <v>0</v>
      </c>
      <c r="AW69" s="136">
        <v>0</v>
      </c>
      <c r="AX69" s="136">
        <v>0</v>
      </c>
      <c r="AY69" s="136">
        <v>16306704</v>
      </c>
      <c r="AZ69" s="136">
        <v>2566449</v>
      </c>
      <c r="BA69" s="136">
        <v>3278526</v>
      </c>
      <c r="BB69" s="136">
        <v>14417055</v>
      </c>
      <c r="BC69" s="136">
        <v>3331772</v>
      </c>
      <c r="BD69" s="136">
        <v>7018565</v>
      </c>
      <c r="BE69" s="136">
        <v>0</v>
      </c>
      <c r="BF69" s="136">
        <v>0</v>
      </c>
      <c r="BG69" s="136">
        <v>0</v>
      </c>
      <c r="BH69" s="136">
        <v>0</v>
      </c>
      <c r="BI69" s="136">
        <v>0</v>
      </c>
      <c r="BJ69" s="136">
        <v>0</v>
      </c>
      <c r="BK69" s="136">
        <v>0</v>
      </c>
      <c r="BL69" s="136">
        <v>0</v>
      </c>
      <c r="BM69" s="136">
        <v>0</v>
      </c>
      <c r="BN69" s="136">
        <v>0</v>
      </c>
      <c r="BO69" s="136">
        <v>0</v>
      </c>
      <c r="BP69" s="136">
        <v>0</v>
      </c>
      <c r="BQ69" s="136">
        <v>0</v>
      </c>
      <c r="BR69" s="136">
        <v>0</v>
      </c>
      <c r="BS69" s="136">
        <v>0</v>
      </c>
      <c r="BT69" s="136">
        <v>0</v>
      </c>
      <c r="BU69" s="136">
        <v>48234</v>
      </c>
      <c r="BV69" s="136">
        <v>8974</v>
      </c>
      <c r="BW69" s="136">
        <v>0</v>
      </c>
      <c r="BX69" s="136">
        <v>0</v>
      </c>
      <c r="BY69" s="136">
        <v>0</v>
      </c>
      <c r="BZ69" s="136">
        <v>0</v>
      </c>
      <c r="CA69" s="136">
        <v>0</v>
      </c>
      <c r="CB69" s="136">
        <v>0</v>
      </c>
      <c r="CC69" s="136">
        <v>0</v>
      </c>
      <c r="CD69" s="136">
        <v>0</v>
      </c>
      <c r="CE69" s="136">
        <v>0</v>
      </c>
      <c r="CF69" s="136">
        <v>0</v>
      </c>
      <c r="CG69" s="136">
        <v>0</v>
      </c>
      <c r="CH69" s="136">
        <v>0</v>
      </c>
      <c r="CI69" s="136">
        <v>0</v>
      </c>
      <c r="CJ69" s="136">
        <v>0</v>
      </c>
      <c r="CK69" s="136">
        <v>0</v>
      </c>
      <c r="CL69" s="136">
        <v>0</v>
      </c>
      <c r="CM69" s="136">
        <v>0</v>
      </c>
      <c r="CN69" s="136">
        <v>0</v>
      </c>
      <c r="CO69" s="136">
        <v>0</v>
      </c>
      <c r="CP69" s="136">
        <v>0</v>
      </c>
      <c r="CQ69" s="136">
        <v>0</v>
      </c>
      <c r="CR69" s="136">
        <v>0</v>
      </c>
      <c r="CS69" s="136">
        <v>0</v>
      </c>
      <c r="CT69" s="136">
        <v>0</v>
      </c>
      <c r="CU69" s="136">
        <v>0</v>
      </c>
      <c r="CV69" s="136">
        <v>0</v>
      </c>
      <c r="CW69" s="136">
        <v>0</v>
      </c>
      <c r="CX69" s="136">
        <v>0</v>
      </c>
      <c r="CY69" s="136">
        <v>0</v>
      </c>
      <c r="CZ69" s="136">
        <v>0</v>
      </c>
      <c r="DA69" s="136"/>
      <c r="DB69" s="136"/>
      <c r="DC69" s="136"/>
      <c r="DD69" s="136"/>
      <c r="DE69" s="136"/>
      <c r="DF69" s="136"/>
      <c r="DG69" s="136">
        <v>0</v>
      </c>
      <c r="DH69" s="136">
        <v>0</v>
      </c>
      <c r="DI69" s="136">
        <v>0</v>
      </c>
      <c r="DJ69" s="136">
        <v>0</v>
      </c>
      <c r="DK69" s="136">
        <v>0</v>
      </c>
      <c r="DL69" s="136">
        <v>0</v>
      </c>
      <c r="DM69" s="136"/>
      <c r="DN69" s="136"/>
      <c r="DO69" s="136"/>
      <c r="DP69" s="136"/>
      <c r="DQ69" s="136"/>
      <c r="DR69" s="136"/>
      <c r="DS69" s="136">
        <v>0</v>
      </c>
      <c r="DT69" s="136">
        <v>0</v>
      </c>
      <c r="DU69" s="136">
        <v>0</v>
      </c>
      <c r="DV69" s="136">
        <v>0</v>
      </c>
      <c r="DW69" s="136">
        <v>0</v>
      </c>
      <c r="DX69" s="136">
        <v>0</v>
      </c>
      <c r="DY69" s="136"/>
      <c r="DZ69" s="136"/>
      <c r="EA69" s="136"/>
      <c r="EB69" s="136"/>
      <c r="EC69" s="136"/>
      <c r="ED69" s="136"/>
      <c r="EE69" s="136">
        <v>96694</v>
      </c>
      <c r="EF69" s="136">
        <v>0</v>
      </c>
      <c r="EG69" s="136">
        <v>2463674</v>
      </c>
      <c r="EH69" s="136">
        <v>0</v>
      </c>
      <c r="EI69" s="136">
        <v>0</v>
      </c>
      <c r="EJ69" s="136">
        <v>284335</v>
      </c>
      <c r="EK69" s="136">
        <v>15000</v>
      </c>
      <c r="EL69" s="136">
        <v>0</v>
      </c>
      <c r="EM69" s="136">
        <v>0</v>
      </c>
      <c r="EN69" s="136">
        <v>0</v>
      </c>
      <c r="EO69" s="136">
        <v>129000</v>
      </c>
      <c r="EP69" s="136">
        <v>0</v>
      </c>
      <c r="EQ69" s="136"/>
      <c r="ER69" s="136"/>
      <c r="ES69" s="136"/>
      <c r="ET69" s="136"/>
      <c r="EU69" s="136"/>
      <c r="EV69" s="136"/>
      <c r="EW69" s="136">
        <v>0</v>
      </c>
      <c r="EX69" s="136">
        <v>0</v>
      </c>
      <c r="EY69" s="136">
        <v>0</v>
      </c>
      <c r="EZ69" s="136">
        <v>0</v>
      </c>
      <c r="FA69" s="136">
        <v>0</v>
      </c>
      <c r="FB69" s="136">
        <v>0</v>
      </c>
      <c r="FC69" s="136"/>
      <c r="FD69" s="136"/>
      <c r="FE69" s="136"/>
      <c r="FF69" s="136"/>
      <c r="FG69" s="136"/>
      <c r="FH69" s="136"/>
      <c r="FI69" s="136">
        <v>550551</v>
      </c>
      <c r="FJ69" s="136">
        <v>0</v>
      </c>
      <c r="FK69" s="136">
        <v>0</v>
      </c>
      <c r="FL69" s="136">
        <v>0</v>
      </c>
      <c r="FM69" s="136">
        <v>0</v>
      </c>
      <c r="FN69" s="136">
        <v>41554</v>
      </c>
      <c r="FO69" s="136"/>
      <c r="FP69" s="136"/>
      <c r="FQ69" s="136"/>
      <c r="FR69" s="136"/>
      <c r="FS69" s="136"/>
      <c r="FT69" s="136"/>
      <c r="FU69" s="136"/>
      <c r="FV69" s="136"/>
      <c r="FW69" s="136"/>
      <c r="FX69" s="136"/>
      <c r="FY69" s="136"/>
      <c r="FZ69" s="136"/>
      <c r="GA69" s="136"/>
      <c r="GB69" s="136"/>
      <c r="GC69" s="136"/>
      <c r="GD69" s="136"/>
      <c r="GE69" s="136"/>
      <c r="GF69" s="136"/>
      <c r="GG69" s="136">
        <v>13495</v>
      </c>
      <c r="GH69" s="136">
        <v>0</v>
      </c>
      <c r="GI69" s="136">
        <v>0</v>
      </c>
      <c r="GJ69" s="136">
        <v>0</v>
      </c>
      <c r="GK69" s="136">
        <v>1787755</v>
      </c>
      <c r="GL69" s="136">
        <v>0</v>
      </c>
      <c r="GM69" s="136">
        <v>0</v>
      </c>
      <c r="GN69" s="136">
        <v>0</v>
      </c>
      <c r="GO69" s="136">
        <v>0</v>
      </c>
      <c r="GP69" s="136">
        <v>0</v>
      </c>
      <c r="GQ69" s="136">
        <v>0</v>
      </c>
      <c r="GR69" s="136">
        <v>0</v>
      </c>
      <c r="GS69" s="136">
        <v>21913557</v>
      </c>
      <c r="GT69" s="136">
        <v>37168230</v>
      </c>
      <c r="GU69" s="136">
        <v>268803216</v>
      </c>
      <c r="GV69" s="35" t="s">
        <v>322</v>
      </c>
      <c r="GW69" s="137">
        <v>5122327745</v>
      </c>
      <c r="GX69" s="35" t="s">
        <v>323</v>
      </c>
      <c r="GY69" s="136">
        <v>40901858</v>
      </c>
      <c r="GZ69" s="136" t="s">
        <v>439</v>
      </c>
      <c r="HA69" s="136" t="s">
        <v>439</v>
      </c>
      <c r="HB69" s="136" t="s">
        <v>439</v>
      </c>
      <c r="HC69" s="136" t="s">
        <v>439</v>
      </c>
      <c r="HD69" s="136" t="s">
        <v>439</v>
      </c>
      <c r="HE69" s="136" t="s">
        <v>439</v>
      </c>
      <c r="HF69" s="136" t="s">
        <v>439</v>
      </c>
      <c r="HG69" s="136" t="s">
        <v>439</v>
      </c>
      <c r="HH69" s="136" t="s">
        <v>439</v>
      </c>
      <c r="HI69" s="35" t="s">
        <v>439</v>
      </c>
      <c r="HJ69" s="35" t="s">
        <v>439</v>
      </c>
      <c r="HK69" s="35" t="s">
        <v>439</v>
      </c>
      <c r="HL69"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16306704</v>
      </c>
      <c r="HM69"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2566449</v>
      </c>
      <c r="HN69"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3278526</v>
      </c>
      <c r="HO69"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14417055</v>
      </c>
      <c r="HP69"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3380006</v>
      </c>
      <c r="HQ69"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7027539</v>
      </c>
      <c r="HR69"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40901858</v>
      </c>
    </row>
    <row r="70" spans="1:226">
      <c r="A70" s="35" t="s">
        <v>21</v>
      </c>
      <c r="B70" s="37" t="s">
        <v>19</v>
      </c>
      <c r="C70" s="37">
        <v>60</v>
      </c>
      <c r="D70" s="37" t="s">
        <v>835</v>
      </c>
      <c r="E70" s="103">
        <v>9741</v>
      </c>
      <c r="F70" s="136">
        <v>1735302</v>
      </c>
      <c r="G70" s="136">
        <v>0</v>
      </c>
      <c r="H70" s="136">
        <v>112837073</v>
      </c>
      <c r="I70" s="136">
        <v>21021187</v>
      </c>
      <c r="J70" s="136">
        <v>11185619</v>
      </c>
      <c r="K70" s="136">
        <v>0</v>
      </c>
      <c r="L70" s="136">
        <v>0</v>
      </c>
      <c r="M70" s="136">
        <v>15238370</v>
      </c>
      <c r="N70" s="136">
        <v>1735302</v>
      </c>
      <c r="O70" s="136">
        <v>0</v>
      </c>
      <c r="P70" s="136">
        <v>0</v>
      </c>
      <c r="Q70" s="136">
        <v>0</v>
      </c>
      <c r="R70" s="136">
        <v>0</v>
      </c>
      <c r="S70" s="136">
        <v>0</v>
      </c>
      <c r="T70" s="136">
        <v>0</v>
      </c>
      <c r="U70" s="136">
        <v>9265277</v>
      </c>
      <c r="V70" s="136">
        <v>282889</v>
      </c>
      <c r="W70" s="136">
        <v>223712</v>
      </c>
      <c r="X70" s="136">
        <v>3208056</v>
      </c>
      <c r="Y70" s="136">
        <v>707112</v>
      </c>
      <c r="Z70" s="136">
        <v>1366084</v>
      </c>
      <c r="AA70" s="136">
        <v>7062136</v>
      </c>
      <c r="AB70" s="136">
        <v>296105</v>
      </c>
      <c r="AC70" s="136">
        <v>0</v>
      </c>
      <c r="AD70" s="136">
        <v>1586415</v>
      </c>
      <c r="AE70" s="136">
        <v>542591</v>
      </c>
      <c r="AF70" s="136">
        <v>646554</v>
      </c>
      <c r="AG70" s="136">
        <v>25215623</v>
      </c>
      <c r="AH70" s="136">
        <v>3105258</v>
      </c>
      <c r="AI70" s="136">
        <v>504392</v>
      </c>
      <c r="AJ70" s="136">
        <v>11349525</v>
      </c>
      <c r="AK70" s="136">
        <v>10168766</v>
      </c>
      <c r="AL70" s="136">
        <v>4665115</v>
      </c>
      <c r="AM70" s="136">
        <v>276763</v>
      </c>
      <c r="AN70" s="136">
        <v>0</v>
      </c>
      <c r="AO70" s="136">
        <v>0</v>
      </c>
      <c r="AP70" s="136">
        <v>459206</v>
      </c>
      <c r="AQ70" s="136">
        <v>0</v>
      </c>
      <c r="AR70" s="136">
        <v>237052</v>
      </c>
      <c r="AS70" s="136">
        <v>962530</v>
      </c>
      <c r="AT70" s="136">
        <v>2149</v>
      </c>
      <c r="AU70" s="136">
        <v>0</v>
      </c>
      <c r="AV70" s="136">
        <v>477385</v>
      </c>
      <c r="AW70" s="136">
        <v>0</v>
      </c>
      <c r="AX70" s="136">
        <v>121469</v>
      </c>
      <c r="AY70" s="136">
        <v>7383268</v>
      </c>
      <c r="AZ70" s="136">
        <v>4592162</v>
      </c>
      <c r="BA70" s="136">
        <v>149980</v>
      </c>
      <c r="BB70" s="136">
        <v>6410910</v>
      </c>
      <c r="BC70" s="136">
        <v>313985</v>
      </c>
      <c r="BD70" s="136">
        <v>4691426</v>
      </c>
      <c r="BE70" s="136">
        <v>10905837</v>
      </c>
      <c r="BF70" s="136">
        <v>1433815</v>
      </c>
      <c r="BG70" s="136">
        <v>644228</v>
      </c>
      <c r="BH70" s="136">
        <v>2268138</v>
      </c>
      <c r="BI70" s="136">
        <v>572887</v>
      </c>
      <c r="BJ70" s="136">
        <v>1728303</v>
      </c>
      <c r="BK70" s="136">
        <v>1992230</v>
      </c>
      <c r="BL70" s="136">
        <v>908229</v>
      </c>
      <c r="BM70" s="136">
        <v>161667</v>
      </c>
      <c r="BN70" s="136">
        <v>1473293</v>
      </c>
      <c r="BO70" s="136">
        <v>105524</v>
      </c>
      <c r="BP70" s="136">
        <v>273921</v>
      </c>
      <c r="BQ70" s="136">
        <v>973166</v>
      </c>
      <c r="BR70" s="136">
        <v>336341</v>
      </c>
      <c r="BS70" s="136">
        <v>8799</v>
      </c>
      <c r="BT70" s="136">
        <v>635231</v>
      </c>
      <c r="BU70" s="136">
        <v>47964</v>
      </c>
      <c r="BV70" s="136">
        <v>510055</v>
      </c>
      <c r="BW70" s="136">
        <v>10</v>
      </c>
      <c r="BX70" s="136">
        <v>0</v>
      </c>
      <c r="BY70" s="136">
        <v>0</v>
      </c>
      <c r="BZ70" s="136">
        <v>18284</v>
      </c>
      <c r="CA70" s="136">
        <v>0</v>
      </c>
      <c r="CB70" s="136">
        <v>10389</v>
      </c>
      <c r="CC70" s="136">
        <v>30846</v>
      </c>
      <c r="CD70" s="136">
        <v>0</v>
      </c>
      <c r="CE70" s="136">
        <v>0</v>
      </c>
      <c r="CF70" s="136">
        <v>614199</v>
      </c>
      <c r="CG70" s="136">
        <v>0</v>
      </c>
      <c r="CH70" s="136">
        <v>710549</v>
      </c>
      <c r="CI70" s="136">
        <v>58210</v>
      </c>
      <c r="CJ70" s="136">
        <v>0</v>
      </c>
      <c r="CK70" s="136">
        <v>0</v>
      </c>
      <c r="CL70" s="136">
        <v>9136953</v>
      </c>
      <c r="CM70" s="136">
        <v>59615</v>
      </c>
      <c r="CN70" s="136">
        <v>1431576</v>
      </c>
      <c r="CO70" s="136">
        <v>455344</v>
      </c>
      <c r="CP70" s="136">
        <v>0</v>
      </c>
      <c r="CQ70" s="136">
        <v>246123</v>
      </c>
      <c r="CR70" s="136">
        <v>531017</v>
      </c>
      <c r="CS70" s="136">
        <v>0</v>
      </c>
      <c r="CT70" s="136">
        <v>487241</v>
      </c>
      <c r="CU70" s="136">
        <v>0</v>
      </c>
      <c r="CV70" s="136">
        <v>0</v>
      </c>
      <c r="CW70" s="136">
        <v>0</v>
      </c>
      <c r="CX70" s="136">
        <v>0</v>
      </c>
      <c r="CY70" s="136">
        <v>0</v>
      </c>
      <c r="CZ70" s="136">
        <v>0</v>
      </c>
      <c r="DA70" s="136"/>
      <c r="DB70" s="136"/>
      <c r="DC70" s="136"/>
      <c r="DD70" s="136"/>
      <c r="DE70" s="136"/>
      <c r="DF70" s="136"/>
      <c r="DG70" s="136">
        <v>0</v>
      </c>
      <c r="DH70" s="136">
        <v>0</v>
      </c>
      <c r="DI70" s="136">
        <v>0</v>
      </c>
      <c r="DJ70" s="136">
        <v>0</v>
      </c>
      <c r="DK70" s="136">
        <v>0</v>
      </c>
      <c r="DL70" s="136">
        <v>0</v>
      </c>
      <c r="DM70" s="136">
        <v>4116686</v>
      </c>
      <c r="DN70" s="136">
        <v>0</v>
      </c>
      <c r="DO70" s="136">
        <v>0</v>
      </c>
      <c r="DP70" s="136">
        <v>353139</v>
      </c>
      <c r="DQ70" s="136">
        <v>122468</v>
      </c>
      <c r="DR70" s="136">
        <v>7734</v>
      </c>
      <c r="DS70" s="136"/>
      <c r="DT70" s="136"/>
      <c r="DU70" s="136"/>
      <c r="DV70" s="136"/>
      <c r="DW70" s="136"/>
      <c r="DX70" s="136"/>
      <c r="DY70" s="136">
        <v>7749449</v>
      </c>
      <c r="DZ70" s="136">
        <v>754815</v>
      </c>
      <c r="EA70" s="136">
        <v>122786</v>
      </c>
      <c r="EB70" s="136">
        <v>1210541</v>
      </c>
      <c r="EC70" s="136">
        <v>950387</v>
      </c>
      <c r="ED70" s="136">
        <v>1866907</v>
      </c>
      <c r="EE70" s="136">
        <v>0</v>
      </c>
      <c r="EF70" s="136">
        <v>0</v>
      </c>
      <c r="EG70" s="136">
        <v>1245686</v>
      </c>
      <c r="EH70" s="136">
        <v>83056</v>
      </c>
      <c r="EI70" s="136">
        <v>0</v>
      </c>
      <c r="EJ70" s="136">
        <v>0</v>
      </c>
      <c r="EK70" s="136"/>
      <c r="EL70" s="136"/>
      <c r="EM70" s="136"/>
      <c r="EN70" s="136"/>
      <c r="EO70" s="136"/>
      <c r="EP70" s="136"/>
      <c r="EQ70" s="136">
        <v>3084308</v>
      </c>
      <c r="ER70" s="136">
        <v>0</v>
      </c>
      <c r="ES70" s="136">
        <v>0</v>
      </c>
      <c r="ET70" s="136">
        <v>122658</v>
      </c>
      <c r="EU70" s="136">
        <v>0</v>
      </c>
      <c r="EV70" s="136">
        <v>1939</v>
      </c>
      <c r="EW70" s="136"/>
      <c r="EX70" s="136"/>
      <c r="EY70" s="136"/>
      <c r="EZ70" s="136"/>
      <c r="FA70" s="136"/>
      <c r="FB70" s="136"/>
      <c r="FC70" s="136">
        <v>121419</v>
      </c>
      <c r="FD70" s="136">
        <v>0</v>
      </c>
      <c r="FE70" s="136">
        <v>0</v>
      </c>
      <c r="FF70" s="136">
        <v>0</v>
      </c>
      <c r="FG70" s="136">
        <v>0</v>
      </c>
      <c r="FH70" s="136">
        <v>105491</v>
      </c>
      <c r="FI70" s="136"/>
      <c r="FJ70" s="136"/>
      <c r="FK70" s="136"/>
      <c r="FL70" s="136"/>
      <c r="FM70" s="136"/>
      <c r="FN70" s="136"/>
      <c r="FO70" s="136">
        <v>1902442</v>
      </c>
      <c r="FP70" s="136">
        <v>1136848</v>
      </c>
      <c r="FQ70" s="136">
        <v>2059</v>
      </c>
      <c r="FR70" s="136">
        <v>1562338</v>
      </c>
      <c r="FS70" s="136">
        <v>1961839</v>
      </c>
      <c r="FT70" s="136">
        <v>713834</v>
      </c>
      <c r="FU70" s="136">
        <v>7642196</v>
      </c>
      <c r="FV70" s="136">
        <v>296105</v>
      </c>
      <c r="FW70" s="136">
        <v>0</v>
      </c>
      <c r="FX70" s="136">
        <v>1629128</v>
      </c>
      <c r="FY70" s="136">
        <v>542591</v>
      </c>
      <c r="FZ70" s="136">
        <v>646554</v>
      </c>
      <c r="GA70" s="136">
        <v>0</v>
      </c>
      <c r="GB70" s="136">
        <v>0</v>
      </c>
      <c r="GC70" s="136">
        <v>0</v>
      </c>
      <c r="GD70" s="136">
        <v>0</v>
      </c>
      <c r="GE70" s="136">
        <v>0</v>
      </c>
      <c r="GF70" s="136">
        <v>0</v>
      </c>
      <c r="GG70" s="136">
        <v>0</v>
      </c>
      <c r="GH70" s="136">
        <v>0</v>
      </c>
      <c r="GI70" s="136">
        <v>0</v>
      </c>
      <c r="GJ70" s="136">
        <v>0</v>
      </c>
      <c r="GK70" s="136">
        <v>0</v>
      </c>
      <c r="GL70" s="136">
        <v>0</v>
      </c>
      <c r="GM70" s="136">
        <v>0</v>
      </c>
      <c r="GN70" s="136">
        <v>0</v>
      </c>
      <c r="GO70" s="136">
        <v>0</v>
      </c>
      <c r="GP70" s="136">
        <v>0</v>
      </c>
      <c r="GQ70" s="136">
        <v>0</v>
      </c>
      <c r="GR70" s="136">
        <v>0</v>
      </c>
      <c r="GS70" s="136">
        <v>167748375</v>
      </c>
      <c r="GT70" s="136">
        <v>124022692</v>
      </c>
      <c r="GU70" s="136">
        <v>623296716</v>
      </c>
      <c r="GV70" s="35" t="s">
        <v>324</v>
      </c>
      <c r="GW70" s="137">
        <v>9728832632</v>
      </c>
      <c r="GX70" s="35" t="s">
        <v>325</v>
      </c>
      <c r="GY70" s="136">
        <v>114572375</v>
      </c>
      <c r="GZ70" s="136">
        <v>-43017455</v>
      </c>
      <c r="HA70" s="136">
        <v>2745119</v>
      </c>
      <c r="HB70" s="136">
        <v>0</v>
      </c>
      <c r="HC70" s="136">
        <v>0</v>
      </c>
      <c r="HD70" s="136">
        <v>-1545503</v>
      </c>
      <c r="HE70" s="136">
        <v>-189799</v>
      </c>
      <c r="HF70" s="136">
        <v>-251143</v>
      </c>
      <c r="HG70" s="136">
        <v>0</v>
      </c>
      <c r="HH70" s="136">
        <v>0</v>
      </c>
      <c r="HI70" s="35" t="s">
        <v>371</v>
      </c>
      <c r="HJ70" s="35"/>
      <c r="HK70" s="35"/>
      <c r="HL70"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64581240</v>
      </c>
      <c r="HM70"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10956948</v>
      </c>
      <c r="HN70"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1938901</v>
      </c>
      <c r="HO70"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38168612</v>
      </c>
      <c r="HP70"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12518444</v>
      </c>
      <c r="HQ70"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16879734</v>
      </c>
      <c r="HR70"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72313594</v>
      </c>
    </row>
    <row r="71" spans="1:226">
      <c r="A71" s="35" t="s">
        <v>22</v>
      </c>
      <c r="B71" s="37" t="s">
        <v>19</v>
      </c>
      <c r="C71" s="37">
        <v>70</v>
      </c>
      <c r="D71" s="37" t="s">
        <v>835</v>
      </c>
      <c r="E71" s="103">
        <v>3661</v>
      </c>
      <c r="F71" s="136">
        <v>3701855</v>
      </c>
      <c r="G71" s="136">
        <v>0</v>
      </c>
      <c r="H71" s="136">
        <v>113263111</v>
      </c>
      <c r="I71" s="136">
        <v>17740880</v>
      </c>
      <c r="J71" s="136">
        <v>8613890</v>
      </c>
      <c r="K71" s="136">
        <v>0</v>
      </c>
      <c r="L71" s="136">
        <v>0</v>
      </c>
      <c r="M71" s="136">
        <v>1723107</v>
      </c>
      <c r="N71" s="136">
        <v>0</v>
      </c>
      <c r="O71" s="136">
        <v>0</v>
      </c>
      <c r="P71" s="136">
        <v>0</v>
      </c>
      <c r="Q71" s="136">
        <v>0</v>
      </c>
      <c r="R71" s="136">
        <v>0</v>
      </c>
      <c r="S71" s="136">
        <v>0</v>
      </c>
      <c r="T71" s="136">
        <v>0</v>
      </c>
      <c r="U71" s="136">
        <v>13806967</v>
      </c>
      <c r="V71" s="136">
        <v>3895688</v>
      </c>
      <c r="W71" s="136">
        <v>1443498</v>
      </c>
      <c r="X71" s="136">
        <v>2609776</v>
      </c>
      <c r="Y71" s="136">
        <v>634</v>
      </c>
      <c r="Z71" s="136">
        <v>1914597</v>
      </c>
      <c r="AA71" s="136">
        <v>6155273</v>
      </c>
      <c r="AB71" s="136">
        <v>1361713</v>
      </c>
      <c r="AC71" s="136">
        <v>0</v>
      </c>
      <c r="AD71" s="136">
        <v>147388</v>
      </c>
      <c r="AE71" s="136">
        <v>156618</v>
      </c>
      <c r="AF71" s="136">
        <v>327432</v>
      </c>
      <c r="AG71" s="136">
        <v>27513360</v>
      </c>
      <c r="AH71" s="136">
        <v>4547386</v>
      </c>
      <c r="AI71" s="136">
        <v>700010</v>
      </c>
      <c r="AJ71" s="136">
        <v>6224005</v>
      </c>
      <c r="AK71" s="136">
        <v>338018</v>
      </c>
      <c r="AL71" s="136">
        <v>2233665</v>
      </c>
      <c r="AM71" s="136">
        <v>2649236</v>
      </c>
      <c r="AN71" s="136">
        <v>1087949</v>
      </c>
      <c r="AO71" s="136">
        <v>153954</v>
      </c>
      <c r="AP71" s="136">
        <v>109164</v>
      </c>
      <c r="AQ71" s="136">
        <v>338419</v>
      </c>
      <c r="AR71" s="136">
        <v>327358</v>
      </c>
      <c r="AS71" s="136">
        <v>1116830</v>
      </c>
      <c r="AT71" s="136">
        <v>1341129</v>
      </c>
      <c r="AU71" s="136">
        <v>0</v>
      </c>
      <c r="AV71" s="136">
        <v>13133</v>
      </c>
      <c r="AW71" s="136">
        <v>0</v>
      </c>
      <c r="AX71" s="136">
        <v>58336</v>
      </c>
      <c r="AY71" s="136">
        <v>4239663</v>
      </c>
      <c r="AZ71" s="136">
        <v>1822853</v>
      </c>
      <c r="BA71" s="136">
        <v>2050257</v>
      </c>
      <c r="BB71" s="136">
        <v>741160</v>
      </c>
      <c r="BC71" s="136">
        <v>24301</v>
      </c>
      <c r="BD71" s="136">
        <v>880486</v>
      </c>
      <c r="BE71" s="136">
        <v>6552497</v>
      </c>
      <c r="BF71" s="136">
        <v>2517484</v>
      </c>
      <c r="BG71" s="136">
        <v>801183</v>
      </c>
      <c r="BH71" s="136">
        <v>1307940</v>
      </c>
      <c r="BI71" s="136">
        <v>164086</v>
      </c>
      <c r="BJ71" s="136">
        <v>471223</v>
      </c>
      <c r="BK71" s="136">
        <v>2988395</v>
      </c>
      <c r="BL71" s="136">
        <v>1391957</v>
      </c>
      <c r="BM71" s="136">
        <v>182723</v>
      </c>
      <c r="BN71" s="136">
        <v>590733</v>
      </c>
      <c r="BO71" s="136">
        <v>0</v>
      </c>
      <c r="BP71" s="136">
        <v>400216</v>
      </c>
      <c r="BQ71" s="136">
        <v>1080202</v>
      </c>
      <c r="BR71" s="136">
        <v>2091844</v>
      </c>
      <c r="BS71" s="136">
        <v>37076</v>
      </c>
      <c r="BT71" s="136">
        <v>282820</v>
      </c>
      <c r="BU71" s="136">
        <v>0</v>
      </c>
      <c r="BV71" s="136">
        <v>770656</v>
      </c>
      <c r="BW71" s="136">
        <v>0</v>
      </c>
      <c r="BX71" s="136">
        <v>1865691</v>
      </c>
      <c r="BY71" s="136">
        <v>171351</v>
      </c>
      <c r="BZ71" s="136">
        <v>1346783</v>
      </c>
      <c r="CA71" s="136">
        <v>0</v>
      </c>
      <c r="CB71" s="136">
        <v>330441</v>
      </c>
      <c r="CC71" s="136">
        <v>144489</v>
      </c>
      <c r="CD71" s="136">
        <v>3575804</v>
      </c>
      <c r="CE71" s="136">
        <v>39270</v>
      </c>
      <c r="CF71" s="136">
        <v>15488</v>
      </c>
      <c r="CG71" s="136">
        <v>0</v>
      </c>
      <c r="CH71" s="136">
        <v>845128</v>
      </c>
      <c r="CI71" s="136">
        <v>51506</v>
      </c>
      <c r="CJ71" s="136">
        <v>3852436</v>
      </c>
      <c r="CK71" s="136">
        <v>0</v>
      </c>
      <c r="CL71" s="136">
        <v>79589</v>
      </c>
      <c r="CM71" s="136">
        <v>234883</v>
      </c>
      <c r="CN71" s="136">
        <v>1180680</v>
      </c>
      <c r="CO71" s="136">
        <v>1647740</v>
      </c>
      <c r="CP71" s="136">
        <v>2471919</v>
      </c>
      <c r="CQ71" s="136">
        <v>25575</v>
      </c>
      <c r="CR71" s="136">
        <v>530080</v>
      </c>
      <c r="CS71" s="136">
        <v>0</v>
      </c>
      <c r="CT71" s="136">
        <v>1031258</v>
      </c>
      <c r="CU71" s="136">
        <v>0</v>
      </c>
      <c r="CV71" s="136">
        <v>0</v>
      </c>
      <c r="CW71" s="136">
        <v>0</v>
      </c>
      <c r="CX71" s="136">
        <v>0</v>
      </c>
      <c r="CY71" s="136">
        <v>0</v>
      </c>
      <c r="CZ71" s="136">
        <v>0</v>
      </c>
      <c r="DA71" s="136"/>
      <c r="DB71" s="136"/>
      <c r="DC71" s="136"/>
      <c r="DD71" s="136"/>
      <c r="DE71" s="136"/>
      <c r="DF71" s="136"/>
      <c r="DG71" s="136">
        <v>2845161</v>
      </c>
      <c r="DH71" s="136">
        <v>1447385</v>
      </c>
      <c r="DI71" s="136">
        <v>255641</v>
      </c>
      <c r="DJ71" s="136">
        <v>2647175</v>
      </c>
      <c r="DK71" s="136">
        <v>0</v>
      </c>
      <c r="DL71" s="136">
        <v>1021117</v>
      </c>
      <c r="DM71" s="136">
        <v>8578346</v>
      </c>
      <c r="DN71" s="136">
        <v>295999</v>
      </c>
      <c r="DO71" s="136">
        <v>20961</v>
      </c>
      <c r="DP71" s="136">
        <v>468284</v>
      </c>
      <c r="DQ71" s="136">
        <v>2346</v>
      </c>
      <c r="DR71" s="136">
        <v>81505</v>
      </c>
      <c r="DS71" s="136"/>
      <c r="DT71" s="136"/>
      <c r="DU71" s="136"/>
      <c r="DV71" s="136"/>
      <c r="DW71" s="136"/>
      <c r="DX71" s="136"/>
      <c r="DY71" s="136">
        <v>749095</v>
      </c>
      <c r="DZ71" s="136">
        <v>0</v>
      </c>
      <c r="EA71" s="136">
        <v>0</v>
      </c>
      <c r="EB71" s="136">
        <v>14000</v>
      </c>
      <c r="EC71" s="136">
        <v>162296</v>
      </c>
      <c r="ED71" s="136">
        <v>106098</v>
      </c>
      <c r="EE71" s="136">
        <v>5531869</v>
      </c>
      <c r="EF71" s="136">
        <v>47085</v>
      </c>
      <c r="EG71" s="136">
        <v>484735</v>
      </c>
      <c r="EH71" s="136">
        <v>16193</v>
      </c>
      <c r="EI71" s="136">
        <v>0</v>
      </c>
      <c r="EJ71" s="136">
        <v>107455</v>
      </c>
      <c r="EK71" s="136"/>
      <c r="EL71" s="136"/>
      <c r="EM71" s="136"/>
      <c r="EN71" s="136"/>
      <c r="EO71" s="136"/>
      <c r="EP71" s="136"/>
      <c r="EQ71" s="136">
        <v>1013527</v>
      </c>
      <c r="ER71" s="136">
        <v>0</v>
      </c>
      <c r="ES71" s="136">
        <v>43953</v>
      </c>
      <c r="ET71" s="136">
        <v>0</v>
      </c>
      <c r="EU71" s="136">
        <v>19140</v>
      </c>
      <c r="EV71" s="136">
        <v>0</v>
      </c>
      <c r="EW71" s="136"/>
      <c r="EX71" s="136"/>
      <c r="EY71" s="136"/>
      <c r="EZ71" s="136"/>
      <c r="FA71" s="136"/>
      <c r="FB71" s="136"/>
      <c r="FC71" s="136">
        <v>7310799</v>
      </c>
      <c r="FD71" s="136">
        <v>340390</v>
      </c>
      <c r="FE71" s="136">
        <v>82081</v>
      </c>
      <c r="FF71" s="136">
        <v>2350488</v>
      </c>
      <c r="FG71" s="136">
        <v>75256</v>
      </c>
      <c r="FH71" s="136">
        <v>278646</v>
      </c>
      <c r="FI71" s="136"/>
      <c r="FJ71" s="136"/>
      <c r="FK71" s="136"/>
      <c r="FL71" s="136"/>
      <c r="FM71" s="136"/>
      <c r="FN71" s="136"/>
      <c r="FO71" s="136">
        <v>3279701</v>
      </c>
      <c r="FP71" s="136">
        <v>899402</v>
      </c>
      <c r="FQ71" s="136">
        <v>0</v>
      </c>
      <c r="FR71" s="136">
        <v>648757</v>
      </c>
      <c r="FS71" s="136">
        <v>59943</v>
      </c>
      <c r="FT71" s="136">
        <v>28123</v>
      </c>
      <c r="FU71" s="136">
        <v>4632456</v>
      </c>
      <c r="FV71" s="136">
        <v>0</v>
      </c>
      <c r="FW71" s="136">
        <v>0</v>
      </c>
      <c r="FX71" s="136">
        <v>17720</v>
      </c>
      <c r="FY71" s="136">
        <v>156618</v>
      </c>
      <c r="FZ71" s="136">
        <v>57264</v>
      </c>
      <c r="GA71" s="136">
        <v>978060</v>
      </c>
      <c r="GB71" s="136">
        <v>53590</v>
      </c>
      <c r="GC71" s="136">
        <v>77841</v>
      </c>
      <c r="GD71" s="136">
        <v>8547</v>
      </c>
      <c r="GE71" s="136">
        <v>712</v>
      </c>
      <c r="GF71" s="136">
        <v>14714</v>
      </c>
      <c r="GG71" s="136">
        <v>0</v>
      </c>
      <c r="GH71" s="136">
        <v>0</v>
      </c>
      <c r="GI71" s="136">
        <v>0</v>
      </c>
      <c r="GJ71" s="136">
        <v>0</v>
      </c>
      <c r="GK71" s="136">
        <v>0</v>
      </c>
      <c r="GL71" s="136">
        <v>0</v>
      </c>
      <c r="GM71" s="136">
        <v>0</v>
      </c>
      <c r="GN71" s="136">
        <v>0</v>
      </c>
      <c r="GO71" s="136">
        <v>0</v>
      </c>
      <c r="GP71" s="136">
        <v>0</v>
      </c>
      <c r="GQ71" s="136">
        <v>0</v>
      </c>
      <c r="GR71" s="136">
        <v>0</v>
      </c>
      <c r="GS71" s="136">
        <v>147641847</v>
      </c>
      <c r="GT71" s="136">
        <v>123996540</v>
      </c>
      <c r="GU71" s="136">
        <v>433829657</v>
      </c>
      <c r="GV71" s="35" t="s">
        <v>326</v>
      </c>
      <c r="GW71" s="137">
        <v>9157475083</v>
      </c>
      <c r="GX71" s="35" t="s">
        <v>327</v>
      </c>
      <c r="GY71" s="136">
        <v>116964966</v>
      </c>
      <c r="GZ71" s="136">
        <v>-45688989</v>
      </c>
      <c r="HA71" s="136">
        <v>4386405</v>
      </c>
      <c r="HB71" s="136">
        <v>-2469279</v>
      </c>
      <c r="HC71" s="136">
        <v>0</v>
      </c>
      <c r="HD71" s="136">
        <v>-1232576</v>
      </c>
      <c r="HE71" s="136">
        <v>0</v>
      </c>
      <c r="HF71" s="136">
        <v>0</v>
      </c>
      <c r="HG71" s="136">
        <v>0</v>
      </c>
      <c r="HH71" s="136">
        <v>0</v>
      </c>
      <c r="HI71" s="35" t="s">
        <v>439</v>
      </c>
      <c r="HJ71" s="35" t="s">
        <v>439</v>
      </c>
      <c r="HK71" s="35" t="s">
        <v>439</v>
      </c>
      <c r="HL71"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70791319</v>
      </c>
      <c r="HM71"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33271238</v>
      </c>
      <c r="HN71"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5860538</v>
      </c>
      <c r="HO71"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16843220</v>
      </c>
      <c r="HP71"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1256959</v>
      </c>
      <c r="HQ71"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11792593</v>
      </c>
      <c r="HR71"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71960527</v>
      </c>
    </row>
    <row r="72" spans="1:226">
      <c r="A72" s="35" t="s">
        <v>715</v>
      </c>
      <c r="B72" s="37" t="s">
        <v>19</v>
      </c>
      <c r="C72" s="37">
        <v>91</v>
      </c>
      <c r="D72" s="37" t="s">
        <v>835</v>
      </c>
      <c r="E72" s="103">
        <v>3599</v>
      </c>
      <c r="F72" s="136">
        <v>4901544</v>
      </c>
      <c r="G72" s="136">
        <v>0</v>
      </c>
      <c r="H72" s="136">
        <v>52862647</v>
      </c>
      <c r="I72" s="136">
        <v>5298491</v>
      </c>
      <c r="J72" s="136">
        <v>14943266</v>
      </c>
      <c r="K72" s="136">
        <v>0</v>
      </c>
      <c r="L72" s="136">
        <v>0</v>
      </c>
      <c r="M72" s="136">
        <v>3798114</v>
      </c>
      <c r="N72" s="136">
        <v>1886146</v>
      </c>
      <c r="O72" s="136">
        <v>940981</v>
      </c>
      <c r="P72" s="136">
        <v>0</v>
      </c>
      <c r="Q72" s="136">
        <v>12884</v>
      </c>
      <c r="R72" s="136">
        <v>40452</v>
      </c>
      <c r="S72" s="136">
        <v>0</v>
      </c>
      <c r="T72" s="136">
        <v>16662</v>
      </c>
      <c r="U72" s="136">
        <v>1536761</v>
      </c>
      <c r="V72" s="136">
        <v>341363</v>
      </c>
      <c r="W72" s="136">
        <v>51484</v>
      </c>
      <c r="X72" s="136">
        <v>1437997</v>
      </c>
      <c r="Y72" s="136">
        <v>0</v>
      </c>
      <c r="Z72" s="136">
        <v>0</v>
      </c>
      <c r="AA72" s="136">
        <v>105583</v>
      </c>
      <c r="AB72" s="136">
        <v>0</v>
      </c>
      <c r="AC72" s="136">
        <v>0</v>
      </c>
      <c r="AD72" s="136">
        <v>1411104</v>
      </c>
      <c r="AE72" s="136">
        <v>538</v>
      </c>
      <c r="AF72" s="136">
        <v>0</v>
      </c>
      <c r="AG72" s="136">
        <v>4848531</v>
      </c>
      <c r="AH72" s="136">
        <v>21333</v>
      </c>
      <c r="AI72" s="136">
        <v>0</v>
      </c>
      <c r="AJ72" s="136">
        <v>3158604</v>
      </c>
      <c r="AK72" s="136">
        <v>436836</v>
      </c>
      <c r="AL72" s="136">
        <v>165875</v>
      </c>
      <c r="AM72" s="136">
        <v>1299304</v>
      </c>
      <c r="AN72" s="136">
        <v>20015</v>
      </c>
      <c r="AO72" s="136">
        <v>73763</v>
      </c>
      <c r="AP72" s="136">
        <v>1460618</v>
      </c>
      <c r="AQ72" s="136">
        <v>-29</v>
      </c>
      <c r="AR72" s="136">
        <v>1800</v>
      </c>
      <c r="AS72" s="136">
        <v>529078</v>
      </c>
      <c r="AT72" s="136">
        <v>0</v>
      </c>
      <c r="AU72" s="136">
        <v>0</v>
      </c>
      <c r="AV72" s="136">
        <v>2256448</v>
      </c>
      <c r="AW72" s="136">
        <v>0</v>
      </c>
      <c r="AX72" s="136">
        <v>6105</v>
      </c>
      <c r="AY72" s="136">
        <v>5067915</v>
      </c>
      <c r="AZ72" s="136">
        <v>2173069</v>
      </c>
      <c r="BA72" s="136">
        <v>976553</v>
      </c>
      <c r="BB72" s="136">
        <v>5329065</v>
      </c>
      <c r="BC72" s="136">
        <v>58571</v>
      </c>
      <c r="BD72" s="136">
        <v>12519998</v>
      </c>
      <c r="BE72" s="136">
        <v>1355665</v>
      </c>
      <c r="BF72" s="136">
        <v>0</v>
      </c>
      <c r="BG72" s="136">
        <v>0</v>
      </c>
      <c r="BH72" s="136">
        <v>1898687</v>
      </c>
      <c r="BI72" s="136">
        <v>0</v>
      </c>
      <c r="BJ72" s="136">
        <v>107091</v>
      </c>
      <c r="BK72" s="136">
        <v>912902</v>
      </c>
      <c r="BL72" s="136">
        <v>0</v>
      </c>
      <c r="BM72" s="136">
        <v>0</v>
      </c>
      <c r="BN72" s="136">
        <v>807333</v>
      </c>
      <c r="BO72" s="136">
        <v>0</v>
      </c>
      <c r="BP72" s="136">
        <v>2038</v>
      </c>
      <c r="BQ72" s="136">
        <v>533491</v>
      </c>
      <c r="BR72" s="136">
        <v>0</v>
      </c>
      <c r="BS72" s="136">
        <v>190240</v>
      </c>
      <c r="BT72" s="136">
        <v>2557872</v>
      </c>
      <c r="BU72" s="136">
        <v>0</v>
      </c>
      <c r="BV72" s="136">
        <v>46834</v>
      </c>
      <c r="BW72" s="136">
        <v>1248151</v>
      </c>
      <c r="BX72" s="136">
        <v>53428</v>
      </c>
      <c r="BY72" s="136">
        <v>0</v>
      </c>
      <c r="BZ72" s="136">
        <v>3501795</v>
      </c>
      <c r="CA72" s="136">
        <v>0</v>
      </c>
      <c r="CB72" s="136">
        <v>235622</v>
      </c>
      <c r="CC72" s="136">
        <v>29924</v>
      </c>
      <c r="CD72" s="136">
        <v>0</v>
      </c>
      <c r="CE72" s="136">
        <v>73776</v>
      </c>
      <c r="CF72" s="136">
        <v>2709774</v>
      </c>
      <c r="CG72" s="136">
        <v>0</v>
      </c>
      <c r="CH72" s="136">
        <v>31805</v>
      </c>
      <c r="CI72" s="136">
        <v>42261</v>
      </c>
      <c r="CJ72" s="136">
        <v>0</v>
      </c>
      <c r="CK72" s="136">
        <v>0</v>
      </c>
      <c r="CL72" s="136">
        <v>3351546</v>
      </c>
      <c r="CM72" s="136">
        <v>0</v>
      </c>
      <c r="CN72" s="136">
        <v>10022</v>
      </c>
      <c r="CO72" s="136">
        <v>2986015</v>
      </c>
      <c r="CP72" s="136">
        <v>10233</v>
      </c>
      <c r="CQ72" s="136">
        <v>10850</v>
      </c>
      <c r="CR72" s="136">
        <v>746064</v>
      </c>
      <c r="CS72" s="136">
        <v>1786</v>
      </c>
      <c r="CT72" s="136">
        <v>49209</v>
      </c>
      <c r="CU72" s="136">
        <v>0</v>
      </c>
      <c r="CV72" s="136">
        <v>0</v>
      </c>
      <c r="CW72" s="136">
        <v>0</v>
      </c>
      <c r="CX72" s="136">
        <v>299086</v>
      </c>
      <c r="CY72" s="136">
        <v>0</v>
      </c>
      <c r="CZ72" s="136">
        <v>0</v>
      </c>
      <c r="DA72" s="136"/>
      <c r="DB72" s="136"/>
      <c r="DC72" s="136"/>
      <c r="DD72" s="136"/>
      <c r="DE72" s="136"/>
      <c r="DF72" s="136"/>
      <c r="DG72" s="136">
        <v>0</v>
      </c>
      <c r="DH72" s="136">
        <v>269483</v>
      </c>
      <c r="DI72" s="136">
        <v>0</v>
      </c>
      <c r="DJ72" s="136">
        <v>2509813</v>
      </c>
      <c r="DK72" s="136">
        <v>0</v>
      </c>
      <c r="DL72" s="136">
        <v>222347</v>
      </c>
      <c r="DM72" s="136">
        <v>166322</v>
      </c>
      <c r="DN72" s="136">
        <v>0</v>
      </c>
      <c r="DO72" s="136">
        <v>0</v>
      </c>
      <c r="DP72" s="136">
        <v>182272</v>
      </c>
      <c r="DQ72" s="136">
        <v>0</v>
      </c>
      <c r="DR72" s="136">
        <v>2852</v>
      </c>
      <c r="DS72" s="136"/>
      <c r="DT72" s="136"/>
      <c r="DU72" s="136"/>
      <c r="DV72" s="136"/>
      <c r="DW72" s="136"/>
      <c r="DX72" s="136"/>
      <c r="DY72" s="136">
        <v>1736316</v>
      </c>
      <c r="DZ72" s="136">
        <v>324196</v>
      </c>
      <c r="EA72" s="136">
        <v>13079</v>
      </c>
      <c r="EB72" s="136">
        <v>1612329</v>
      </c>
      <c r="EC72" s="136">
        <v>0</v>
      </c>
      <c r="ED72" s="136">
        <v>0</v>
      </c>
      <c r="EE72" s="136">
        <v>1050697</v>
      </c>
      <c r="EF72" s="136">
        <v>54022</v>
      </c>
      <c r="EG72" s="136">
        <v>803437</v>
      </c>
      <c r="EH72" s="136">
        <v>323194</v>
      </c>
      <c r="EI72" s="136">
        <v>0</v>
      </c>
      <c r="EJ72" s="136">
        <v>105747</v>
      </c>
      <c r="EK72" s="136"/>
      <c r="EL72" s="136"/>
      <c r="EM72" s="136"/>
      <c r="EN72" s="136"/>
      <c r="EO72" s="136"/>
      <c r="EP72" s="136"/>
      <c r="EQ72" s="136">
        <v>7779</v>
      </c>
      <c r="ER72" s="136">
        <v>17482</v>
      </c>
      <c r="ES72" s="136">
        <v>0</v>
      </c>
      <c r="ET72" s="136">
        <v>40090</v>
      </c>
      <c r="EU72" s="136">
        <v>0</v>
      </c>
      <c r="EV72" s="136">
        <v>20320</v>
      </c>
      <c r="EW72" s="136"/>
      <c r="EX72" s="136"/>
      <c r="EY72" s="136"/>
      <c r="EZ72" s="136"/>
      <c r="FA72" s="136"/>
      <c r="FB72" s="136"/>
      <c r="FC72" s="136">
        <v>1771998</v>
      </c>
      <c r="FD72" s="136">
        <v>0</v>
      </c>
      <c r="FE72" s="136">
        <v>0</v>
      </c>
      <c r="FF72" s="136">
        <v>404257</v>
      </c>
      <c r="FG72" s="136">
        <v>270927</v>
      </c>
      <c r="FH72" s="136">
        <v>27311</v>
      </c>
      <c r="FI72" s="136"/>
      <c r="FJ72" s="136"/>
      <c r="FK72" s="136"/>
      <c r="FL72" s="136"/>
      <c r="FM72" s="136"/>
      <c r="FN72" s="136"/>
      <c r="FO72" s="136">
        <v>821984</v>
      </c>
      <c r="FP72" s="136">
        <v>0</v>
      </c>
      <c r="FQ72" s="136">
        <v>0</v>
      </c>
      <c r="FR72" s="136">
        <v>61450</v>
      </c>
      <c r="FS72" s="136">
        <v>0</v>
      </c>
      <c r="FT72" s="136">
        <v>65538</v>
      </c>
      <c r="FU72" s="136">
        <v>20444</v>
      </c>
      <c r="FV72" s="136">
        <v>0</v>
      </c>
      <c r="FW72" s="136">
        <v>0</v>
      </c>
      <c r="FX72" s="136">
        <v>1932444</v>
      </c>
      <c r="FY72" s="136">
        <v>0</v>
      </c>
      <c r="FZ72" s="136">
        <v>0</v>
      </c>
      <c r="GA72" s="136">
        <v>399198</v>
      </c>
      <c r="GB72" s="136">
        <v>0</v>
      </c>
      <c r="GC72" s="136">
        <v>0</v>
      </c>
      <c r="GD72" s="136">
        <v>0</v>
      </c>
      <c r="GE72" s="136">
        <v>0</v>
      </c>
      <c r="GF72" s="136">
        <v>0</v>
      </c>
      <c r="GG72" s="136">
        <v>0</v>
      </c>
      <c r="GH72" s="136">
        <v>0</v>
      </c>
      <c r="GI72" s="136">
        <v>0</v>
      </c>
      <c r="GJ72" s="136">
        <v>0</v>
      </c>
      <c r="GK72" s="136">
        <v>0</v>
      </c>
      <c r="GL72" s="136">
        <v>0</v>
      </c>
      <c r="GM72" s="136">
        <v>0</v>
      </c>
      <c r="GN72" s="136">
        <v>0</v>
      </c>
      <c r="GO72" s="136">
        <v>0</v>
      </c>
      <c r="GP72" s="136">
        <v>0</v>
      </c>
      <c r="GQ72" s="136">
        <v>0</v>
      </c>
      <c r="GR72" s="136">
        <v>0</v>
      </c>
      <c r="GS72" s="136">
        <v>180244078</v>
      </c>
      <c r="GT72" s="136">
        <v>71544314</v>
      </c>
      <c r="GU72" s="136">
        <v>470469569</v>
      </c>
      <c r="GV72" s="35" t="s">
        <v>328</v>
      </c>
      <c r="GW72" s="137">
        <v>9566657906</v>
      </c>
      <c r="GX72" s="35" t="s">
        <v>329</v>
      </c>
      <c r="GY72" s="136">
        <v>57764191</v>
      </c>
      <c r="GZ72" s="136">
        <v>-33106704</v>
      </c>
      <c r="HA72" s="136">
        <v>11684788</v>
      </c>
      <c r="HB72" s="136">
        <v>-1362</v>
      </c>
      <c r="HC72" s="136">
        <v>0</v>
      </c>
      <c r="HD72" s="136">
        <v>-655608</v>
      </c>
      <c r="HE72" s="136">
        <v>0</v>
      </c>
      <c r="HF72" s="136">
        <v>-3737039</v>
      </c>
      <c r="HG72" s="136">
        <v>-507535</v>
      </c>
      <c r="HH72" s="136">
        <v>0</v>
      </c>
      <c r="HI72" s="35" t="s">
        <v>372</v>
      </c>
      <c r="HJ72" s="35" t="s">
        <v>373</v>
      </c>
      <c r="HK72" s="35"/>
      <c r="HL72"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21436562</v>
      </c>
      <c r="HM72"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2888924</v>
      </c>
      <c r="HN72"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1389550</v>
      </c>
      <c r="HO72"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30966445</v>
      </c>
      <c r="HP72"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497702</v>
      </c>
      <c r="HQ72"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13415408</v>
      </c>
      <c r="HR72"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31440731</v>
      </c>
    </row>
    <row r="73" spans="1:226">
      <c r="A73" s="35" t="s">
        <v>826</v>
      </c>
      <c r="B73" s="37" t="s">
        <v>844</v>
      </c>
      <c r="C73" s="37">
        <v>90</v>
      </c>
      <c r="D73" s="37" t="s">
        <v>835</v>
      </c>
      <c r="E73" s="103">
        <v>3599</v>
      </c>
      <c r="F73" s="131">
        <v>4995301</v>
      </c>
      <c r="G73" s="131">
        <v>0</v>
      </c>
      <c r="H73" s="131">
        <v>55171864</v>
      </c>
      <c r="I73" s="131">
        <v>6150654</v>
      </c>
      <c r="J73" s="131">
        <v>16197100</v>
      </c>
      <c r="K73" s="131">
        <v>0</v>
      </c>
      <c r="L73" s="131">
        <v>0</v>
      </c>
      <c r="M73" s="131">
        <v>4639741</v>
      </c>
      <c r="N73" s="131">
        <v>1956513</v>
      </c>
      <c r="O73" s="131">
        <v>940981</v>
      </c>
      <c r="P73" s="131">
        <v>0</v>
      </c>
      <c r="Q73" s="131">
        <v>12884</v>
      </c>
      <c r="R73" s="131">
        <v>40452</v>
      </c>
      <c r="S73" s="131">
        <v>0</v>
      </c>
      <c r="T73" s="131">
        <v>16662</v>
      </c>
      <c r="U73" s="131">
        <v>1536761</v>
      </c>
      <c r="V73" s="131">
        <v>341363</v>
      </c>
      <c r="W73" s="131">
        <v>51484</v>
      </c>
      <c r="X73" s="131">
        <v>1437997</v>
      </c>
      <c r="Y73" s="131">
        <v>0</v>
      </c>
      <c r="Z73" s="131">
        <v>0</v>
      </c>
      <c r="AA73" s="131">
        <v>105583</v>
      </c>
      <c r="AB73" s="131">
        <v>0</v>
      </c>
      <c r="AC73" s="131">
        <v>0</v>
      </c>
      <c r="AD73" s="131">
        <v>1411104</v>
      </c>
      <c r="AE73" s="131">
        <v>538</v>
      </c>
      <c r="AF73" s="131">
        <v>0</v>
      </c>
      <c r="AG73" s="131">
        <v>4848531</v>
      </c>
      <c r="AH73" s="131">
        <v>21333</v>
      </c>
      <c r="AI73" s="131">
        <v>0</v>
      </c>
      <c r="AJ73" s="131">
        <v>3158604</v>
      </c>
      <c r="AK73" s="131">
        <v>436836</v>
      </c>
      <c r="AL73" s="131">
        <v>165875</v>
      </c>
      <c r="AM73" s="131">
        <v>1299304</v>
      </c>
      <c r="AN73" s="131">
        <v>20015</v>
      </c>
      <c r="AO73" s="131">
        <v>73763</v>
      </c>
      <c r="AP73" s="131">
        <v>1460618</v>
      </c>
      <c r="AQ73" s="131">
        <v>-29</v>
      </c>
      <c r="AR73" s="131">
        <v>1800</v>
      </c>
      <c r="AS73" s="131">
        <v>529078</v>
      </c>
      <c r="AT73" s="131">
        <v>0</v>
      </c>
      <c r="AU73" s="131">
        <v>0</v>
      </c>
      <c r="AV73" s="131">
        <v>2256448</v>
      </c>
      <c r="AW73" s="131">
        <v>0</v>
      </c>
      <c r="AX73" s="131">
        <v>6105</v>
      </c>
      <c r="AY73" s="131">
        <v>7442421</v>
      </c>
      <c r="AZ73" s="131">
        <v>2173069</v>
      </c>
      <c r="BA73" s="131">
        <v>1169777</v>
      </c>
      <c r="BB73" s="131">
        <v>5329064</v>
      </c>
      <c r="BC73" s="131">
        <v>58571</v>
      </c>
      <c r="BD73" s="131">
        <v>14367483</v>
      </c>
      <c r="BE73" s="131">
        <v>1355665</v>
      </c>
      <c r="BF73" s="131">
        <v>0</v>
      </c>
      <c r="BG73" s="131">
        <v>0</v>
      </c>
      <c r="BH73" s="131">
        <v>1898687</v>
      </c>
      <c r="BI73" s="131">
        <v>0</v>
      </c>
      <c r="BJ73" s="131">
        <v>107091</v>
      </c>
      <c r="BK73" s="131">
        <v>912902</v>
      </c>
      <c r="BL73" s="131">
        <v>0</v>
      </c>
      <c r="BM73" s="131">
        <v>0</v>
      </c>
      <c r="BN73" s="131">
        <v>807333</v>
      </c>
      <c r="BO73" s="131">
        <v>0</v>
      </c>
      <c r="BP73" s="131">
        <v>2038</v>
      </c>
      <c r="BQ73" s="131">
        <v>533491</v>
      </c>
      <c r="BR73" s="131">
        <v>0</v>
      </c>
      <c r="BS73" s="131">
        <v>190240</v>
      </c>
      <c r="BT73" s="131">
        <v>2557872</v>
      </c>
      <c r="BU73" s="131">
        <v>0</v>
      </c>
      <c r="BV73" s="131">
        <v>46834</v>
      </c>
      <c r="BW73" s="131">
        <v>1248151</v>
      </c>
      <c r="BX73" s="131">
        <v>53428</v>
      </c>
      <c r="BY73" s="131">
        <v>0</v>
      </c>
      <c r="BZ73" s="131">
        <v>3501795</v>
      </c>
      <c r="CA73" s="131">
        <v>0</v>
      </c>
      <c r="CB73" s="131">
        <v>235622</v>
      </c>
      <c r="CC73" s="131">
        <v>29924</v>
      </c>
      <c r="CD73" s="131">
        <v>0</v>
      </c>
      <c r="CE73" s="131">
        <v>73776</v>
      </c>
      <c r="CF73" s="131">
        <v>2709774</v>
      </c>
      <c r="CG73" s="131">
        <v>0</v>
      </c>
      <c r="CH73" s="131">
        <v>31805</v>
      </c>
      <c r="CI73" s="131">
        <v>42261</v>
      </c>
      <c r="CJ73" s="131">
        <v>0</v>
      </c>
      <c r="CK73" s="131">
        <v>0</v>
      </c>
      <c r="CL73" s="131">
        <v>3351546</v>
      </c>
      <c r="CM73" s="131">
        <v>0</v>
      </c>
      <c r="CN73" s="131">
        <v>10022</v>
      </c>
      <c r="CO73" s="131">
        <v>2986015</v>
      </c>
      <c r="CP73" s="131">
        <v>10233</v>
      </c>
      <c r="CQ73" s="131">
        <v>10850</v>
      </c>
      <c r="CR73" s="131">
        <v>746064</v>
      </c>
      <c r="CS73" s="131">
        <v>1786</v>
      </c>
      <c r="CT73" s="131">
        <v>49209</v>
      </c>
      <c r="CU73" s="131">
        <v>0</v>
      </c>
      <c r="CV73" s="131">
        <v>0</v>
      </c>
      <c r="CW73" s="131">
        <v>0</v>
      </c>
      <c r="CX73" s="131">
        <v>299086</v>
      </c>
      <c r="CY73" s="131">
        <v>0</v>
      </c>
      <c r="CZ73" s="131">
        <v>0</v>
      </c>
      <c r="DA73" s="131"/>
      <c r="DB73" s="131"/>
      <c r="DC73" s="131"/>
      <c r="DD73" s="131"/>
      <c r="DE73" s="131"/>
      <c r="DF73" s="131"/>
      <c r="DG73" s="131">
        <v>0</v>
      </c>
      <c r="DH73" s="131">
        <v>269483</v>
      </c>
      <c r="DI73" s="131">
        <v>0</v>
      </c>
      <c r="DJ73" s="131">
        <v>2509813</v>
      </c>
      <c r="DK73" s="131">
        <v>0</v>
      </c>
      <c r="DL73" s="131">
        <v>222347</v>
      </c>
      <c r="DM73" s="131">
        <v>166322</v>
      </c>
      <c r="DN73" s="131">
        <v>0</v>
      </c>
      <c r="DO73" s="131">
        <v>0</v>
      </c>
      <c r="DP73" s="131">
        <v>182272</v>
      </c>
      <c r="DQ73" s="131">
        <v>0</v>
      </c>
      <c r="DR73" s="131">
        <v>2852</v>
      </c>
      <c r="DS73" s="131"/>
      <c r="DT73" s="131"/>
      <c r="DU73" s="131"/>
      <c r="DV73" s="131"/>
      <c r="DW73" s="131"/>
      <c r="DX73" s="131"/>
      <c r="DY73" s="131">
        <v>1736316</v>
      </c>
      <c r="DZ73" s="131">
        <v>324196</v>
      </c>
      <c r="EA73" s="131">
        <v>13079</v>
      </c>
      <c r="EB73" s="131">
        <v>1612329</v>
      </c>
      <c r="EC73" s="131">
        <v>0</v>
      </c>
      <c r="ED73" s="131">
        <v>0</v>
      </c>
      <c r="EE73" s="131">
        <v>1050697</v>
      </c>
      <c r="EF73" s="131">
        <v>54023</v>
      </c>
      <c r="EG73" s="131">
        <v>803437</v>
      </c>
      <c r="EH73" s="131">
        <v>323194</v>
      </c>
      <c r="EI73" s="131">
        <v>0</v>
      </c>
      <c r="EJ73" s="131">
        <v>105747</v>
      </c>
      <c r="EK73" s="131"/>
      <c r="EL73" s="131"/>
      <c r="EM73" s="131"/>
      <c r="EN73" s="131"/>
      <c r="EO73" s="131"/>
      <c r="EP73" s="131"/>
      <c r="EQ73" s="131">
        <v>7779</v>
      </c>
      <c r="ER73" s="131">
        <v>17482</v>
      </c>
      <c r="ES73" s="131">
        <v>0</v>
      </c>
      <c r="ET73" s="131">
        <v>40090</v>
      </c>
      <c r="EU73" s="131">
        <v>0</v>
      </c>
      <c r="EV73" s="131">
        <v>20320</v>
      </c>
      <c r="EW73" s="131"/>
      <c r="EX73" s="131"/>
      <c r="EY73" s="131"/>
      <c r="EZ73" s="131"/>
      <c r="FA73" s="131"/>
      <c r="FB73" s="131"/>
      <c r="FC73" s="131">
        <v>1771998</v>
      </c>
      <c r="FD73" s="131">
        <v>0</v>
      </c>
      <c r="FE73" s="131">
        <v>0</v>
      </c>
      <c r="FF73" s="131">
        <v>404257</v>
      </c>
      <c r="FG73" s="131">
        <v>270927</v>
      </c>
      <c r="FH73" s="131">
        <v>27311</v>
      </c>
      <c r="FI73" s="131"/>
      <c r="FJ73" s="131"/>
      <c r="FK73" s="131"/>
      <c r="FL73" s="131"/>
      <c r="FM73" s="131"/>
      <c r="FN73" s="131"/>
      <c r="FO73" s="131">
        <v>821984</v>
      </c>
      <c r="FP73" s="131">
        <v>0</v>
      </c>
      <c r="FQ73" s="131">
        <v>0</v>
      </c>
      <c r="FR73" s="131">
        <v>61450</v>
      </c>
      <c r="FS73" s="131">
        <v>0</v>
      </c>
      <c r="FT73" s="131">
        <v>65538</v>
      </c>
      <c r="FU73" s="131">
        <v>20444</v>
      </c>
      <c r="FV73" s="131">
        <v>0</v>
      </c>
      <c r="FW73" s="131">
        <v>0</v>
      </c>
      <c r="FX73" s="131">
        <v>1932444</v>
      </c>
      <c r="FY73" s="131">
        <v>0</v>
      </c>
      <c r="FZ73" s="131">
        <v>0</v>
      </c>
      <c r="GA73" s="131">
        <v>399198</v>
      </c>
      <c r="GB73" s="131">
        <v>0</v>
      </c>
      <c r="GC73" s="131">
        <v>0</v>
      </c>
      <c r="GD73" s="131">
        <v>0</v>
      </c>
      <c r="GE73" s="131">
        <v>0</v>
      </c>
      <c r="GF73" s="131">
        <v>0</v>
      </c>
      <c r="GG73" s="136">
        <v>138130</v>
      </c>
      <c r="GH73" s="136">
        <v>0</v>
      </c>
      <c r="GI73" s="136">
        <v>0</v>
      </c>
      <c r="GJ73" s="136">
        <v>0</v>
      </c>
      <c r="GK73" s="136">
        <v>0</v>
      </c>
      <c r="GL73" s="136">
        <v>0</v>
      </c>
      <c r="GM73" s="136">
        <v>0</v>
      </c>
      <c r="GN73" s="131">
        <v>0</v>
      </c>
      <c r="GO73" s="131">
        <v>0</v>
      </c>
      <c r="GP73" s="131">
        <v>0</v>
      </c>
      <c r="GQ73" s="131">
        <v>0</v>
      </c>
      <c r="GR73" s="131">
        <v>0</v>
      </c>
      <c r="GS73" s="131">
        <v>233703947</v>
      </c>
      <c r="GT73" s="131">
        <v>75107365</v>
      </c>
      <c r="GU73" s="131">
        <v>598802141</v>
      </c>
      <c r="GV73" s="132" t="s">
        <v>328</v>
      </c>
      <c r="GW73" s="133">
        <v>9566657906</v>
      </c>
      <c r="GX73" s="132" t="s">
        <v>329</v>
      </c>
      <c r="GY73" s="136"/>
      <c r="GZ73" s="136"/>
      <c r="HA73" s="136"/>
      <c r="HB73" s="136"/>
      <c r="HC73" s="136"/>
      <c r="HD73" s="136"/>
      <c r="HE73" s="136"/>
      <c r="HF73" s="136"/>
      <c r="HG73" s="136"/>
      <c r="HH73" s="136"/>
      <c r="HI73" s="102"/>
      <c r="HJ73" s="102"/>
      <c r="HK73" s="102"/>
      <c r="HL73"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23811068</v>
      </c>
      <c r="HM73"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2888924</v>
      </c>
      <c r="HN73"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1582774</v>
      </c>
      <c r="HO73"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30966444</v>
      </c>
      <c r="HP73"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497702</v>
      </c>
      <c r="HQ73"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15262893</v>
      </c>
      <c r="HR73"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74" spans="1:226">
      <c r="A74" s="35" t="s">
        <v>839</v>
      </c>
      <c r="B74" s="37" t="s">
        <v>384</v>
      </c>
      <c r="C74" s="37">
        <v>500</v>
      </c>
      <c r="D74" s="37" t="s">
        <v>835</v>
      </c>
      <c r="E74" s="103">
        <v>203599</v>
      </c>
      <c r="F74" s="136">
        <v>93757</v>
      </c>
      <c r="G74" s="136">
        <v>0</v>
      </c>
      <c r="H74" s="136">
        <v>2309217</v>
      </c>
      <c r="I74" s="136">
        <v>852163</v>
      </c>
      <c r="J74" s="136">
        <v>1253834</v>
      </c>
      <c r="K74" s="136">
        <v>0</v>
      </c>
      <c r="L74" s="136">
        <v>0</v>
      </c>
      <c r="M74" s="136">
        <v>841627</v>
      </c>
      <c r="N74" s="136">
        <v>70367</v>
      </c>
      <c r="O74" s="136">
        <v>0</v>
      </c>
      <c r="P74" s="136">
        <v>0</v>
      </c>
      <c r="Q74" s="136">
        <v>0</v>
      </c>
      <c r="R74" s="136">
        <v>0</v>
      </c>
      <c r="S74" s="136">
        <v>0</v>
      </c>
      <c r="T74" s="136">
        <v>0</v>
      </c>
      <c r="U74" s="136">
        <v>0</v>
      </c>
      <c r="V74" s="136">
        <v>0</v>
      </c>
      <c r="W74" s="136">
        <v>0</v>
      </c>
      <c r="X74" s="136">
        <v>0</v>
      </c>
      <c r="Y74" s="136">
        <v>0</v>
      </c>
      <c r="Z74" s="136">
        <v>0</v>
      </c>
      <c r="AA74" s="136">
        <v>0</v>
      </c>
      <c r="AB74" s="136">
        <v>0</v>
      </c>
      <c r="AC74" s="136">
        <v>0</v>
      </c>
      <c r="AD74" s="136">
        <v>0</v>
      </c>
      <c r="AE74" s="136">
        <v>0</v>
      </c>
      <c r="AF74" s="136">
        <v>0</v>
      </c>
      <c r="AG74" s="136">
        <v>0</v>
      </c>
      <c r="AH74" s="136">
        <v>0</v>
      </c>
      <c r="AI74" s="136">
        <v>0</v>
      </c>
      <c r="AJ74" s="136">
        <v>0</v>
      </c>
      <c r="AK74" s="136">
        <v>0</v>
      </c>
      <c r="AL74" s="136">
        <v>0</v>
      </c>
      <c r="AM74" s="136">
        <v>0</v>
      </c>
      <c r="AN74" s="136">
        <v>0</v>
      </c>
      <c r="AO74" s="136">
        <v>0</v>
      </c>
      <c r="AP74" s="136">
        <v>0</v>
      </c>
      <c r="AQ74" s="136">
        <v>0</v>
      </c>
      <c r="AR74" s="136">
        <v>0</v>
      </c>
      <c r="AS74" s="136">
        <v>0</v>
      </c>
      <c r="AT74" s="136">
        <v>0</v>
      </c>
      <c r="AU74" s="136">
        <v>0</v>
      </c>
      <c r="AV74" s="136">
        <v>0</v>
      </c>
      <c r="AW74" s="136">
        <v>0</v>
      </c>
      <c r="AX74" s="136">
        <v>0</v>
      </c>
      <c r="AY74" s="136">
        <v>2374505</v>
      </c>
      <c r="AZ74" s="136">
        <v>0</v>
      </c>
      <c r="BA74" s="136">
        <v>193224</v>
      </c>
      <c r="BB74" s="136">
        <v>0</v>
      </c>
      <c r="BC74" s="136">
        <v>0</v>
      </c>
      <c r="BD74" s="136">
        <v>1847485</v>
      </c>
      <c r="BE74" s="136">
        <v>0</v>
      </c>
      <c r="BF74" s="136">
        <v>0</v>
      </c>
      <c r="BG74" s="136">
        <v>0</v>
      </c>
      <c r="BH74" s="136">
        <v>0</v>
      </c>
      <c r="BI74" s="136">
        <v>0</v>
      </c>
      <c r="BJ74" s="136">
        <v>0</v>
      </c>
      <c r="BK74" s="136">
        <v>0</v>
      </c>
      <c r="BL74" s="136">
        <v>0</v>
      </c>
      <c r="BM74" s="136">
        <v>0</v>
      </c>
      <c r="BN74" s="136">
        <v>0</v>
      </c>
      <c r="BO74" s="136">
        <v>0</v>
      </c>
      <c r="BP74" s="136">
        <v>0</v>
      </c>
      <c r="BQ74" s="136">
        <v>0</v>
      </c>
      <c r="BR74" s="136">
        <v>0</v>
      </c>
      <c r="BS74" s="136">
        <v>0</v>
      </c>
      <c r="BT74" s="136">
        <v>0</v>
      </c>
      <c r="BU74" s="136">
        <v>0</v>
      </c>
      <c r="BV74" s="136">
        <v>0</v>
      </c>
      <c r="BW74" s="136">
        <v>0</v>
      </c>
      <c r="BX74" s="136">
        <v>0</v>
      </c>
      <c r="BY74" s="136">
        <v>0</v>
      </c>
      <c r="BZ74" s="136">
        <v>0</v>
      </c>
      <c r="CA74" s="136">
        <v>0</v>
      </c>
      <c r="CB74" s="136">
        <v>0</v>
      </c>
      <c r="CC74" s="136">
        <v>0</v>
      </c>
      <c r="CD74" s="136">
        <v>0</v>
      </c>
      <c r="CE74" s="136">
        <v>0</v>
      </c>
      <c r="CF74" s="136">
        <v>0</v>
      </c>
      <c r="CG74" s="136">
        <v>0</v>
      </c>
      <c r="CH74" s="136">
        <v>0</v>
      </c>
      <c r="CI74" s="136">
        <v>0</v>
      </c>
      <c r="CJ74" s="136">
        <v>0</v>
      </c>
      <c r="CK74" s="136">
        <v>0</v>
      </c>
      <c r="CL74" s="136">
        <v>0</v>
      </c>
      <c r="CM74" s="136">
        <v>0</v>
      </c>
      <c r="CN74" s="136">
        <v>0</v>
      </c>
      <c r="CO74" s="136">
        <v>0</v>
      </c>
      <c r="CP74" s="136">
        <v>0</v>
      </c>
      <c r="CQ74" s="136">
        <v>0</v>
      </c>
      <c r="CR74" s="136">
        <v>0</v>
      </c>
      <c r="CS74" s="136">
        <v>0</v>
      </c>
      <c r="CT74" s="136">
        <v>0</v>
      </c>
      <c r="CU74" s="136">
        <v>0</v>
      </c>
      <c r="CV74" s="136">
        <v>0</v>
      </c>
      <c r="CW74" s="136">
        <v>0</v>
      </c>
      <c r="CX74" s="136">
        <v>0</v>
      </c>
      <c r="CY74" s="136">
        <v>0</v>
      </c>
      <c r="CZ74" s="136">
        <v>0</v>
      </c>
      <c r="DA74" s="136"/>
      <c r="DB74" s="136"/>
      <c r="DC74" s="136"/>
      <c r="DD74" s="136"/>
      <c r="DE74" s="136"/>
      <c r="DF74" s="136"/>
      <c r="DG74" s="136">
        <v>0</v>
      </c>
      <c r="DH74" s="136">
        <v>0</v>
      </c>
      <c r="DI74" s="136">
        <v>0</v>
      </c>
      <c r="DJ74" s="136">
        <v>0</v>
      </c>
      <c r="DK74" s="136">
        <v>0</v>
      </c>
      <c r="DL74" s="136">
        <v>0</v>
      </c>
      <c r="DM74" s="136"/>
      <c r="DN74" s="136"/>
      <c r="DO74" s="136"/>
      <c r="DP74" s="136"/>
      <c r="DQ74" s="136"/>
      <c r="DR74" s="136"/>
      <c r="DS74" s="136">
        <v>0</v>
      </c>
      <c r="DT74" s="136">
        <v>0</v>
      </c>
      <c r="DU74" s="136">
        <v>0</v>
      </c>
      <c r="DV74" s="136">
        <v>0</v>
      </c>
      <c r="DW74" s="136">
        <v>0</v>
      </c>
      <c r="DX74" s="136">
        <v>0</v>
      </c>
      <c r="DY74" s="136"/>
      <c r="DZ74" s="136"/>
      <c r="EA74" s="136"/>
      <c r="EB74" s="136"/>
      <c r="EC74" s="136"/>
      <c r="ED74" s="136"/>
      <c r="EE74" s="136">
        <v>0</v>
      </c>
      <c r="EF74" s="136">
        <v>0</v>
      </c>
      <c r="EG74" s="136">
        <v>0</v>
      </c>
      <c r="EH74" s="136">
        <v>0</v>
      </c>
      <c r="EI74" s="136">
        <v>0</v>
      </c>
      <c r="EJ74" s="136">
        <v>0</v>
      </c>
      <c r="EK74" s="136">
        <v>0</v>
      </c>
      <c r="EL74" s="136">
        <v>0</v>
      </c>
      <c r="EM74" s="136">
        <v>0</v>
      </c>
      <c r="EN74" s="136">
        <v>0</v>
      </c>
      <c r="EO74" s="136">
        <v>0</v>
      </c>
      <c r="EP74" s="136">
        <v>0</v>
      </c>
      <c r="EQ74" s="136"/>
      <c r="ER74" s="136"/>
      <c r="ES74" s="136"/>
      <c r="ET74" s="136"/>
      <c r="EU74" s="136"/>
      <c r="EV74" s="136"/>
      <c r="EW74" s="136">
        <v>0</v>
      </c>
      <c r="EX74" s="136">
        <v>0</v>
      </c>
      <c r="EY74" s="136">
        <v>14180</v>
      </c>
      <c r="EZ74" s="136">
        <v>0</v>
      </c>
      <c r="FA74" s="136">
        <v>0</v>
      </c>
      <c r="FB74" s="136">
        <v>0</v>
      </c>
      <c r="FC74" s="136"/>
      <c r="FD74" s="136"/>
      <c r="FE74" s="136"/>
      <c r="FF74" s="136"/>
      <c r="FG74" s="136"/>
      <c r="FH74" s="136"/>
      <c r="FI74" s="136">
        <v>-11310</v>
      </c>
      <c r="FJ74" s="136">
        <v>0</v>
      </c>
      <c r="FK74" s="136">
        <v>179044</v>
      </c>
      <c r="FL74" s="136">
        <v>0</v>
      </c>
      <c r="FM74" s="136">
        <v>25168</v>
      </c>
      <c r="FN74" s="136">
        <v>0</v>
      </c>
      <c r="FO74" s="136"/>
      <c r="FP74" s="136"/>
      <c r="FQ74" s="136"/>
      <c r="FR74" s="136"/>
      <c r="FS74" s="136"/>
      <c r="FT74" s="136"/>
      <c r="FU74" s="136"/>
      <c r="FV74" s="136"/>
      <c r="FW74" s="136"/>
      <c r="FX74" s="136"/>
      <c r="FY74" s="136"/>
      <c r="FZ74" s="136"/>
      <c r="GA74" s="136"/>
      <c r="GB74" s="136"/>
      <c r="GC74" s="136"/>
      <c r="GD74" s="136"/>
      <c r="GE74" s="136"/>
      <c r="GF74" s="136"/>
      <c r="GG74" s="136">
        <v>138130</v>
      </c>
      <c r="GH74" s="136">
        <v>0</v>
      </c>
      <c r="GI74" s="136">
        <v>0</v>
      </c>
      <c r="GJ74" s="136">
        <v>0</v>
      </c>
      <c r="GK74" s="136">
        <v>0</v>
      </c>
      <c r="GL74" s="136">
        <v>0</v>
      </c>
      <c r="GM74" s="136">
        <v>0</v>
      </c>
      <c r="GN74" s="136">
        <v>0</v>
      </c>
      <c r="GO74" s="136">
        <v>0</v>
      </c>
      <c r="GP74" s="136">
        <v>0</v>
      </c>
      <c r="GQ74" s="136">
        <v>0</v>
      </c>
      <c r="GR74" s="136">
        <v>0</v>
      </c>
      <c r="GS74" s="136">
        <v>53459869</v>
      </c>
      <c r="GT74" s="136">
        <v>3563051</v>
      </c>
      <c r="GU74" s="136">
        <v>128306142</v>
      </c>
      <c r="GV74" s="35" t="s">
        <v>328</v>
      </c>
      <c r="GW74" s="137">
        <v>9566657906</v>
      </c>
      <c r="GX74" s="35" t="s">
        <v>329</v>
      </c>
      <c r="GY74" s="136">
        <v>2402974</v>
      </c>
      <c r="GZ74" s="136" t="s">
        <v>439</v>
      </c>
      <c r="HA74" s="136" t="s">
        <v>439</v>
      </c>
      <c r="HB74" s="136" t="s">
        <v>439</v>
      </c>
      <c r="HC74" s="136" t="s">
        <v>439</v>
      </c>
      <c r="HD74" s="136" t="s">
        <v>439</v>
      </c>
      <c r="HE74" s="136" t="s">
        <v>439</v>
      </c>
      <c r="HF74" s="136" t="s">
        <v>439</v>
      </c>
      <c r="HG74" s="136" t="s">
        <v>439</v>
      </c>
      <c r="HH74" s="136" t="s">
        <v>439</v>
      </c>
      <c r="HI74" s="35" t="s">
        <v>439</v>
      </c>
      <c r="HJ74" s="35" t="s">
        <v>439</v>
      </c>
      <c r="HK74" s="35" t="s">
        <v>439</v>
      </c>
      <c r="HL74"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2374505</v>
      </c>
      <c r="HM74"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74"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193224</v>
      </c>
      <c r="HO74"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74"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74"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1847485</v>
      </c>
      <c r="HR74"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2402974</v>
      </c>
    </row>
    <row r="75" spans="1:226">
      <c r="A75" s="35" t="s">
        <v>24</v>
      </c>
      <c r="B75" s="37" t="s">
        <v>19</v>
      </c>
      <c r="C75" s="37">
        <v>110</v>
      </c>
      <c r="D75" s="37" t="s">
        <v>835</v>
      </c>
      <c r="E75" s="103">
        <v>10115</v>
      </c>
      <c r="F75" s="136">
        <v>1973722</v>
      </c>
      <c r="G75" s="136">
        <v>0</v>
      </c>
      <c r="H75" s="136">
        <v>132909044</v>
      </c>
      <c r="I75" s="136">
        <v>13364698</v>
      </c>
      <c r="J75" s="136">
        <v>4060641</v>
      </c>
      <c r="K75" s="136">
        <v>0</v>
      </c>
      <c r="L75" s="136">
        <v>0</v>
      </c>
      <c r="M75" s="136">
        <v>8637001</v>
      </c>
      <c r="N75" s="136">
        <v>8309237</v>
      </c>
      <c r="O75" s="136">
        <v>24564</v>
      </c>
      <c r="P75" s="136">
        <v>0</v>
      </c>
      <c r="Q75" s="136">
        <v>0</v>
      </c>
      <c r="R75" s="136">
        <v>0</v>
      </c>
      <c r="S75" s="136">
        <v>0</v>
      </c>
      <c r="T75" s="136">
        <v>0</v>
      </c>
      <c r="U75" s="136">
        <v>14994286</v>
      </c>
      <c r="V75" s="136">
        <v>5858266</v>
      </c>
      <c r="W75" s="136">
        <v>114785</v>
      </c>
      <c r="X75" s="136">
        <v>2205704</v>
      </c>
      <c r="Y75" s="136">
        <v>612932</v>
      </c>
      <c r="Z75" s="136">
        <v>950886</v>
      </c>
      <c r="AA75" s="136">
        <v>10835711</v>
      </c>
      <c r="AB75" s="136">
        <v>5689425</v>
      </c>
      <c r="AC75" s="136">
        <v>0</v>
      </c>
      <c r="AD75" s="136">
        <v>2007510</v>
      </c>
      <c r="AE75" s="136">
        <v>399792</v>
      </c>
      <c r="AF75" s="136">
        <v>32217</v>
      </c>
      <c r="AG75" s="136">
        <v>11306298</v>
      </c>
      <c r="AH75" s="136">
        <v>9149167</v>
      </c>
      <c r="AI75" s="136">
        <v>261571</v>
      </c>
      <c r="AJ75" s="136">
        <v>5317477</v>
      </c>
      <c r="AK75" s="136">
        <v>2090333</v>
      </c>
      <c r="AL75" s="136">
        <v>571600</v>
      </c>
      <c r="AM75" s="136">
        <v>1169027</v>
      </c>
      <c r="AN75" s="136">
        <v>569911</v>
      </c>
      <c r="AO75" s="136">
        <v>0</v>
      </c>
      <c r="AP75" s="136">
        <v>770897</v>
      </c>
      <c r="AQ75" s="136">
        <v>43678</v>
      </c>
      <c r="AR75" s="136">
        <v>56169</v>
      </c>
      <c r="AS75" s="136">
        <v>337339</v>
      </c>
      <c r="AT75" s="136">
        <v>1251778</v>
      </c>
      <c r="AU75" s="136">
        <v>0</v>
      </c>
      <c r="AV75" s="136">
        <v>149022</v>
      </c>
      <c r="AW75" s="136">
        <v>0</v>
      </c>
      <c r="AX75" s="136">
        <v>99997</v>
      </c>
      <c r="AY75" s="136">
        <v>896807</v>
      </c>
      <c r="AZ75" s="136">
        <v>0</v>
      </c>
      <c r="BA75" s="136">
        <v>84306</v>
      </c>
      <c r="BB75" s="136">
        <v>71973</v>
      </c>
      <c r="BC75" s="136">
        <v>193216</v>
      </c>
      <c r="BD75" s="136">
        <v>523101</v>
      </c>
      <c r="BE75" s="136">
        <v>4469041</v>
      </c>
      <c r="BF75" s="136">
        <v>3148336</v>
      </c>
      <c r="BG75" s="136">
        <v>628576</v>
      </c>
      <c r="BH75" s="136">
        <v>537582</v>
      </c>
      <c r="BI75" s="136">
        <v>340997</v>
      </c>
      <c r="BJ75" s="136">
        <v>1074837</v>
      </c>
      <c r="BK75" s="136">
        <v>345966</v>
      </c>
      <c r="BL75" s="136">
        <v>1058698</v>
      </c>
      <c r="BM75" s="136">
        <v>0</v>
      </c>
      <c r="BN75" s="136">
        <v>361372</v>
      </c>
      <c r="BO75" s="136">
        <v>9111</v>
      </c>
      <c r="BP75" s="136">
        <v>800</v>
      </c>
      <c r="BQ75" s="136">
        <v>2090112</v>
      </c>
      <c r="BR75" s="136">
        <v>6532359</v>
      </c>
      <c r="BS75" s="136">
        <v>575834</v>
      </c>
      <c r="BT75" s="136">
        <v>4290657</v>
      </c>
      <c r="BU75" s="136">
        <v>1156794</v>
      </c>
      <c r="BV75" s="136">
        <v>24583</v>
      </c>
      <c r="BW75" s="136">
        <v>1999247</v>
      </c>
      <c r="BX75" s="136">
        <v>7247366</v>
      </c>
      <c r="BY75" s="136">
        <v>31071</v>
      </c>
      <c r="BZ75" s="136">
        <v>4143770</v>
      </c>
      <c r="CA75" s="136">
        <v>346542</v>
      </c>
      <c r="CB75" s="136">
        <v>226081</v>
      </c>
      <c r="CC75" s="136">
        <v>68083</v>
      </c>
      <c r="CD75" s="136">
        <v>4667648</v>
      </c>
      <c r="CE75" s="136">
        <v>0</v>
      </c>
      <c r="CF75" s="136">
        <v>984146</v>
      </c>
      <c r="CG75" s="136">
        <v>262283</v>
      </c>
      <c r="CH75" s="136">
        <v>641439</v>
      </c>
      <c r="CI75" s="136">
        <v>173828</v>
      </c>
      <c r="CJ75" s="136">
        <v>7129161</v>
      </c>
      <c r="CK75" s="136">
        <v>72955</v>
      </c>
      <c r="CL75" s="136">
        <v>1324645</v>
      </c>
      <c r="CM75" s="136">
        <v>23297</v>
      </c>
      <c r="CN75" s="136">
        <v>340466</v>
      </c>
      <c r="CO75" s="136">
        <v>4450649</v>
      </c>
      <c r="CP75" s="136">
        <v>2422802</v>
      </c>
      <c r="CQ75" s="136">
        <v>763386</v>
      </c>
      <c r="CR75" s="136">
        <v>1687746</v>
      </c>
      <c r="CS75" s="136">
        <v>922713</v>
      </c>
      <c r="CT75" s="136">
        <v>168821</v>
      </c>
      <c r="CU75" s="136">
        <v>101855</v>
      </c>
      <c r="CV75" s="136">
        <v>0</v>
      </c>
      <c r="CW75" s="136">
        <v>0</v>
      </c>
      <c r="CX75" s="136">
        <v>0</v>
      </c>
      <c r="CY75" s="136">
        <v>0</v>
      </c>
      <c r="CZ75" s="136">
        <v>0</v>
      </c>
      <c r="DA75" s="136"/>
      <c r="DB75" s="136"/>
      <c r="DC75" s="136"/>
      <c r="DD75" s="136"/>
      <c r="DE75" s="136"/>
      <c r="DF75" s="136"/>
      <c r="DG75" s="136">
        <v>2186081</v>
      </c>
      <c r="DH75" s="136">
        <v>2073307</v>
      </c>
      <c r="DI75" s="136">
        <v>15433</v>
      </c>
      <c r="DJ75" s="136">
        <v>-652860</v>
      </c>
      <c r="DK75" s="136">
        <v>1111886</v>
      </c>
      <c r="DL75" s="136">
        <v>115136</v>
      </c>
      <c r="DM75" s="136">
        <v>163977</v>
      </c>
      <c r="DN75" s="136">
        <v>0</v>
      </c>
      <c r="DO75" s="136">
        <v>0</v>
      </c>
      <c r="DP75" s="136">
        <v>0</v>
      </c>
      <c r="DQ75" s="136">
        <v>42881</v>
      </c>
      <c r="DR75" s="136">
        <v>0</v>
      </c>
      <c r="DS75" s="136"/>
      <c r="DT75" s="136"/>
      <c r="DU75" s="136"/>
      <c r="DV75" s="136"/>
      <c r="DW75" s="136"/>
      <c r="DX75" s="136"/>
      <c r="DY75" s="136">
        <v>217746</v>
      </c>
      <c r="DZ75" s="136">
        <v>0</v>
      </c>
      <c r="EA75" s="136">
        <v>0</v>
      </c>
      <c r="EB75" s="136">
        <v>0</v>
      </c>
      <c r="EC75" s="136">
        <v>15173</v>
      </c>
      <c r="ED75" s="136">
        <v>0</v>
      </c>
      <c r="EE75" s="136">
        <v>13031</v>
      </c>
      <c r="EF75" s="136">
        <v>6056</v>
      </c>
      <c r="EG75" s="136">
        <v>121400</v>
      </c>
      <c r="EH75" s="136">
        <v>0</v>
      </c>
      <c r="EI75" s="136">
        <v>0</v>
      </c>
      <c r="EJ75" s="136">
        <v>0</v>
      </c>
      <c r="EK75" s="136"/>
      <c r="EL75" s="136"/>
      <c r="EM75" s="136"/>
      <c r="EN75" s="136"/>
      <c r="EO75" s="136"/>
      <c r="EP75" s="136"/>
      <c r="EQ75" s="136">
        <v>1482778</v>
      </c>
      <c r="ER75" s="136">
        <v>78042</v>
      </c>
      <c r="ES75" s="136">
        <v>0</v>
      </c>
      <c r="ET75" s="136">
        <v>440581</v>
      </c>
      <c r="EU75" s="136">
        <v>116913</v>
      </c>
      <c r="EV75" s="136">
        <v>0</v>
      </c>
      <c r="EW75" s="136"/>
      <c r="EX75" s="136"/>
      <c r="EY75" s="136"/>
      <c r="EZ75" s="136"/>
      <c r="FA75" s="136"/>
      <c r="FB75" s="136"/>
      <c r="FC75" s="136">
        <v>5814320</v>
      </c>
      <c r="FD75" s="136">
        <v>2784586</v>
      </c>
      <c r="FE75" s="136">
        <v>1000</v>
      </c>
      <c r="FF75" s="136">
        <v>1649831</v>
      </c>
      <c r="FG75" s="136">
        <v>340356</v>
      </c>
      <c r="FH75" s="136">
        <v>0</v>
      </c>
      <c r="FI75" s="136"/>
      <c r="FJ75" s="136"/>
      <c r="FK75" s="136"/>
      <c r="FL75" s="136"/>
      <c r="FM75" s="136"/>
      <c r="FN75" s="136"/>
      <c r="FO75" s="136">
        <v>364672</v>
      </c>
      <c r="FP75" s="136">
        <v>0</v>
      </c>
      <c r="FQ75" s="136">
        <v>0</v>
      </c>
      <c r="FR75" s="136">
        <v>0</v>
      </c>
      <c r="FS75" s="136">
        <v>97802</v>
      </c>
      <c r="FT75" s="136">
        <v>0</v>
      </c>
      <c r="FU75" s="136">
        <v>1971230</v>
      </c>
      <c r="FV75" s="136">
        <v>2714806</v>
      </c>
      <c r="FW75" s="136">
        <v>0</v>
      </c>
      <c r="FX75" s="136">
        <v>165853</v>
      </c>
      <c r="FY75" s="136">
        <v>191367</v>
      </c>
      <c r="FZ75" s="136">
        <v>0</v>
      </c>
      <c r="GA75" s="136">
        <v>167347</v>
      </c>
      <c r="GB75" s="136">
        <v>0</v>
      </c>
      <c r="GC75" s="136">
        <v>0</v>
      </c>
      <c r="GD75" s="136">
        <v>213602</v>
      </c>
      <c r="GE75" s="136">
        <v>6745</v>
      </c>
      <c r="GF75" s="136">
        <v>0</v>
      </c>
      <c r="GG75" s="136">
        <v>0</v>
      </c>
      <c r="GH75" s="136">
        <v>0</v>
      </c>
      <c r="GI75" s="136">
        <v>0</v>
      </c>
      <c r="GJ75" s="136">
        <v>0</v>
      </c>
      <c r="GK75" s="136">
        <v>0</v>
      </c>
      <c r="GL75" s="136">
        <v>0</v>
      </c>
      <c r="GM75" s="136">
        <v>0</v>
      </c>
      <c r="GN75" s="136">
        <v>0</v>
      </c>
      <c r="GO75" s="136">
        <v>0</v>
      </c>
      <c r="GP75" s="136">
        <v>0</v>
      </c>
      <c r="GQ75" s="136">
        <v>0</v>
      </c>
      <c r="GR75" s="136">
        <v>0</v>
      </c>
      <c r="GS75" s="136">
        <v>197834135</v>
      </c>
      <c r="GT75" s="136">
        <v>137176980</v>
      </c>
      <c r="GU75" s="136">
        <v>577428860</v>
      </c>
      <c r="GV75" s="35" t="s">
        <v>332</v>
      </c>
      <c r="GW75" s="137">
        <v>2104586774</v>
      </c>
      <c r="GX75" s="35" t="s">
        <v>333</v>
      </c>
      <c r="GY75" s="136">
        <v>134882766</v>
      </c>
      <c r="GZ75" s="136">
        <v>-74312932</v>
      </c>
      <c r="HA75" s="136">
        <v>1383828</v>
      </c>
      <c r="HB75" s="136">
        <v>-4795702</v>
      </c>
      <c r="HC75" s="136">
        <v>0</v>
      </c>
      <c r="HD75" s="136">
        <v>-205710</v>
      </c>
      <c r="HE75" s="136">
        <v>0</v>
      </c>
      <c r="HF75" s="136">
        <v>39421</v>
      </c>
      <c r="HG75" s="136">
        <v>-338394</v>
      </c>
      <c r="HH75" s="136">
        <v>0</v>
      </c>
      <c r="HI75" s="35" t="s">
        <v>374</v>
      </c>
      <c r="HJ75" s="35" t="s">
        <v>375</v>
      </c>
      <c r="HK75" s="35"/>
      <c r="HL75"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55448894</v>
      </c>
      <c r="HM75"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56798224</v>
      </c>
      <c r="HN75"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2547917</v>
      </c>
      <c r="HO75"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26038582</v>
      </c>
      <c r="HP75"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7513574</v>
      </c>
      <c r="HQ75"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4826133</v>
      </c>
      <c r="HR75"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56653277</v>
      </c>
    </row>
    <row r="76" spans="1:226" ht="15.6">
      <c r="A76" s="35" t="s">
        <v>25</v>
      </c>
      <c r="B76" s="37" t="s">
        <v>19</v>
      </c>
      <c r="C76" s="37">
        <v>120</v>
      </c>
      <c r="D76" s="37" t="s">
        <v>835</v>
      </c>
      <c r="E76" s="103">
        <v>11163</v>
      </c>
      <c r="F76" s="136">
        <v>39795</v>
      </c>
      <c r="G76" s="136">
        <v>0</v>
      </c>
      <c r="H76" s="136">
        <v>3841632</v>
      </c>
      <c r="I76" s="136">
        <v>416652</v>
      </c>
      <c r="J76" s="136">
        <v>88472</v>
      </c>
      <c r="K76" s="136">
        <v>0</v>
      </c>
      <c r="L76" s="136">
        <v>0</v>
      </c>
      <c r="M76" s="136">
        <v>181091</v>
      </c>
      <c r="N76" s="136">
        <v>0</v>
      </c>
      <c r="O76" s="136">
        <v>0</v>
      </c>
      <c r="P76" s="136">
        <v>0</v>
      </c>
      <c r="Q76" s="136">
        <v>0</v>
      </c>
      <c r="R76" s="136">
        <v>0</v>
      </c>
      <c r="S76" s="136">
        <v>0</v>
      </c>
      <c r="T76" s="136">
        <v>0</v>
      </c>
      <c r="U76" s="136">
        <v>244821</v>
      </c>
      <c r="V76" s="136">
        <v>0</v>
      </c>
      <c r="W76" s="136">
        <v>10706</v>
      </c>
      <c r="X76" s="136">
        <v>70424</v>
      </c>
      <c r="Y76" s="136">
        <v>-135</v>
      </c>
      <c r="Z76" s="136">
        <v>199777</v>
      </c>
      <c r="AA76" s="136">
        <v>1863</v>
      </c>
      <c r="AB76" s="136">
        <v>0</v>
      </c>
      <c r="AC76" s="136">
        <v>0</v>
      </c>
      <c r="AD76" s="136">
        <v>446</v>
      </c>
      <c r="AE76" s="136">
        <v>0</v>
      </c>
      <c r="AF76" s="136">
        <v>0</v>
      </c>
      <c r="AG76" s="136">
        <v>376360</v>
      </c>
      <c r="AH76" s="136">
        <v>0</v>
      </c>
      <c r="AI76" s="136">
        <v>33</v>
      </c>
      <c r="AJ76" s="136">
        <v>48598</v>
      </c>
      <c r="AK76" s="136">
        <v>889</v>
      </c>
      <c r="AL76" s="136">
        <v>192661</v>
      </c>
      <c r="AM76" s="136">
        <v>0</v>
      </c>
      <c r="AN76" s="136">
        <v>0</v>
      </c>
      <c r="AO76" s="136">
        <v>0</v>
      </c>
      <c r="AP76" s="136">
        <v>0</v>
      </c>
      <c r="AQ76" s="136">
        <v>0</v>
      </c>
      <c r="AR76" s="136">
        <v>0</v>
      </c>
      <c r="AS76" s="136">
        <v>87247</v>
      </c>
      <c r="AT76" s="136">
        <v>0</v>
      </c>
      <c r="AU76" s="136">
        <v>0</v>
      </c>
      <c r="AV76" s="136">
        <v>215</v>
      </c>
      <c r="AW76" s="136">
        <v>0</v>
      </c>
      <c r="AX76" s="136">
        <v>0</v>
      </c>
      <c r="AY76" s="136">
        <f>25971+569119</f>
        <v>595090</v>
      </c>
      <c r="AZ76" s="136">
        <v>0</v>
      </c>
      <c r="BA76" s="136">
        <f>3766</f>
        <v>3766</v>
      </c>
      <c r="BB76" s="136">
        <f>49836+227742</f>
        <v>277578</v>
      </c>
      <c r="BC76" s="136">
        <f>250+23587</f>
        <v>23837</v>
      </c>
      <c r="BD76" s="136">
        <v>10981</v>
      </c>
      <c r="BE76" s="136">
        <v>0</v>
      </c>
      <c r="BF76" s="136">
        <v>0</v>
      </c>
      <c r="BG76" s="136">
        <v>0</v>
      </c>
      <c r="BH76" s="136">
        <v>0</v>
      </c>
      <c r="BI76" s="136">
        <v>0</v>
      </c>
      <c r="BJ76" s="136">
        <v>0</v>
      </c>
      <c r="BK76" s="136">
        <v>31511</v>
      </c>
      <c r="BL76" s="136">
        <v>34329</v>
      </c>
      <c r="BM76" s="136">
        <v>37656</v>
      </c>
      <c r="BN76" s="136">
        <v>447310</v>
      </c>
      <c r="BO76" s="136">
        <v>5032</v>
      </c>
      <c r="BP76" s="136">
        <v>1891</v>
      </c>
      <c r="BQ76" s="136">
        <v>17784</v>
      </c>
      <c r="BR76" s="136">
        <v>0</v>
      </c>
      <c r="BS76" s="136">
        <v>496255</v>
      </c>
      <c r="BT76" s="136">
        <v>42464</v>
      </c>
      <c r="BU76" s="136">
        <v>3792</v>
      </c>
      <c r="BV76" s="136">
        <v>0</v>
      </c>
      <c r="BW76" s="136">
        <v>177839</v>
      </c>
      <c r="BX76" s="136">
        <v>72910</v>
      </c>
      <c r="BY76" s="136">
        <v>16731</v>
      </c>
      <c r="BZ76" s="136">
        <v>487118</v>
      </c>
      <c r="CA76" s="136">
        <v>6567</v>
      </c>
      <c r="CB76" s="136">
        <v>7309</v>
      </c>
      <c r="CC76" s="136">
        <v>0</v>
      </c>
      <c r="CD76" s="136">
        <v>0</v>
      </c>
      <c r="CE76" s="136">
        <v>0</v>
      </c>
      <c r="CF76" s="136">
        <v>0</v>
      </c>
      <c r="CG76" s="136">
        <v>0</v>
      </c>
      <c r="CH76" s="136">
        <v>0</v>
      </c>
      <c r="CI76" s="136">
        <v>105087</v>
      </c>
      <c r="CJ76" s="136">
        <v>0</v>
      </c>
      <c r="CK76" s="136">
        <v>7030</v>
      </c>
      <c r="CL76" s="136">
        <v>60159</v>
      </c>
      <c r="CM76" s="136">
        <v>4200</v>
      </c>
      <c r="CN76" s="136">
        <v>35357</v>
      </c>
      <c r="CO76" s="136">
        <v>0</v>
      </c>
      <c r="CP76" s="136">
        <v>0</v>
      </c>
      <c r="CQ76" s="136">
        <v>0</v>
      </c>
      <c r="CR76" s="136">
        <v>91197</v>
      </c>
      <c r="CS76" s="136">
        <v>0</v>
      </c>
      <c r="CT76" s="136">
        <v>12071</v>
      </c>
      <c r="CU76" s="136">
        <v>0</v>
      </c>
      <c r="CV76" s="136">
        <v>0</v>
      </c>
      <c r="CW76" s="136">
        <v>0</v>
      </c>
      <c r="CX76" s="136">
        <v>0</v>
      </c>
      <c r="CY76" s="136">
        <v>0</v>
      </c>
      <c r="CZ76" s="136">
        <v>0</v>
      </c>
      <c r="DA76" s="138">
        <v>569119</v>
      </c>
      <c r="DB76" s="138">
        <v>0</v>
      </c>
      <c r="DC76" s="138">
        <v>0</v>
      </c>
      <c r="DD76" s="138">
        <v>227742</v>
      </c>
      <c r="DE76" s="138">
        <v>23587</v>
      </c>
      <c r="DF76" s="138">
        <v>0</v>
      </c>
      <c r="DG76" s="136">
        <v>0</v>
      </c>
      <c r="DH76" s="136">
        <v>0</v>
      </c>
      <c r="DI76" s="136">
        <v>0</v>
      </c>
      <c r="DJ76" s="136">
        <v>0</v>
      </c>
      <c r="DK76" s="136">
        <v>0</v>
      </c>
      <c r="DL76" s="136">
        <v>0</v>
      </c>
      <c r="DM76" s="136">
        <v>0</v>
      </c>
      <c r="DN76" s="136">
        <v>0</v>
      </c>
      <c r="DO76" s="136">
        <v>0</v>
      </c>
      <c r="DP76" s="136">
        <v>0</v>
      </c>
      <c r="DQ76" s="136">
        <v>0</v>
      </c>
      <c r="DR76" s="136">
        <v>0</v>
      </c>
      <c r="DS76" s="136"/>
      <c r="DT76" s="136"/>
      <c r="DU76" s="136"/>
      <c r="DV76" s="136"/>
      <c r="DW76" s="136"/>
      <c r="DX76" s="136"/>
      <c r="DY76" s="136">
        <v>0</v>
      </c>
      <c r="DZ76" s="136">
        <v>0</v>
      </c>
      <c r="EA76" s="136">
        <v>0</v>
      </c>
      <c r="EB76" s="136">
        <v>0</v>
      </c>
      <c r="EC76" s="136">
        <v>0</v>
      </c>
      <c r="ED76" s="136">
        <v>0</v>
      </c>
      <c r="EE76" s="136">
        <v>0</v>
      </c>
      <c r="EF76" s="136">
        <v>0</v>
      </c>
      <c r="EG76" s="136">
        <v>0</v>
      </c>
      <c r="EH76" s="136">
        <v>0</v>
      </c>
      <c r="EI76" s="136">
        <v>0</v>
      </c>
      <c r="EJ76" s="136">
        <v>0</v>
      </c>
      <c r="EK76" s="136"/>
      <c r="EL76" s="136"/>
      <c r="EM76" s="136"/>
      <c r="EN76" s="136"/>
      <c r="EO76" s="136"/>
      <c r="EP76" s="136"/>
      <c r="EQ76" s="136">
        <v>0</v>
      </c>
      <c r="ER76" s="136">
        <v>0</v>
      </c>
      <c r="ES76" s="136">
        <v>0</v>
      </c>
      <c r="ET76" s="136">
        <v>0</v>
      </c>
      <c r="EU76" s="136">
        <v>0</v>
      </c>
      <c r="EV76" s="136">
        <v>0</v>
      </c>
      <c r="EW76" s="136"/>
      <c r="EX76" s="136"/>
      <c r="EY76" s="136"/>
      <c r="EZ76" s="136"/>
      <c r="FA76" s="136"/>
      <c r="FB76" s="136"/>
      <c r="FC76" s="136">
        <v>0</v>
      </c>
      <c r="FD76" s="136">
        <v>0</v>
      </c>
      <c r="FE76" s="136">
        <v>0</v>
      </c>
      <c r="FF76" s="136">
        <v>0</v>
      </c>
      <c r="FG76" s="136">
        <v>0</v>
      </c>
      <c r="FH76" s="136">
        <v>0</v>
      </c>
      <c r="FI76" s="136"/>
      <c r="FJ76" s="136"/>
      <c r="FK76" s="136"/>
      <c r="FL76" s="136"/>
      <c r="FM76" s="136"/>
      <c r="FN76" s="136"/>
      <c r="FO76" s="136">
        <v>0</v>
      </c>
      <c r="FP76" s="136">
        <v>0</v>
      </c>
      <c r="FQ76" s="136">
        <v>0</v>
      </c>
      <c r="FR76" s="136">
        <v>0</v>
      </c>
      <c r="FS76" s="136">
        <v>0</v>
      </c>
      <c r="FT76" s="136">
        <v>0</v>
      </c>
      <c r="FU76" s="136">
        <v>0</v>
      </c>
      <c r="FV76" s="136">
        <v>0</v>
      </c>
      <c r="FW76" s="136">
        <v>0</v>
      </c>
      <c r="FX76" s="136">
        <v>0</v>
      </c>
      <c r="FY76" s="136">
        <v>0</v>
      </c>
      <c r="FZ76" s="136">
        <v>0</v>
      </c>
      <c r="GA76" s="136">
        <v>0</v>
      </c>
      <c r="GB76" s="136">
        <v>0</v>
      </c>
      <c r="GC76" s="136">
        <v>0</v>
      </c>
      <c r="GD76" s="136">
        <v>0</v>
      </c>
      <c r="GE76" s="136">
        <v>0</v>
      </c>
      <c r="GF76" s="136">
        <v>0</v>
      </c>
      <c r="GG76" s="136">
        <v>0</v>
      </c>
      <c r="GH76" s="136">
        <v>0</v>
      </c>
      <c r="GI76" s="136">
        <v>0</v>
      </c>
      <c r="GJ76" s="136">
        <v>0</v>
      </c>
      <c r="GK76" s="136">
        <v>0</v>
      </c>
      <c r="GL76" s="136">
        <v>0</v>
      </c>
      <c r="GM76" s="136">
        <v>0</v>
      </c>
      <c r="GN76" s="136">
        <v>0</v>
      </c>
      <c r="GO76" s="136">
        <v>0</v>
      </c>
      <c r="GP76" s="136">
        <v>0</v>
      </c>
      <c r="GQ76" s="136">
        <v>0</v>
      </c>
      <c r="GR76" s="136">
        <v>0</v>
      </c>
      <c r="GS76" s="136">
        <v>57793319</v>
      </c>
      <c r="GT76" s="136">
        <v>3930104</v>
      </c>
      <c r="GU76" s="136">
        <v>148818837</v>
      </c>
      <c r="GV76" s="35" t="s">
        <v>334</v>
      </c>
      <c r="GW76" s="137">
        <v>9035667319</v>
      </c>
      <c r="GX76" s="35" t="s">
        <v>335</v>
      </c>
      <c r="GY76" s="136">
        <v>3881427</v>
      </c>
      <c r="GZ76" s="136">
        <v>-1544275</v>
      </c>
      <c r="HA76" s="136">
        <v>0</v>
      </c>
      <c r="HB76" s="136">
        <v>0</v>
      </c>
      <c r="HC76" s="136">
        <v>0</v>
      </c>
      <c r="HD76" s="136">
        <v>0</v>
      </c>
      <c r="HE76" s="136">
        <v>0</v>
      </c>
      <c r="HF76" s="136">
        <v>0</v>
      </c>
      <c r="HG76" s="136">
        <v>0</v>
      </c>
      <c r="HH76" s="136">
        <v>0</v>
      </c>
      <c r="HI76" s="35" t="s">
        <v>439</v>
      </c>
      <c r="HJ76" s="35" t="s">
        <v>439</v>
      </c>
      <c r="HK76" s="35" t="s">
        <v>439</v>
      </c>
      <c r="HL76"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1637602</v>
      </c>
      <c r="HM76"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107239</v>
      </c>
      <c r="HN76"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572177</v>
      </c>
      <c r="HO76"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1525509</v>
      </c>
      <c r="HP76"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44182</v>
      </c>
      <c r="HQ76"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460047</v>
      </c>
      <c r="HR76"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2337152</v>
      </c>
    </row>
    <row r="77" spans="1:226">
      <c r="A77" s="35" t="s">
        <v>387</v>
      </c>
      <c r="B77" s="37" t="s">
        <v>384</v>
      </c>
      <c r="C77" s="37">
        <v>410</v>
      </c>
      <c r="D77" s="37" t="s">
        <v>835</v>
      </c>
      <c r="E77" s="103">
        <v>11618</v>
      </c>
      <c r="F77" s="136">
        <v>11899240</v>
      </c>
      <c r="G77" s="136">
        <v>0</v>
      </c>
      <c r="H77" s="136">
        <v>262919532</v>
      </c>
      <c r="I77" s="136">
        <v>65422558</v>
      </c>
      <c r="J77" s="136">
        <v>10017846</v>
      </c>
      <c r="K77" s="136">
        <v>0</v>
      </c>
      <c r="L77" s="136">
        <v>0</v>
      </c>
      <c r="M77" s="136">
        <v>13985110</v>
      </c>
      <c r="N77" s="136">
        <v>0</v>
      </c>
      <c r="O77" s="136">
        <v>0</v>
      </c>
      <c r="P77" s="136">
        <v>0</v>
      </c>
      <c r="Q77" s="136">
        <v>0</v>
      </c>
      <c r="R77" s="136">
        <v>0</v>
      </c>
      <c r="S77" s="136">
        <v>0</v>
      </c>
      <c r="T77" s="136">
        <v>0</v>
      </c>
      <c r="U77" s="136">
        <v>45389489</v>
      </c>
      <c r="V77" s="136">
        <v>0</v>
      </c>
      <c r="W77" s="136">
        <v>3942770</v>
      </c>
      <c r="X77" s="136">
        <v>2852106</v>
      </c>
      <c r="Y77" s="136">
        <v>742027</v>
      </c>
      <c r="Z77" s="136">
        <v>7935561</v>
      </c>
      <c r="AA77" s="136">
        <v>0</v>
      </c>
      <c r="AB77" s="136">
        <v>0</v>
      </c>
      <c r="AC77" s="136">
        <v>0</v>
      </c>
      <c r="AD77" s="136">
        <v>0</v>
      </c>
      <c r="AE77" s="136">
        <v>0</v>
      </c>
      <c r="AF77" s="136">
        <v>0</v>
      </c>
      <c r="AG77" s="136">
        <v>0</v>
      </c>
      <c r="AH77" s="136">
        <v>0</v>
      </c>
      <c r="AI77" s="136">
        <v>0</v>
      </c>
      <c r="AJ77" s="136">
        <v>0</v>
      </c>
      <c r="AK77" s="136">
        <v>0</v>
      </c>
      <c r="AL77" s="136">
        <v>0</v>
      </c>
      <c r="AM77" s="136">
        <v>0</v>
      </c>
      <c r="AN77" s="136">
        <v>0</v>
      </c>
      <c r="AO77" s="136">
        <v>0</v>
      </c>
      <c r="AP77" s="136">
        <v>0</v>
      </c>
      <c r="AQ77" s="136">
        <v>0</v>
      </c>
      <c r="AR77" s="136">
        <v>0</v>
      </c>
      <c r="AS77" s="136">
        <v>0</v>
      </c>
      <c r="AT77" s="136">
        <v>0</v>
      </c>
      <c r="AU77" s="136">
        <v>0</v>
      </c>
      <c r="AV77" s="136">
        <v>0</v>
      </c>
      <c r="AW77" s="136">
        <v>0</v>
      </c>
      <c r="AX77" s="136">
        <v>0</v>
      </c>
      <c r="AY77" s="136">
        <v>145134012</v>
      </c>
      <c r="AZ77" s="136">
        <v>26749100</v>
      </c>
      <c r="BA77" s="136">
        <v>13344689</v>
      </c>
      <c r="BB77" s="136">
        <v>39204634</v>
      </c>
      <c r="BC77" s="136">
        <v>16793047</v>
      </c>
      <c r="BD77" s="136">
        <v>36272501</v>
      </c>
      <c r="BE77" s="136">
        <v>0</v>
      </c>
      <c r="BF77" s="136">
        <v>0</v>
      </c>
      <c r="BG77" s="136">
        <v>0</v>
      </c>
      <c r="BH77" s="136">
        <v>0</v>
      </c>
      <c r="BI77" s="136">
        <v>0</v>
      </c>
      <c r="BJ77" s="136">
        <v>0</v>
      </c>
      <c r="BK77" s="136">
        <v>0</v>
      </c>
      <c r="BL77" s="136">
        <v>0</v>
      </c>
      <c r="BM77" s="136">
        <v>0</v>
      </c>
      <c r="BN77" s="136">
        <v>0</v>
      </c>
      <c r="BO77" s="136">
        <v>0</v>
      </c>
      <c r="BP77" s="136">
        <v>0</v>
      </c>
      <c r="BQ77" s="136">
        <v>0</v>
      </c>
      <c r="BR77" s="136">
        <v>0</v>
      </c>
      <c r="BS77" s="136">
        <v>0</v>
      </c>
      <c r="BT77" s="136">
        <v>0</v>
      </c>
      <c r="BU77" s="136">
        <v>0</v>
      </c>
      <c r="BV77" s="136">
        <v>0</v>
      </c>
      <c r="BW77" s="136">
        <v>0</v>
      </c>
      <c r="BX77" s="136">
        <v>0</v>
      </c>
      <c r="BY77" s="136">
        <v>0</v>
      </c>
      <c r="BZ77" s="136">
        <v>0</v>
      </c>
      <c r="CA77" s="136">
        <v>0</v>
      </c>
      <c r="CB77" s="136">
        <v>0</v>
      </c>
      <c r="CC77" s="136">
        <v>0</v>
      </c>
      <c r="CD77" s="136">
        <v>0</v>
      </c>
      <c r="CE77" s="136">
        <v>0</v>
      </c>
      <c r="CF77" s="136">
        <v>0</v>
      </c>
      <c r="CG77" s="136">
        <v>0</v>
      </c>
      <c r="CH77" s="136">
        <v>0</v>
      </c>
      <c r="CI77" s="136">
        <v>0</v>
      </c>
      <c r="CJ77" s="136">
        <v>0</v>
      </c>
      <c r="CK77" s="136">
        <v>0</v>
      </c>
      <c r="CL77" s="136">
        <v>0</v>
      </c>
      <c r="CM77" s="136">
        <v>0</v>
      </c>
      <c r="CN77" s="136">
        <v>0</v>
      </c>
      <c r="CO77" s="136">
        <v>0</v>
      </c>
      <c r="CP77" s="136">
        <v>0</v>
      </c>
      <c r="CQ77" s="136">
        <v>0</v>
      </c>
      <c r="CR77" s="136">
        <v>0</v>
      </c>
      <c r="CS77" s="136">
        <v>0</v>
      </c>
      <c r="CT77" s="136">
        <v>0</v>
      </c>
      <c r="CU77" s="136">
        <v>0</v>
      </c>
      <c r="CV77" s="136">
        <v>0</v>
      </c>
      <c r="CW77" s="136">
        <v>0</v>
      </c>
      <c r="CX77" s="136">
        <v>0</v>
      </c>
      <c r="CY77" s="136">
        <v>0</v>
      </c>
      <c r="CZ77" s="136">
        <v>0</v>
      </c>
      <c r="DA77" s="136"/>
      <c r="DB77" s="136"/>
      <c r="DC77" s="136"/>
      <c r="DD77" s="136"/>
      <c r="DE77" s="136"/>
      <c r="DF77" s="136"/>
      <c r="DG77" s="136">
        <v>0</v>
      </c>
      <c r="DH77" s="136">
        <v>0</v>
      </c>
      <c r="DI77" s="136">
        <v>0</v>
      </c>
      <c r="DJ77" s="136">
        <v>0</v>
      </c>
      <c r="DK77" s="136">
        <v>0</v>
      </c>
      <c r="DL77" s="136">
        <v>0</v>
      </c>
      <c r="DM77" s="136"/>
      <c r="DN77" s="136"/>
      <c r="DO77" s="136"/>
      <c r="DP77" s="136"/>
      <c r="DQ77" s="136"/>
      <c r="DR77" s="136"/>
      <c r="DS77" s="136">
        <v>9393416</v>
      </c>
      <c r="DT77" s="136">
        <v>0</v>
      </c>
      <c r="DU77" s="136">
        <v>0</v>
      </c>
      <c r="DV77" s="136">
        <v>0</v>
      </c>
      <c r="DW77" s="136">
        <v>0</v>
      </c>
      <c r="DX77" s="136">
        <v>197731</v>
      </c>
      <c r="DY77" s="136"/>
      <c r="DZ77" s="136"/>
      <c r="EA77" s="136"/>
      <c r="EB77" s="136"/>
      <c r="EC77" s="136"/>
      <c r="ED77" s="136"/>
      <c r="EE77" s="136">
        <v>5752803</v>
      </c>
      <c r="EF77" s="136">
        <v>0</v>
      </c>
      <c r="EG77" s="136">
        <v>8852786</v>
      </c>
      <c r="EH77" s="136">
        <v>0</v>
      </c>
      <c r="EI77" s="136">
        <v>279587</v>
      </c>
      <c r="EJ77" s="136">
        <v>809936</v>
      </c>
      <c r="EK77" s="136">
        <v>2162501</v>
      </c>
      <c r="EL77" s="136">
        <v>169678</v>
      </c>
      <c r="EM77" s="136">
        <v>0</v>
      </c>
      <c r="EN77" s="136">
        <v>1097143</v>
      </c>
      <c r="EO77" s="136">
        <v>51918</v>
      </c>
      <c r="EP77" s="136">
        <v>851171</v>
      </c>
      <c r="EQ77" s="136"/>
      <c r="ER77" s="136"/>
      <c r="ES77" s="136"/>
      <c r="ET77" s="136"/>
      <c r="EU77" s="136"/>
      <c r="EV77" s="136"/>
      <c r="EW77" s="136">
        <v>3662423</v>
      </c>
      <c r="EX77" s="136">
        <v>553129</v>
      </c>
      <c r="EY77" s="136">
        <v>3769228</v>
      </c>
      <c r="EZ77" s="136">
        <v>1654106</v>
      </c>
      <c r="FA77" s="136">
        <v>481021</v>
      </c>
      <c r="FB77" s="136">
        <v>222715</v>
      </c>
      <c r="FC77" s="136"/>
      <c r="FD77" s="136"/>
      <c r="FE77" s="136"/>
      <c r="FF77" s="136"/>
      <c r="FG77" s="136"/>
      <c r="FH77" s="136"/>
      <c r="FI77" s="136">
        <v>860773</v>
      </c>
      <c r="FJ77" s="136">
        <v>6556871</v>
      </c>
      <c r="FK77" s="136">
        <v>0</v>
      </c>
      <c r="FL77" s="136">
        <v>0</v>
      </c>
      <c r="FM77" s="136">
        <v>587665</v>
      </c>
      <c r="FN77" s="136">
        <v>119557</v>
      </c>
      <c r="FO77" s="136"/>
      <c r="FP77" s="136"/>
      <c r="FQ77" s="136"/>
      <c r="FR77" s="136"/>
      <c r="FS77" s="136"/>
      <c r="FT77" s="136"/>
      <c r="FU77" s="136"/>
      <c r="FV77" s="136"/>
      <c r="FW77" s="136"/>
      <c r="FX77" s="136"/>
      <c r="FY77" s="136"/>
      <c r="FZ77" s="136"/>
      <c r="GA77" s="136"/>
      <c r="GB77" s="136"/>
      <c r="GC77" s="136"/>
      <c r="GD77" s="136"/>
      <c r="GE77" s="136"/>
      <c r="GF77" s="136"/>
      <c r="GG77" s="136">
        <v>874080</v>
      </c>
      <c r="GH77" s="136">
        <v>0</v>
      </c>
      <c r="GI77" s="136">
        <v>0</v>
      </c>
      <c r="GJ77" s="136">
        <v>7364605</v>
      </c>
      <c r="GK77" s="136">
        <v>46656</v>
      </c>
      <c r="GL77" s="136">
        <v>1410055</v>
      </c>
      <c r="GM77" s="136">
        <v>337263</v>
      </c>
      <c r="GN77" s="136">
        <v>0</v>
      </c>
      <c r="GO77" s="136">
        <v>0</v>
      </c>
      <c r="GP77" s="136">
        <v>0</v>
      </c>
      <c r="GQ77" s="136">
        <v>0</v>
      </c>
      <c r="GR77" s="136">
        <v>494844</v>
      </c>
      <c r="GS77" s="136">
        <v>284141399</v>
      </c>
      <c r="GT77" s="136">
        <v>277248267</v>
      </c>
      <c r="GU77" s="136">
        <v>2111596026</v>
      </c>
      <c r="GV77" s="35" t="s">
        <v>427</v>
      </c>
      <c r="GW77" s="137">
        <v>7135004915</v>
      </c>
      <c r="GX77" s="35" t="s">
        <v>428</v>
      </c>
      <c r="GY77" s="136">
        <v>274818772</v>
      </c>
      <c r="GZ77" s="136" t="s">
        <v>439</v>
      </c>
      <c r="HA77" s="136" t="s">
        <v>439</v>
      </c>
      <c r="HB77" s="136" t="s">
        <v>439</v>
      </c>
      <c r="HC77" s="136" t="s">
        <v>439</v>
      </c>
      <c r="HD77" s="136" t="s">
        <v>439</v>
      </c>
      <c r="HE77" s="136" t="s">
        <v>439</v>
      </c>
      <c r="HF77" s="136" t="s">
        <v>439</v>
      </c>
      <c r="HG77" s="136" t="s">
        <v>439</v>
      </c>
      <c r="HH77" s="136" t="s">
        <v>439</v>
      </c>
      <c r="HI77" s="35" t="s">
        <v>439</v>
      </c>
      <c r="HJ77" s="35" t="s">
        <v>439</v>
      </c>
      <c r="HK77" s="35" t="s">
        <v>439</v>
      </c>
      <c r="HL77"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190523501</v>
      </c>
      <c r="HM77"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26749100</v>
      </c>
      <c r="HN77"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17287459</v>
      </c>
      <c r="HO77"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42056740</v>
      </c>
      <c r="HP77"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17535074</v>
      </c>
      <c r="HQ77"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44208062</v>
      </c>
      <c r="HR77"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274818772</v>
      </c>
    </row>
    <row r="78" spans="1:226">
      <c r="A78" s="35" t="s">
        <v>388</v>
      </c>
      <c r="B78" s="37" t="s">
        <v>384</v>
      </c>
      <c r="C78" s="37">
        <v>420</v>
      </c>
      <c r="D78" s="37" t="s">
        <v>835</v>
      </c>
      <c r="E78" s="103">
        <v>40</v>
      </c>
      <c r="F78" s="136">
        <v>5530948</v>
      </c>
      <c r="G78" s="136">
        <v>0</v>
      </c>
      <c r="H78" s="136">
        <v>194013060</v>
      </c>
      <c r="I78" s="136">
        <v>42189067</v>
      </c>
      <c r="J78" s="136">
        <v>15687510</v>
      </c>
      <c r="K78" s="136">
        <v>9111154</v>
      </c>
      <c r="L78" s="136">
        <v>0</v>
      </c>
      <c r="M78" s="136">
        <v>-495289</v>
      </c>
      <c r="N78" s="136">
        <v>0</v>
      </c>
      <c r="O78" s="136">
        <v>0</v>
      </c>
      <c r="P78" s="136">
        <v>0</v>
      </c>
      <c r="Q78" s="136">
        <v>0</v>
      </c>
      <c r="R78" s="136">
        <v>0</v>
      </c>
      <c r="S78" s="136">
        <v>0</v>
      </c>
      <c r="T78" s="136">
        <v>0</v>
      </c>
      <c r="U78" s="136">
        <v>0</v>
      </c>
      <c r="V78" s="136">
        <v>0</v>
      </c>
      <c r="W78" s="136">
        <v>0</v>
      </c>
      <c r="X78" s="136">
        <v>0</v>
      </c>
      <c r="Y78" s="136">
        <v>0</v>
      </c>
      <c r="Z78" s="136">
        <v>0</v>
      </c>
      <c r="AA78" s="136">
        <v>0</v>
      </c>
      <c r="AB78" s="136">
        <v>0</v>
      </c>
      <c r="AC78" s="136">
        <v>0</v>
      </c>
      <c r="AD78" s="136">
        <v>0</v>
      </c>
      <c r="AE78" s="136">
        <v>0</v>
      </c>
      <c r="AF78" s="136">
        <v>0</v>
      </c>
      <c r="AG78" s="136">
        <v>0</v>
      </c>
      <c r="AH78" s="136">
        <v>0</v>
      </c>
      <c r="AI78" s="136">
        <v>0</v>
      </c>
      <c r="AJ78" s="136">
        <v>0</v>
      </c>
      <c r="AK78" s="136">
        <v>0</v>
      </c>
      <c r="AL78" s="136">
        <v>0</v>
      </c>
      <c r="AM78" s="136">
        <v>0</v>
      </c>
      <c r="AN78" s="136">
        <v>0</v>
      </c>
      <c r="AO78" s="136">
        <v>0</v>
      </c>
      <c r="AP78" s="136">
        <v>0</v>
      </c>
      <c r="AQ78" s="136">
        <v>0</v>
      </c>
      <c r="AR78" s="136">
        <v>0</v>
      </c>
      <c r="AS78" s="136">
        <v>0</v>
      </c>
      <c r="AT78" s="136">
        <v>0</v>
      </c>
      <c r="AU78" s="136">
        <v>0</v>
      </c>
      <c r="AV78" s="136">
        <v>0</v>
      </c>
      <c r="AW78" s="136">
        <v>0</v>
      </c>
      <c r="AX78" s="136">
        <v>0</v>
      </c>
      <c r="AY78" s="136">
        <v>144827953</v>
      </c>
      <c r="AZ78" s="136">
        <v>24410243</v>
      </c>
      <c r="BA78" s="136">
        <v>13633623</v>
      </c>
      <c r="BB78" s="136">
        <v>39023732</v>
      </c>
      <c r="BC78" s="136">
        <v>17148212</v>
      </c>
      <c r="BD78" s="136">
        <v>21957028</v>
      </c>
      <c r="BE78" s="136">
        <v>0</v>
      </c>
      <c r="BF78" s="136">
        <v>0</v>
      </c>
      <c r="BG78" s="136">
        <v>0</v>
      </c>
      <c r="BH78" s="136">
        <v>0</v>
      </c>
      <c r="BI78" s="136">
        <v>0</v>
      </c>
      <c r="BJ78" s="136">
        <v>0</v>
      </c>
      <c r="BK78" s="136">
        <v>0</v>
      </c>
      <c r="BL78" s="136">
        <v>0</v>
      </c>
      <c r="BM78" s="136">
        <v>0</v>
      </c>
      <c r="BN78" s="136">
        <v>0</v>
      </c>
      <c r="BO78" s="136">
        <v>0</v>
      </c>
      <c r="BP78" s="136">
        <v>0</v>
      </c>
      <c r="BQ78" s="136">
        <v>0</v>
      </c>
      <c r="BR78" s="136">
        <v>0</v>
      </c>
      <c r="BS78" s="136">
        <v>0</v>
      </c>
      <c r="BT78" s="136">
        <v>0</v>
      </c>
      <c r="BU78" s="136">
        <v>0</v>
      </c>
      <c r="BV78" s="136">
        <v>0</v>
      </c>
      <c r="BW78" s="136">
        <v>0</v>
      </c>
      <c r="BX78" s="136">
        <v>0</v>
      </c>
      <c r="BY78" s="136">
        <v>0</v>
      </c>
      <c r="BZ78" s="136">
        <v>0</v>
      </c>
      <c r="CA78" s="136">
        <v>0</v>
      </c>
      <c r="CB78" s="136">
        <v>0</v>
      </c>
      <c r="CC78" s="136">
        <v>0</v>
      </c>
      <c r="CD78" s="136">
        <v>0</v>
      </c>
      <c r="CE78" s="136">
        <v>0</v>
      </c>
      <c r="CF78" s="136">
        <v>0</v>
      </c>
      <c r="CG78" s="136">
        <v>0</v>
      </c>
      <c r="CH78" s="136">
        <v>0</v>
      </c>
      <c r="CI78" s="136">
        <v>0</v>
      </c>
      <c r="CJ78" s="136">
        <v>0</v>
      </c>
      <c r="CK78" s="136">
        <v>0</v>
      </c>
      <c r="CL78" s="136">
        <v>0</v>
      </c>
      <c r="CM78" s="136">
        <v>0</v>
      </c>
      <c r="CN78" s="136">
        <v>0</v>
      </c>
      <c r="CO78" s="136">
        <v>0</v>
      </c>
      <c r="CP78" s="136">
        <v>0</v>
      </c>
      <c r="CQ78" s="136">
        <v>0</v>
      </c>
      <c r="CR78" s="136">
        <v>0</v>
      </c>
      <c r="CS78" s="136">
        <v>0</v>
      </c>
      <c r="CT78" s="136">
        <v>0</v>
      </c>
      <c r="CU78" s="136">
        <v>0</v>
      </c>
      <c r="CV78" s="136">
        <v>0</v>
      </c>
      <c r="CW78" s="136">
        <v>0</v>
      </c>
      <c r="CX78" s="136">
        <v>0</v>
      </c>
      <c r="CY78" s="136">
        <v>0</v>
      </c>
      <c r="CZ78" s="136">
        <v>0</v>
      </c>
      <c r="DA78" s="136"/>
      <c r="DB78" s="136"/>
      <c r="DC78" s="136"/>
      <c r="DD78" s="136"/>
      <c r="DE78" s="136"/>
      <c r="DF78" s="136"/>
      <c r="DG78" s="136">
        <v>0</v>
      </c>
      <c r="DH78" s="136">
        <v>0</v>
      </c>
      <c r="DI78" s="136">
        <v>0</v>
      </c>
      <c r="DJ78" s="136">
        <v>0</v>
      </c>
      <c r="DK78" s="136">
        <v>0</v>
      </c>
      <c r="DL78" s="136">
        <v>0</v>
      </c>
      <c r="DM78" s="136"/>
      <c r="DN78" s="136"/>
      <c r="DO78" s="136"/>
      <c r="DP78" s="136"/>
      <c r="DQ78" s="136"/>
      <c r="DR78" s="136"/>
      <c r="DS78" s="136">
        <v>36464483</v>
      </c>
      <c r="DT78" s="136">
        <v>4987601</v>
      </c>
      <c r="DU78" s="136">
        <v>1149064</v>
      </c>
      <c r="DV78" s="136">
        <v>2162902</v>
      </c>
      <c r="DW78" s="136">
        <v>723923</v>
      </c>
      <c r="DX78" s="136">
        <v>3727363</v>
      </c>
      <c r="DY78" s="136"/>
      <c r="DZ78" s="136"/>
      <c r="EA78" s="136"/>
      <c r="EB78" s="136"/>
      <c r="EC78" s="136"/>
      <c r="ED78" s="136"/>
      <c r="EE78" s="136">
        <v>36831838</v>
      </c>
      <c r="EF78" s="136">
        <v>588989</v>
      </c>
      <c r="EG78" s="136">
        <v>12920434</v>
      </c>
      <c r="EH78" s="136">
        <v>3981457</v>
      </c>
      <c r="EI78" s="136">
        <v>5848657</v>
      </c>
      <c r="EJ78" s="136">
        <v>9757683</v>
      </c>
      <c r="EK78" s="136">
        <v>21009364</v>
      </c>
      <c r="EL78" s="136">
        <v>0</v>
      </c>
      <c r="EM78" s="136">
        <v>323652</v>
      </c>
      <c r="EN78" s="136">
        <v>399389</v>
      </c>
      <c r="EO78" s="136">
        <v>585108</v>
      </c>
      <c r="EP78" s="136">
        <v>675518</v>
      </c>
      <c r="EQ78" s="136"/>
      <c r="ER78" s="136"/>
      <c r="ES78" s="136"/>
      <c r="ET78" s="136"/>
      <c r="EU78" s="136"/>
      <c r="EV78" s="136"/>
      <c r="EW78" s="136">
        <v>12483424</v>
      </c>
      <c r="EX78" s="136">
        <v>0</v>
      </c>
      <c r="EY78" s="136">
        <v>3983815</v>
      </c>
      <c r="EZ78" s="136">
        <v>7205463</v>
      </c>
      <c r="FA78" s="136">
        <v>534129</v>
      </c>
      <c r="FB78" s="136">
        <v>4607678</v>
      </c>
      <c r="FC78" s="136"/>
      <c r="FD78" s="136"/>
      <c r="FE78" s="136"/>
      <c r="FF78" s="136"/>
      <c r="FG78" s="136"/>
      <c r="FH78" s="136"/>
      <c r="FI78" s="136">
        <v>22377511</v>
      </c>
      <c r="FJ78" s="136">
        <v>0</v>
      </c>
      <c r="FK78" s="136">
        <v>302517</v>
      </c>
      <c r="FL78" s="136">
        <v>0</v>
      </c>
      <c r="FM78" s="136">
        <v>366493</v>
      </c>
      <c r="FN78" s="136">
        <v>1546113</v>
      </c>
      <c r="FO78" s="136"/>
      <c r="FP78" s="136"/>
      <c r="FQ78" s="136"/>
      <c r="FR78" s="136"/>
      <c r="FS78" s="136"/>
      <c r="FT78" s="136"/>
      <c r="FU78" s="136"/>
      <c r="FV78" s="136"/>
      <c r="FW78" s="136"/>
      <c r="FX78" s="136"/>
      <c r="FY78" s="136"/>
      <c r="FZ78" s="136"/>
      <c r="GA78" s="136"/>
      <c r="GB78" s="136"/>
      <c r="GC78" s="136"/>
      <c r="GD78" s="136"/>
      <c r="GE78" s="136"/>
      <c r="GF78" s="136"/>
      <c r="GG78" s="136">
        <v>3826262</v>
      </c>
      <c r="GH78" s="136">
        <v>0</v>
      </c>
      <c r="GI78" s="136">
        <v>578968</v>
      </c>
      <c r="GJ78" s="136">
        <v>0</v>
      </c>
      <c r="GK78" s="136">
        <v>0</v>
      </c>
      <c r="GL78" s="136">
        <v>194864</v>
      </c>
      <c r="GM78" s="136">
        <v>0</v>
      </c>
      <c r="GN78" s="136">
        <v>0</v>
      </c>
      <c r="GO78" s="136">
        <v>0</v>
      </c>
      <c r="GP78" s="136">
        <v>0</v>
      </c>
      <c r="GQ78" s="136">
        <v>0</v>
      </c>
      <c r="GR78" s="136">
        <v>0</v>
      </c>
      <c r="GS78" s="136">
        <v>218029582</v>
      </c>
      <c r="GT78" s="136">
        <v>215231518</v>
      </c>
      <c r="GU78" s="136">
        <v>1293813453</v>
      </c>
      <c r="GV78" s="35" t="s">
        <v>429</v>
      </c>
      <c r="GW78" s="137">
        <v>2105626268</v>
      </c>
      <c r="GX78" s="35" t="s">
        <v>430</v>
      </c>
      <c r="GY78" s="136">
        <v>199544008</v>
      </c>
      <c r="GZ78" s="136" t="s">
        <v>439</v>
      </c>
      <c r="HA78" s="136" t="s">
        <v>439</v>
      </c>
      <c r="HB78" s="136" t="s">
        <v>439</v>
      </c>
      <c r="HC78" s="136" t="s">
        <v>439</v>
      </c>
      <c r="HD78" s="136" t="s">
        <v>439</v>
      </c>
      <c r="HE78" s="136" t="s">
        <v>439</v>
      </c>
      <c r="HF78" s="136" t="s">
        <v>439</v>
      </c>
      <c r="HG78" s="136" t="s">
        <v>439</v>
      </c>
      <c r="HH78" s="136" t="s">
        <v>439</v>
      </c>
      <c r="HI78" s="35" t="s">
        <v>439</v>
      </c>
      <c r="HJ78" s="35" t="s">
        <v>439</v>
      </c>
      <c r="HK78" s="35" t="s">
        <v>439</v>
      </c>
      <c r="HL78"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144827953</v>
      </c>
      <c r="HM78"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24410243</v>
      </c>
      <c r="HN78"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13633623</v>
      </c>
      <c r="HO78"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39023732</v>
      </c>
      <c r="HP78"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17148212</v>
      </c>
      <c r="HQ78"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21957028</v>
      </c>
      <c r="HR78"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199544008</v>
      </c>
    </row>
    <row r="79" spans="1:226">
      <c r="A79" s="35" t="s">
        <v>390</v>
      </c>
      <c r="B79" s="37" t="s">
        <v>384</v>
      </c>
      <c r="C79" s="37">
        <v>440</v>
      </c>
      <c r="D79" s="37" t="s">
        <v>835</v>
      </c>
      <c r="E79" s="103">
        <v>42439</v>
      </c>
      <c r="F79" s="136">
        <v>2607786</v>
      </c>
      <c r="G79" s="136">
        <v>0</v>
      </c>
      <c r="H79" s="136">
        <v>24266189</v>
      </c>
      <c r="I79" s="136">
        <v>3329733</v>
      </c>
      <c r="J79" s="136">
        <v>687200</v>
      </c>
      <c r="K79" s="136">
        <v>0</v>
      </c>
      <c r="L79" s="136">
        <v>0</v>
      </c>
      <c r="M79" s="136">
        <v>2534227</v>
      </c>
      <c r="N79" s="136">
        <v>713939</v>
      </c>
      <c r="O79" s="136">
        <v>1210264</v>
      </c>
      <c r="P79" s="136">
        <v>0</v>
      </c>
      <c r="Q79" s="136">
        <v>0</v>
      </c>
      <c r="R79" s="136">
        <v>0</v>
      </c>
      <c r="S79" s="136">
        <v>0</v>
      </c>
      <c r="T79" s="136">
        <v>0</v>
      </c>
      <c r="U79" s="136">
        <v>0</v>
      </c>
      <c r="V79" s="136">
        <v>0</v>
      </c>
      <c r="W79" s="136">
        <v>0</v>
      </c>
      <c r="X79" s="136">
        <v>0</v>
      </c>
      <c r="Y79" s="136">
        <v>0</v>
      </c>
      <c r="Z79" s="136">
        <v>0</v>
      </c>
      <c r="AA79" s="136">
        <v>0</v>
      </c>
      <c r="AB79" s="136">
        <v>0</v>
      </c>
      <c r="AC79" s="136">
        <v>0</v>
      </c>
      <c r="AD79" s="136">
        <v>0</v>
      </c>
      <c r="AE79" s="136">
        <v>0</v>
      </c>
      <c r="AF79" s="136">
        <v>0</v>
      </c>
      <c r="AG79" s="136">
        <v>0</v>
      </c>
      <c r="AH79" s="136">
        <v>0</v>
      </c>
      <c r="AI79" s="136">
        <v>0</v>
      </c>
      <c r="AJ79" s="136">
        <v>0</v>
      </c>
      <c r="AK79" s="136">
        <v>0</v>
      </c>
      <c r="AL79" s="136">
        <v>0</v>
      </c>
      <c r="AM79" s="136">
        <v>0</v>
      </c>
      <c r="AN79" s="136">
        <v>0</v>
      </c>
      <c r="AO79" s="136">
        <v>0</v>
      </c>
      <c r="AP79" s="136">
        <v>0</v>
      </c>
      <c r="AQ79" s="136">
        <v>0</v>
      </c>
      <c r="AR79" s="136">
        <v>0</v>
      </c>
      <c r="AS79" s="136">
        <v>0</v>
      </c>
      <c r="AT79" s="136">
        <v>0</v>
      </c>
      <c r="AU79" s="136">
        <v>0</v>
      </c>
      <c r="AV79" s="136">
        <v>0</v>
      </c>
      <c r="AW79" s="136">
        <v>0</v>
      </c>
      <c r="AX79" s="136">
        <v>0</v>
      </c>
      <c r="AY79" s="136">
        <v>11344529</v>
      </c>
      <c r="AZ79" s="136">
        <v>1660635</v>
      </c>
      <c r="BA79" s="136">
        <v>8628081</v>
      </c>
      <c r="BB79" s="136">
        <v>-201256</v>
      </c>
      <c r="BC79" s="136">
        <v>172451</v>
      </c>
      <c r="BD79" s="136">
        <v>5468418</v>
      </c>
      <c r="BE79" s="136">
        <v>0</v>
      </c>
      <c r="BF79" s="136">
        <v>0</v>
      </c>
      <c r="BG79" s="136">
        <v>0</v>
      </c>
      <c r="BH79" s="136">
        <v>0</v>
      </c>
      <c r="BI79" s="136">
        <v>0</v>
      </c>
      <c r="BJ79" s="136">
        <v>0</v>
      </c>
      <c r="BK79" s="136">
        <v>0</v>
      </c>
      <c r="BL79" s="136">
        <v>0</v>
      </c>
      <c r="BM79" s="136">
        <v>0</v>
      </c>
      <c r="BN79" s="136">
        <v>0</v>
      </c>
      <c r="BO79" s="136">
        <v>0</v>
      </c>
      <c r="BP79" s="136">
        <v>0</v>
      </c>
      <c r="BQ79" s="136">
        <v>0</v>
      </c>
      <c r="BR79" s="136">
        <v>0</v>
      </c>
      <c r="BS79" s="136">
        <v>0</v>
      </c>
      <c r="BT79" s="136">
        <v>0</v>
      </c>
      <c r="BU79" s="136">
        <v>0</v>
      </c>
      <c r="BV79" s="136">
        <v>0</v>
      </c>
      <c r="BW79" s="136">
        <v>0</v>
      </c>
      <c r="BX79" s="136">
        <v>0</v>
      </c>
      <c r="BY79" s="136">
        <v>0</v>
      </c>
      <c r="BZ79" s="136">
        <v>0</v>
      </c>
      <c r="CA79" s="136">
        <v>0</v>
      </c>
      <c r="CB79" s="136">
        <v>0</v>
      </c>
      <c r="CC79" s="136">
        <v>0</v>
      </c>
      <c r="CD79" s="136">
        <v>0</v>
      </c>
      <c r="CE79" s="136">
        <v>0</v>
      </c>
      <c r="CF79" s="136">
        <v>0</v>
      </c>
      <c r="CG79" s="136">
        <v>0</v>
      </c>
      <c r="CH79" s="136">
        <v>0</v>
      </c>
      <c r="CI79" s="136">
        <v>0</v>
      </c>
      <c r="CJ79" s="136">
        <v>0</v>
      </c>
      <c r="CK79" s="136">
        <v>0</v>
      </c>
      <c r="CL79" s="136">
        <v>0</v>
      </c>
      <c r="CM79" s="136">
        <v>0</v>
      </c>
      <c r="CN79" s="136">
        <v>0</v>
      </c>
      <c r="CO79" s="136">
        <v>0</v>
      </c>
      <c r="CP79" s="136">
        <v>0</v>
      </c>
      <c r="CQ79" s="136">
        <v>0</v>
      </c>
      <c r="CR79" s="136">
        <v>0</v>
      </c>
      <c r="CS79" s="136">
        <v>0</v>
      </c>
      <c r="CT79" s="136">
        <v>0</v>
      </c>
      <c r="CU79" s="136">
        <v>0</v>
      </c>
      <c r="CV79" s="136">
        <v>0</v>
      </c>
      <c r="CW79" s="136">
        <v>0</v>
      </c>
      <c r="CX79" s="136">
        <v>0</v>
      </c>
      <c r="CY79" s="136">
        <v>0</v>
      </c>
      <c r="CZ79" s="136">
        <v>0</v>
      </c>
      <c r="DA79" s="136"/>
      <c r="DB79" s="136"/>
      <c r="DC79" s="136"/>
      <c r="DD79" s="136"/>
      <c r="DE79" s="136"/>
      <c r="DF79" s="136"/>
      <c r="DG79" s="136">
        <v>0</v>
      </c>
      <c r="DH79" s="136">
        <v>0</v>
      </c>
      <c r="DI79" s="136">
        <v>0</v>
      </c>
      <c r="DJ79" s="136">
        <v>0</v>
      </c>
      <c r="DK79" s="136">
        <v>0</v>
      </c>
      <c r="DL79" s="136">
        <v>0</v>
      </c>
      <c r="DM79" s="136"/>
      <c r="DN79" s="136"/>
      <c r="DO79" s="136"/>
      <c r="DP79" s="136"/>
      <c r="DQ79" s="136"/>
      <c r="DR79" s="136"/>
      <c r="DS79" s="136">
        <v>0</v>
      </c>
      <c r="DT79" s="136">
        <v>0</v>
      </c>
      <c r="DU79" s="136">
        <v>0</v>
      </c>
      <c r="DV79" s="136">
        <v>0</v>
      </c>
      <c r="DW79" s="136">
        <v>0</v>
      </c>
      <c r="DX79" s="136">
        <v>0</v>
      </c>
      <c r="DY79" s="136"/>
      <c r="DZ79" s="136"/>
      <c r="EA79" s="136"/>
      <c r="EB79" s="136"/>
      <c r="EC79" s="136"/>
      <c r="ED79" s="136"/>
      <c r="EE79" s="136">
        <v>0</v>
      </c>
      <c r="EF79" s="136">
        <v>0</v>
      </c>
      <c r="EG79" s="136">
        <v>0</v>
      </c>
      <c r="EH79" s="136">
        <v>0</v>
      </c>
      <c r="EI79" s="136">
        <v>0</v>
      </c>
      <c r="EJ79" s="136">
        <v>0</v>
      </c>
      <c r="EK79" s="136">
        <v>0</v>
      </c>
      <c r="EL79" s="136">
        <v>0</v>
      </c>
      <c r="EM79" s="136">
        <v>0</v>
      </c>
      <c r="EN79" s="136">
        <v>0</v>
      </c>
      <c r="EO79" s="136">
        <v>0</v>
      </c>
      <c r="EP79" s="136">
        <v>0</v>
      </c>
      <c r="EQ79" s="136"/>
      <c r="ER79" s="136"/>
      <c r="ES79" s="136"/>
      <c r="ET79" s="136"/>
      <c r="EU79" s="136"/>
      <c r="EV79" s="136"/>
      <c r="EW79" s="136">
        <v>0</v>
      </c>
      <c r="EX79" s="136">
        <v>0</v>
      </c>
      <c r="EY79" s="136">
        <v>0</v>
      </c>
      <c r="EZ79" s="136">
        <v>0</v>
      </c>
      <c r="FA79" s="136">
        <v>0</v>
      </c>
      <c r="FB79" s="136">
        <v>0</v>
      </c>
      <c r="FC79" s="136"/>
      <c r="FD79" s="136"/>
      <c r="FE79" s="136"/>
      <c r="FF79" s="136"/>
      <c r="FG79" s="136"/>
      <c r="FH79" s="136"/>
      <c r="FI79" s="136">
        <v>0</v>
      </c>
      <c r="FJ79" s="136">
        <v>0</v>
      </c>
      <c r="FK79" s="136">
        <v>0</v>
      </c>
      <c r="FL79" s="136">
        <v>0</v>
      </c>
      <c r="FM79" s="136">
        <v>0</v>
      </c>
      <c r="FN79" s="136">
        <v>0</v>
      </c>
      <c r="FO79" s="136"/>
      <c r="FP79" s="136"/>
      <c r="FQ79" s="136"/>
      <c r="FR79" s="136"/>
      <c r="FS79" s="136"/>
      <c r="FT79" s="136"/>
      <c r="FU79" s="136"/>
      <c r="FV79" s="136"/>
      <c r="FW79" s="136"/>
      <c r="FX79" s="136"/>
      <c r="FY79" s="136"/>
      <c r="FZ79" s="136"/>
      <c r="GA79" s="136"/>
      <c r="GB79" s="136"/>
      <c r="GC79" s="136"/>
      <c r="GD79" s="136"/>
      <c r="GE79" s="136"/>
      <c r="GF79" s="136"/>
      <c r="GG79" s="136">
        <v>0</v>
      </c>
      <c r="GH79" s="136">
        <v>0</v>
      </c>
      <c r="GI79" s="136">
        <v>0</v>
      </c>
      <c r="GJ79" s="136">
        <v>0</v>
      </c>
      <c r="GK79" s="136">
        <v>0</v>
      </c>
      <c r="GL79" s="136">
        <v>0</v>
      </c>
      <c r="GM79" s="136">
        <v>0</v>
      </c>
      <c r="GN79" s="136">
        <v>0</v>
      </c>
      <c r="GO79" s="136">
        <v>0</v>
      </c>
      <c r="GP79" s="136">
        <v>0</v>
      </c>
      <c r="GQ79" s="136">
        <v>0</v>
      </c>
      <c r="GR79" s="136">
        <v>0</v>
      </c>
      <c r="GS79" s="136">
        <v>73171604</v>
      </c>
      <c r="GT79" s="136">
        <v>24953389</v>
      </c>
      <c r="GU79" s="136">
        <v>183059986</v>
      </c>
      <c r="GW79" s="137"/>
      <c r="GY79" s="136">
        <v>26873975</v>
      </c>
      <c r="GZ79" s="136" t="s">
        <v>439</v>
      </c>
      <c r="HA79" s="136" t="s">
        <v>439</v>
      </c>
      <c r="HB79" s="136" t="s">
        <v>439</v>
      </c>
      <c r="HC79" s="136" t="s">
        <v>439</v>
      </c>
      <c r="HD79" s="136" t="s">
        <v>439</v>
      </c>
      <c r="HE79" s="136" t="s">
        <v>439</v>
      </c>
      <c r="HF79" s="136" t="s">
        <v>439</v>
      </c>
      <c r="HG79" s="136" t="s">
        <v>439</v>
      </c>
      <c r="HH79" s="136" t="s">
        <v>439</v>
      </c>
      <c r="HI79" s="35" t="s">
        <v>439</v>
      </c>
      <c r="HJ79" s="35" t="s">
        <v>439</v>
      </c>
      <c r="HK79" s="35" t="s">
        <v>439</v>
      </c>
      <c r="HL79"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12554793</v>
      </c>
      <c r="HM79"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1660635</v>
      </c>
      <c r="HN79"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8628081</v>
      </c>
      <c r="HO79"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-201256</v>
      </c>
      <c r="HP79"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172451</v>
      </c>
      <c r="HQ79"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5468418</v>
      </c>
      <c r="HR79"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26873975</v>
      </c>
    </row>
    <row r="80" spans="1:226">
      <c r="A80" s="35" t="s">
        <v>389</v>
      </c>
      <c r="B80" s="37" t="s">
        <v>384</v>
      </c>
      <c r="C80" s="37">
        <v>430</v>
      </c>
      <c r="D80" s="37" t="s">
        <v>835</v>
      </c>
      <c r="E80" s="103">
        <v>25554</v>
      </c>
      <c r="F80" s="136">
        <v>19500205</v>
      </c>
      <c r="G80" s="136">
        <v>0</v>
      </c>
      <c r="H80" s="136">
        <v>988118575</v>
      </c>
      <c r="I80" s="136">
        <v>138648772</v>
      </c>
      <c r="J80" s="136">
        <v>33963424</v>
      </c>
      <c r="K80" s="136">
        <v>0</v>
      </c>
      <c r="L80" s="136">
        <v>0</v>
      </c>
      <c r="M80" s="136">
        <v>41326349</v>
      </c>
      <c r="N80" s="136">
        <v>22902702</v>
      </c>
      <c r="O80" s="136">
        <v>0</v>
      </c>
      <c r="P80" s="136">
        <v>0</v>
      </c>
      <c r="Q80" s="136">
        <v>0</v>
      </c>
      <c r="R80" s="136">
        <v>0</v>
      </c>
      <c r="S80" s="136">
        <v>0</v>
      </c>
      <c r="T80" s="136">
        <v>0</v>
      </c>
      <c r="U80" s="136">
        <v>83012896</v>
      </c>
      <c r="V80" s="136">
        <v>52613376</v>
      </c>
      <c r="W80" s="136">
        <v>16018428</v>
      </c>
      <c r="X80" s="136">
        <v>74998551</v>
      </c>
      <c r="Y80" s="136">
        <v>30583790</v>
      </c>
      <c r="Z80" s="136">
        <v>73696196</v>
      </c>
      <c r="AA80" s="136">
        <v>0</v>
      </c>
      <c r="AB80" s="136">
        <v>0</v>
      </c>
      <c r="AC80" s="136">
        <v>0</v>
      </c>
      <c r="AD80" s="136">
        <v>0</v>
      </c>
      <c r="AE80" s="136">
        <v>0</v>
      </c>
      <c r="AF80" s="136">
        <v>0</v>
      </c>
      <c r="AG80" s="136">
        <v>0</v>
      </c>
      <c r="AH80" s="136">
        <v>0</v>
      </c>
      <c r="AI80" s="136">
        <v>0</v>
      </c>
      <c r="AJ80" s="136">
        <v>0</v>
      </c>
      <c r="AK80" s="136">
        <v>0</v>
      </c>
      <c r="AL80" s="136">
        <v>0</v>
      </c>
      <c r="AM80" s="136">
        <v>0</v>
      </c>
      <c r="AN80" s="136">
        <v>0</v>
      </c>
      <c r="AO80" s="136">
        <v>0</v>
      </c>
      <c r="AP80" s="136">
        <v>0</v>
      </c>
      <c r="AQ80" s="136">
        <v>0</v>
      </c>
      <c r="AR80" s="136">
        <v>0</v>
      </c>
      <c r="AS80" s="136">
        <v>11291800</v>
      </c>
      <c r="AT80" s="136">
        <v>8603769</v>
      </c>
      <c r="AU80" s="136">
        <v>186145</v>
      </c>
      <c r="AV80" s="136">
        <v>1837751</v>
      </c>
      <c r="AW80" s="136">
        <v>94238</v>
      </c>
      <c r="AX80" s="136">
        <v>420611</v>
      </c>
      <c r="AY80" s="136">
        <v>138884415</v>
      </c>
      <c r="AZ80" s="136">
        <v>188222411</v>
      </c>
      <c r="BA80" s="136">
        <v>21995692</v>
      </c>
      <c r="BB80" s="136">
        <v>74775879</v>
      </c>
      <c r="BC80" s="136">
        <v>216753636</v>
      </c>
      <c r="BD80" s="136">
        <v>110297071</v>
      </c>
      <c r="BE80" s="136">
        <v>11722777</v>
      </c>
      <c r="BF80" s="136">
        <v>2435312</v>
      </c>
      <c r="BG80" s="136">
        <v>811285</v>
      </c>
      <c r="BH80" s="136">
        <v>4529831</v>
      </c>
      <c r="BI80" s="136">
        <v>707671</v>
      </c>
      <c r="BJ80" s="136">
        <v>904953</v>
      </c>
      <c r="BK80" s="136">
        <v>4864901</v>
      </c>
      <c r="BL80" s="136">
        <v>2882904</v>
      </c>
      <c r="BM80" s="136">
        <v>926653</v>
      </c>
      <c r="BN80" s="136">
        <v>5210196</v>
      </c>
      <c r="BO80" s="136">
        <v>14915</v>
      </c>
      <c r="BP80" s="136">
        <v>1419412</v>
      </c>
      <c r="BQ80" s="136">
        <v>5582518</v>
      </c>
      <c r="BR80" s="136">
        <v>4513393</v>
      </c>
      <c r="BS80" s="136">
        <v>861548</v>
      </c>
      <c r="BT80" s="136">
        <v>5495551</v>
      </c>
      <c r="BU80" s="136">
        <v>107052</v>
      </c>
      <c r="BV80" s="136">
        <v>3453244</v>
      </c>
      <c r="BW80" s="136">
        <v>0</v>
      </c>
      <c r="BX80" s="136">
        <v>0</v>
      </c>
      <c r="BY80" s="136">
        <v>0</v>
      </c>
      <c r="BZ80" s="136">
        <v>0</v>
      </c>
      <c r="CA80" s="136">
        <v>0</v>
      </c>
      <c r="CB80" s="136">
        <v>0</v>
      </c>
      <c r="CC80" s="136">
        <v>0</v>
      </c>
      <c r="CD80" s="136">
        <v>0</v>
      </c>
      <c r="CE80" s="136">
        <v>0</v>
      </c>
      <c r="CF80" s="136">
        <v>0</v>
      </c>
      <c r="CG80" s="136">
        <v>0</v>
      </c>
      <c r="CH80" s="136">
        <v>0</v>
      </c>
      <c r="CI80" s="136">
        <v>0</v>
      </c>
      <c r="CJ80" s="136">
        <v>0</v>
      </c>
      <c r="CK80" s="136">
        <v>0</v>
      </c>
      <c r="CL80" s="136">
        <v>0</v>
      </c>
      <c r="CM80" s="136">
        <v>0</v>
      </c>
      <c r="CN80" s="136">
        <v>0</v>
      </c>
      <c r="CO80" s="136">
        <v>0</v>
      </c>
      <c r="CP80" s="136">
        <v>0</v>
      </c>
      <c r="CQ80" s="136">
        <v>0</v>
      </c>
      <c r="CR80" s="136">
        <v>0</v>
      </c>
      <c r="CS80" s="136">
        <v>0</v>
      </c>
      <c r="CT80" s="136">
        <v>0</v>
      </c>
      <c r="CU80" s="136">
        <v>0</v>
      </c>
      <c r="CV80" s="136">
        <v>0</v>
      </c>
      <c r="CW80" s="136">
        <v>0</v>
      </c>
      <c r="CX80" s="136">
        <v>0</v>
      </c>
      <c r="CY80" s="136">
        <v>0</v>
      </c>
      <c r="CZ80" s="136">
        <v>0</v>
      </c>
      <c r="DA80" s="136"/>
      <c r="DB80" s="136"/>
      <c r="DC80" s="136"/>
      <c r="DD80" s="136"/>
      <c r="DE80" s="136"/>
      <c r="DF80" s="136"/>
      <c r="DG80" s="136">
        <v>0</v>
      </c>
      <c r="DH80" s="136">
        <v>0</v>
      </c>
      <c r="DI80" s="136">
        <v>0</v>
      </c>
      <c r="DJ80" s="136">
        <v>0</v>
      </c>
      <c r="DK80" s="136">
        <v>0</v>
      </c>
      <c r="DL80" s="136">
        <v>0</v>
      </c>
      <c r="DM80" s="136"/>
      <c r="DN80" s="136"/>
      <c r="DO80" s="136"/>
      <c r="DP80" s="136"/>
      <c r="DQ80" s="136"/>
      <c r="DR80" s="136"/>
      <c r="DS80" s="136">
        <v>0</v>
      </c>
      <c r="DT80" s="136">
        <v>0</v>
      </c>
      <c r="DU80" s="136">
        <v>0</v>
      </c>
      <c r="DV80" s="136">
        <v>0</v>
      </c>
      <c r="DW80" s="136">
        <v>0</v>
      </c>
      <c r="DX80" s="136">
        <v>0</v>
      </c>
      <c r="DY80" s="136"/>
      <c r="DZ80" s="136"/>
      <c r="EA80" s="136"/>
      <c r="EB80" s="136"/>
      <c r="EC80" s="136"/>
      <c r="ED80" s="136"/>
      <c r="EE80" s="136">
        <v>253207502</v>
      </c>
      <c r="EF80" s="136">
        <v>259271166</v>
      </c>
      <c r="EG80" s="136">
        <v>40466547</v>
      </c>
      <c r="EH80" s="136">
        <v>171436414</v>
      </c>
      <c r="EI80" s="136">
        <v>243623453</v>
      </c>
      <c r="EJ80" s="136">
        <v>189712579</v>
      </c>
      <c r="EK80" s="136">
        <v>0</v>
      </c>
      <c r="EL80" s="136">
        <v>0</v>
      </c>
      <c r="EM80" s="136">
        <v>0</v>
      </c>
      <c r="EN80" s="136">
        <v>0</v>
      </c>
      <c r="EO80" s="136">
        <v>0</v>
      </c>
      <c r="EP80" s="136">
        <v>0</v>
      </c>
      <c r="EQ80" s="136"/>
      <c r="ER80" s="136"/>
      <c r="ES80" s="136"/>
      <c r="ET80" s="136"/>
      <c r="EU80" s="136"/>
      <c r="EV80" s="136"/>
      <c r="EW80" s="136">
        <v>0</v>
      </c>
      <c r="EX80" s="136">
        <v>0</v>
      </c>
      <c r="EY80" s="136">
        <v>0</v>
      </c>
      <c r="EZ80" s="136">
        <v>0</v>
      </c>
      <c r="FA80" s="136">
        <v>0</v>
      </c>
      <c r="FB80" s="136">
        <v>0</v>
      </c>
      <c r="FC80" s="136"/>
      <c r="FD80" s="136"/>
      <c r="FE80" s="136"/>
      <c r="FF80" s="136"/>
      <c r="FG80" s="136"/>
      <c r="FH80" s="136"/>
      <c r="FI80" s="136">
        <v>0</v>
      </c>
      <c r="FJ80" s="136">
        <v>0</v>
      </c>
      <c r="FK80" s="136">
        <v>0</v>
      </c>
      <c r="FL80" s="136">
        <v>0</v>
      </c>
      <c r="FM80" s="136">
        <v>0</v>
      </c>
      <c r="FN80" s="136">
        <v>0</v>
      </c>
      <c r="FO80" s="136"/>
      <c r="FP80" s="136"/>
      <c r="FQ80" s="136"/>
      <c r="FR80" s="136"/>
      <c r="FS80" s="136"/>
      <c r="FT80" s="136"/>
      <c r="FU80" s="136"/>
      <c r="FV80" s="136"/>
      <c r="FW80" s="136"/>
      <c r="FX80" s="136"/>
      <c r="FY80" s="136"/>
      <c r="FZ80" s="136"/>
      <c r="GA80" s="136"/>
      <c r="GB80" s="136"/>
      <c r="GC80" s="136"/>
      <c r="GD80" s="136"/>
      <c r="GE80" s="136"/>
      <c r="GF80" s="136"/>
      <c r="GG80" s="136">
        <v>1032453</v>
      </c>
      <c r="GH80" s="136">
        <v>0</v>
      </c>
      <c r="GI80" s="136">
        <v>333203</v>
      </c>
      <c r="GJ80" s="136">
        <v>0</v>
      </c>
      <c r="GK80" s="136">
        <v>239325</v>
      </c>
      <c r="GL80" s="136">
        <v>0</v>
      </c>
      <c r="GM80" s="136">
        <v>1119351</v>
      </c>
      <c r="GN80" s="136">
        <v>0</v>
      </c>
      <c r="GO80" s="136">
        <v>0</v>
      </c>
      <c r="GP80" s="136">
        <v>0</v>
      </c>
      <c r="GQ80" s="136">
        <v>99054</v>
      </c>
      <c r="GR80" s="136">
        <v>189725</v>
      </c>
      <c r="GS80" s="136">
        <v>270433416</v>
      </c>
      <c r="GT80" s="136">
        <v>1036819605</v>
      </c>
      <c r="GU80" s="136">
        <v>838823334</v>
      </c>
      <c r="GV80" s="35" t="s">
        <v>431</v>
      </c>
      <c r="GW80" s="137">
        <v>7137458630</v>
      </c>
      <c r="GX80" s="35" t="s">
        <v>432</v>
      </c>
      <c r="GY80" s="136">
        <v>1007618780</v>
      </c>
      <c r="GZ80" s="136" t="s">
        <v>439</v>
      </c>
      <c r="HA80" s="136" t="s">
        <v>439</v>
      </c>
      <c r="HB80" s="136" t="s">
        <v>439</v>
      </c>
      <c r="HC80" s="136" t="s">
        <v>439</v>
      </c>
      <c r="HD80" s="136" t="s">
        <v>439</v>
      </c>
      <c r="HE80" s="136" t="s">
        <v>439</v>
      </c>
      <c r="HF80" s="136" t="s">
        <v>439</v>
      </c>
      <c r="HG80" s="136" t="s">
        <v>439</v>
      </c>
      <c r="HH80" s="136" t="s">
        <v>439</v>
      </c>
      <c r="HI80" s="35" t="s">
        <v>439</v>
      </c>
      <c r="HJ80" s="35" t="s">
        <v>439</v>
      </c>
      <c r="HK80" s="35" t="s">
        <v>439</v>
      </c>
      <c r="HL80"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255359307</v>
      </c>
      <c r="HM80"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259271165</v>
      </c>
      <c r="HN80"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40799751</v>
      </c>
      <c r="HO80"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166847759</v>
      </c>
      <c r="HP80"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248261302</v>
      </c>
      <c r="HQ80"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190191487</v>
      </c>
      <c r="HR80"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1007618780</v>
      </c>
    </row>
    <row r="81" spans="1:226">
      <c r="A81" s="35" t="s">
        <v>386</v>
      </c>
      <c r="B81" s="37" t="s">
        <v>384</v>
      </c>
      <c r="C81" s="37">
        <v>400</v>
      </c>
      <c r="D81" s="37" t="s">
        <v>835</v>
      </c>
      <c r="E81" s="103">
        <v>104952</v>
      </c>
      <c r="F81" s="136">
        <v>0</v>
      </c>
      <c r="G81" s="136">
        <v>0</v>
      </c>
      <c r="H81" s="136">
        <v>148305353</v>
      </c>
      <c r="I81" s="136">
        <v>45835211</v>
      </c>
      <c r="J81" s="136">
        <v>7834535</v>
      </c>
      <c r="K81" s="136">
        <v>0</v>
      </c>
      <c r="L81" s="136">
        <v>0</v>
      </c>
      <c r="M81" s="136">
        <v>8069674</v>
      </c>
      <c r="N81" s="136">
        <v>1330079</v>
      </c>
      <c r="O81" s="136">
        <v>0</v>
      </c>
      <c r="P81" s="136">
        <v>0</v>
      </c>
      <c r="Q81" s="136">
        <v>0</v>
      </c>
      <c r="R81" s="136">
        <v>0</v>
      </c>
      <c r="S81" s="136">
        <v>0</v>
      </c>
      <c r="T81" s="136">
        <v>0</v>
      </c>
      <c r="U81" s="136">
        <v>118260170</v>
      </c>
      <c r="V81" s="136">
        <v>199069</v>
      </c>
      <c r="W81" s="136">
        <v>3208654.0000000009</v>
      </c>
      <c r="X81" s="136">
        <v>19765673</v>
      </c>
      <c r="Y81" s="136">
        <v>4891528</v>
      </c>
      <c r="Z81" s="136">
        <v>6329379</v>
      </c>
      <c r="AA81" s="136">
        <v>0</v>
      </c>
      <c r="AB81" s="136">
        <v>0</v>
      </c>
      <c r="AC81" s="136">
        <v>0</v>
      </c>
      <c r="AD81" s="136">
        <v>0</v>
      </c>
      <c r="AE81" s="136">
        <v>0</v>
      </c>
      <c r="AF81" s="136">
        <v>0</v>
      </c>
      <c r="AG81" s="136">
        <v>0</v>
      </c>
      <c r="AH81" s="136">
        <v>0</v>
      </c>
      <c r="AI81" s="136">
        <v>0</v>
      </c>
      <c r="AJ81" s="136">
        <v>0</v>
      </c>
      <c r="AK81" s="136">
        <v>0</v>
      </c>
      <c r="AL81" s="136">
        <v>0</v>
      </c>
      <c r="AM81" s="136">
        <v>0</v>
      </c>
      <c r="AN81" s="136">
        <v>0</v>
      </c>
      <c r="AO81" s="136">
        <v>0</v>
      </c>
      <c r="AP81" s="136">
        <v>0</v>
      </c>
      <c r="AQ81" s="136">
        <v>0</v>
      </c>
      <c r="AR81" s="136">
        <v>0</v>
      </c>
      <c r="AS81" s="136">
        <v>0</v>
      </c>
      <c r="AT81" s="136">
        <v>0</v>
      </c>
      <c r="AU81" s="136">
        <v>0</v>
      </c>
      <c r="AV81" s="136">
        <v>0</v>
      </c>
      <c r="AW81" s="136">
        <v>0</v>
      </c>
      <c r="AX81" s="136">
        <v>0</v>
      </c>
      <c r="AY81" s="136">
        <v>32166249</v>
      </c>
      <c r="AZ81" s="136">
        <v>102266</v>
      </c>
      <c r="BA81" s="136">
        <v>3918684</v>
      </c>
      <c r="BB81" s="136">
        <v>3124178</v>
      </c>
      <c r="BC81" s="136">
        <v>1246054</v>
      </c>
      <c r="BD81" s="136">
        <v>3618906</v>
      </c>
      <c r="BE81" s="136">
        <v>0</v>
      </c>
      <c r="BF81" s="136">
        <v>0</v>
      </c>
      <c r="BG81" s="136">
        <v>0</v>
      </c>
      <c r="BH81" s="136">
        <v>0</v>
      </c>
      <c r="BI81" s="136">
        <v>0</v>
      </c>
      <c r="BJ81" s="136">
        <v>0</v>
      </c>
      <c r="BK81" s="136">
        <v>0</v>
      </c>
      <c r="BL81" s="136">
        <v>0</v>
      </c>
      <c r="BM81" s="136">
        <v>0</v>
      </c>
      <c r="BN81" s="136">
        <v>0</v>
      </c>
      <c r="BO81" s="136">
        <v>0</v>
      </c>
      <c r="BP81" s="136">
        <v>0</v>
      </c>
      <c r="BQ81" s="136">
        <v>0</v>
      </c>
      <c r="BR81" s="136">
        <v>0</v>
      </c>
      <c r="BS81" s="136">
        <v>0</v>
      </c>
      <c r="BT81" s="136">
        <v>0</v>
      </c>
      <c r="BU81" s="136">
        <v>0</v>
      </c>
      <c r="BV81" s="136">
        <v>0</v>
      </c>
      <c r="BW81" s="136">
        <v>507543</v>
      </c>
      <c r="BX81" s="136">
        <v>50076</v>
      </c>
      <c r="BY81" s="136">
        <v>0</v>
      </c>
      <c r="BZ81" s="136">
        <v>4271551</v>
      </c>
      <c r="CA81" s="136">
        <v>0</v>
      </c>
      <c r="CB81" s="136">
        <v>315119</v>
      </c>
      <c r="CC81" s="136">
        <v>0</v>
      </c>
      <c r="CD81" s="136">
        <v>0</v>
      </c>
      <c r="CE81" s="136">
        <v>0</v>
      </c>
      <c r="CF81" s="136">
        <v>0</v>
      </c>
      <c r="CG81" s="136">
        <v>0</v>
      </c>
      <c r="CH81" s="136">
        <v>0</v>
      </c>
      <c r="CI81" s="136">
        <v>0</v>
      </c>
      <c r="CJ81" s="136">
        <v>0</v>
      </c>
      <c r="CK81" s="136">
        <v>0</v>
      </c>
      <c r="CL81" s="136">
        <v>0</v>
      </c>
      <c r="CM81" s="136">
        <v>0</v>
      </c>
      <c r="CN81" s="136">
        <v>0</v>
      </c>
      <c r="CO81" s="136">
        <v>0</v>
      </c>
      <c r="CP81" s="136">
        <v>0</v>
      </c>
      <c r="CQ81" s="136">
        <v>0</v>
      </c>
      <c r="CR81" s="136">
        <v>0</v>
      </c>
      <c r="CS81" s="136">
        <v>0</v>
      </c>
      <c r="CT81" s="136">
        <v>0</v>
      </c>
      <c r="CU81" s="136">
        <v>0</v>
      </c>
      <c r="CV81" s="136">
        <v>0</v>
      </c>
      <c r="CW81" s="136">
        <v>0</v>
      </c>
      <c r="CX81" s="136">
        <v>0</v>
      </c>
      <c r="CY81" s="136">
        <v>0</v>
      </c>
      <c r="CZ81" s="136">
        <v>0</v>
      </c>
      <c r="DA81" s="136"/>
      <c r="DB81" s="136"/>
      <c r="DC81" s="136"/>
      <c r="DD81" s="136"/>
      <c r="DE81" s="136"/>
      <c r="DF81" s="136"/>
      <c r="DG81" s="136">
        <v>0</v>
      </c>
      <c r="DH81" s="136">
        <v>0</v>
      </c>
      <c r="DI81" s="136">
        <v>0</v>
      </c>
      <c r="DJ81" s="136">
        <v>0</v>
      </c>
      <c r="DK81" s="136">
        <v>0</v>
      </c>
      <c r="DL81" s="136">
        <v>0</v>
      </c>
      <c r="DM81" s="136"/>
      <c r="DN81" s="136"/>
      <c r="DO81" s="136"/>
      <c r="DP81" s="136"/>
      <c r="DQ81" s="136"/>
      <c r="DR81" s="136"/>
      <c r="DS81" s="136">
        <v>3953486</v>
      </c>
      <c r="DT81" s="136">
        <v>0</v>
      </c>
      <c r="DU81" s="136">
        <v>0</v>
      </c>
      <c r="DV81" s="136">
        <v>27751</v>
      </c>
      <c r="DW81" s="136">
        <v>36590</v>
      </c>
      <c r="DX81" s="136">
        <v>170987</v>
      </c>
      <c r="DY81" s="136"/>
      <c r="DZ81" s="136"/>
      <c r="EA81" s="136"/>
      <c r="EB81" s="136"/>
      <c r="EC81" s="136"/>
      <c r="ED81" s="136"/>
      <c r="EE81" s="136">
        <v>1305306</v>
      </c>
      <c r="EF81" s="136">
        <v>0</v>
      </c>
      <c r="EG81" s="136">
        <v>1185708</v>
      </c>
      <c r="EH81" s="136">
        <v>0</v>
      </c>
      <c r="EI81" s="136">
        <v>41623</v>
      </c>
      <c r="EJ81" s="136">
        <v>0</v>
      </c>
      <c r="EK81" s="136">
        <v>2350912</v>
      </c>
      <c r="EL81" s="136">
        <v>0</v>
      </c>
      <c r="EM81" s="136">
        <v>0</v>
      </c>
      <c r="EN81" s="136">
        <v>0</v>
      </c>
      <c r="EO81" s="136">
        <v>130846</v>
      </c>
      <c r="EP81" s="136">
        <v>0</v>
      </c>
      <c r="EQ81" s="136"/>
      <c r="ER81" s="136"/>
      <c r="ES81" s="136"/>
      <c r="ET81" s="136"/>
      <c r="EU81" s="136"/>
      <c r="EV81" s="136"/>
      <c r="EW81" s="136">
        <v>2205962</v>
      </c>
      <c r="EX81" s="136">
        <v>0</v>
      </c>
      <c r="EY81" s="136">
        <v>75924</v>
      </c>
      <c r="EZ81" s="136">
        <v>0</v>
      </c>
      <c r="FA81" s="136">
        <v>202499</v>
      </c>
      <c r="FB81" s="136">
        <v>1342</v>
      </c>
      <c r="FC81" s="136"/>
      <c r="FD81" s="136"/>
      <c r="FE81" s="136"/>
      <c r="FF81" s="136"/>
      <c r="FG81" s="136"/>
      <c r="FH81" s="136"/>
      <c r="FI81" s="136">
        <v>2258252</v>
      </c>
      <c r="FJ81" s="136">
        <v>0</v>
      </c>
      <c r="FK81" s="136">
        <v>145677</v>
      </c>
      <c r="FL81" s="136">
        <v>0</v>
      </c>
      <c r="FM81" s="136">
        <v>7101</v>
      </c>
      <c r="FN81" s="136">
        <v>118684</v>
      </c>
      <c r="FO81" s="136"/>
      <c r="FP81" s="136"/>
      <c r="FQ81" s="136"/>
      <c r="FR81" s="136"/>
      <c r="FS81" s="136"/>
      <c r="FT81" s="136"/>
      <c r="FU81" s="136"/>
      <c r="FV81" s="136"/>
      <c r="FW81" s="136"/>
      <c r="FX81" s="136"/>
      <c r="FY81" s="136"/>
      <c r="FZ81" s="136"/>
      <c r="GA81" s="136"/>
      <c r="GB81" s="136"/>
      <c r="GC81" s="136"/>
      <c r="GD81" s="136"/>
      <c r="GE81" s="136"/>
      <c r="GF81" s="136"/>
      <c r="GG81" s="136">
        <v>0</v>
      </c>
      <c r="GH81" s="136">
        <v>0</v>
      </c>
      <c r="GI81" s="136">
        <v>0</v>
      </c>
      <c r="GJ81" s="136">
        <v>0</v>
      </c>
      <c r="GK81" s="136">
        <v>0</v>
      </c>
      <c r="GL81" s="136">
        <v>0</v>
      </c>
      <c r="GM81" s="136">
        <v>0</v>
      </c>
      <c r="GN81" s="136">
        <v>0</v>
      </c>
      <c r="GO81" s="136">
        <v>0</v>
      </c>
      <c r="GP81" s="136">
        <v>0</v>
      </c>
      <c r="GQ81" s="136">
        <v>0</v>
      </c>
      <c r="GR81" s="136">
        <v>0</v>
      </c>
      <c r="GS81" s="136">
        <v>409867061</v>
      </c>
      <c r="GT81" s="136">
        <v>154809808</v>
      </c>
      <c r="GU81" s="136">
        <v>1070827654</v>
      </c>
      <c r="GV81" s="35" t="s">
        <v>425</v>
      </c>
      <c r="GW81" s="137">
        <v>4097727525</v>
      </c>
      <c r="GX81" s="35" t="s">
        <v>426</v>
      </c>
      <c r="GY81" s="136">
        <v>148305353</v>
      </c>
      <c r="GZ81" s="136" t="s">
        <v>439</v>
      </c>
      <c r="HA81" s="136" t="s">
        <v>439</v>
      </c>
      <c r="HB81" s="136" t="s">
        <v>439</v>
      </c>
      <c r="HC81" s="136" t="s">
        <v>439</v>
      </c>
      <c r="HD81" s="136" t="s">
        <v>439</v>
      </c>
      <c r="HE81" s="136" t="s">
        <v>439</v>
      </c>
      <c r="HF81" s="136" t="s">
        <v>439</v>
      </c>
      <c r="HG81" s="136" t="s">
        <v>439</v>
      </c>
      <c r="HH81" s="136" t="s">
        <v>439</v>
      </c>
      <c r="HI81" s="35" t="s">
        <v>439</v>
      </c>
      <c r="HJ81" s="35" t="s">
        <v>439</v>
      </c>
      <c r="HK81" s="35" t="s">
        <v>439</v>
      </c>
      <c r="HL81"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150933962</v>
      </c>
      <c r="HM81"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351411</v>
      </c>
      <c r="HN81"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7127338.0000000009</v>
      </c>
      <c r="HO81"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27161402</v>
      </c>
      <c r="HP81"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6137582</v>
      </c>
      <c r="HQ81"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10263404</v>
      </c>
      <c r="HR81"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148305353</v>
      </c>
    </row>
    <row r="82" spans="1:226">
      <c r="A82" s="35" t="s">
        <v>23</v>
      </c>
      <c r="B82" s="37" t="s">
        <v>19</v>
      </c>
      <c r="C82" s="37">
        <v>100</v>
      </c>
      <c r="D82" s="37" t="s">
        <v>835</v>
      </c>
      <c r="E82" s="103">
        <v>9930</v>
      </c>
      <c r="F82" s="136">
        <v>0</v>
      </c>
      <c r="G82" s="136">
        <v>0</v>
      </c>
      <c r="H82" s="136">
        <v>3339375</v>
      </c>
      <c r="I82" s="136">
        <v>405989</v>
      </c>
      <c r="J82" s="136">
        <v>9765</v>
      </c>
      <c r="K82" s="136">
        <v>0</v>
      </c>
      <c r="L82" s="136">
        <v>0</v>
      </c>
      <c r="M82" s="136">
        <v>71186</v>
      </c>
      <c r="N82" s="136">
        <v>0</v>
      </c>
      <c r="O82" s="136">
        <v>0</v>
      </c>
      <c r="P82" s="136">
        <v>0</v>
      </c>
      <c r="Q82" s="136">
        <v>0</v>
      </c>
      <c r="R82" s="136">
        <v>0</v>
      </c>
      <c r="S82" s="136">
        <v>0</v>
      </c>
      <c r="T82" s="136">
        <v>0</v>
      </c>
      <c r="U82" s="136">
        <v>522359</v>
      </c>
      <c r="V82" s="136">
        <v>10865</v>
      </c>
      <c r="W82" s="136">
        <v>3322</v>
      </c>
      <c r="X82" s="136">
        <v>31324</v>
      </c>
      <c r="Y82" s="136">
        <v>14748</v>
      </c>
      <c r="Z82" s="136">
        <v>2405</v>
      </c>
      <c r="AA82" s="136">
        <v>0</v>
      </c>
      <c r="AB82" s="136">
        <v>0</v>
      </c>
      <c r="AC82" s="136">
        <v>0</v>
      </c>
      <c r="AD82" s="136">
        <v>0</v>
      </c>
      <c r="AE82" s="136">
        <v>0</v>
      </c>
      <c r="AF82" s="136">
        <v>0</v>
      </c>
      <c r="AG82" s="136">
        <v>1124607</v>
      </c>
      <c r="AH82" s="136">
        <v>115608</v>
      </c>
      <c r="AI82" s="136">
        <v>43093</v>
      </c>
      <c r="AJ82" s="136">
        <v>20102</v>
      </c>
      <c r="AK82" s="136">
        <v>81304</v>
      </c>
      <c r="AL82" s="136">
        <v>33184</v>
      </c>
      <c r="AM82" s="136">
        <v>0</v>
      </c>
      <c r="AN82" s="136">
        <v>0</v>
      </c>
      <c r="AO82" s="136">
        <v>0</v>
      </c>
      <c r="AP82" s="136">
        <v>0</v>
      </c>
      <c r="AQ82" s="136">
        <v>0</v>
      </c>
      <c r="AR82" s="136">
        <v>0</v>
      </c>
      <c r="AS82" s="136">
        <v>0</v>
      </c>
      <c r="AT82" s="136">
        <v>0</v>
      </c>
      <c r="AU82" s="136">
        <v>0</v>
      </c>
      <c r="AV82" s="136">
        <v>7119</v>
      </c>
      <c r="AW82" s="136">
        <v>0</v>
      </c>
      <c r="AX82" s="136">
        <v>0</v>
      </c>
      <c r="AY82" s="136">
        <v>0</v>
      </c>
      <c r="AZ82" s="136">
        <v>0</v>
      </c>
      <c r="BA82" s="136">
        <v>0</v>
      </c>
      <c r="BB82" s="136">
        <v>7755</v>
      </c>
      <c r="BC82" s="136">
        <v>0</v>
      </c>
      <c r="BD82" s="136">
        <v>0</v>
      </c>
      <c r="BE82" s="136">
        <v>0</v>
      </c>
      <c r="BF82" s="136">
        <v>0</v>
      </c>
      <c r="BG82" s="136">
        <v>0</v>
      </c>
      <c r="BH82" s="136">
        <v>0</v>
      </c>
      <c r="BI82" s="136">
        <v>28818</v>
      </c>
      <c r="BJ82" s="136">
        <v>0</v>
      </c>
      <c r="BK82" s="136">
        <v>16360</v>
      </c>
      <c r="BL82" s="136">
        <v>0</v>
      </c>
      <c r="BM82" s="136">
        <v>0</v>
      </c>
      <c r="BN82" s="136">
        <v>147</v>
      </c>
      <c r="BO82" s="136">
        <v>45690</v>
      </c>
      <c r="BP82" s="136">
        <v>50</v>
      </c>
      <c r="BQ82" s="136">
        <v>9629</v>
      </c>
      <c r="BR82" s="136">
        <v>2121</v>
      </c>
      <c r="BS82" s="136">
        <v>42339</v>
      </c>
      <c r="BT82" s="136">
        <v>4204</v>
      </c>
      <c r="BU82" s="136">
        <v>2680</v>
      </c>
      <c r="BV82" s="136">
        <v>0</v>
      </c>
      <c r="BW82" s="136">
        <v>167931</v>
      </c>
      <c r="BX82" s="136">
        <v>13492</v>
      </c>
      <c r="BY82" s="136">
        <v>0</v>
      </c>
      <c r="BZ82" s="136">
        <v>91118</v>
      </c>
      <c r="CA82" s="136">
        <v>9487</v>
      </c>
      <c r="CB82" s="136">
        <v>0</v>
      </c>
      <c r="CC82" s="136">
        <v>0</v>
      </c>
      <c r="CD82" s="136">
        <v>2846</v>
      </c>
      <c r="CE82" s="136">
        <v>0</v>
      </c>
      <c r="CF82" s="136">
        <v>56006</v>
      </c>
      <c r="CG82" s="136">
        <v>0</v>
      </c>
      <c r="CH82" s="136">
        <v>197601</v>
      </c>
      <c r="CI82" s="136">
        <v>0</v>
      </c>
      <c r="CJ82" s="136">
        <v>350</v>
      </c>
      <c r="CK82" s="136">
        <v>0</v>
      </c>
      <c r="CL82" s="136">
        <v>98603</v>
      </c>
      <c r="CM82" s="136">
        <v>0</v>
      </c>
      <c r="CN82" s="136">
        <v>34301</v>
      </c>
      <c r="CO82" s="136">
        <v>96776</v>
      </c>
      <c r="CP82" s="136">
        <v>0</v>
      </c>
      <c r="CQ82" s="136">
        <v>83251</v>
      </c>
      <c r="CR82" s="136">
        <v>0</v>
      </c>
      <c r="CS82" s="136">
        <v>0</v>
      </c>
      <c r="CT82" s="136">
        <v>16492</v>
      </c>
      <c r="CU82" s="136">
        <v>0</v>
      </c>
      <c r="CV82" s="136">
        <v>0</v>
      </c>
      <c r="CW82" s="136">
        <v>0</v>
      </c>
      <c r="CX82" s="136">
        <v>0</v>
      </c>
      <c r="CY82" s="136">
        <v>0</v>
      </c>
      <c r="CZ82" s="136">
        <v>0</v>
      </c>
      <c r="DA82" s="136"/>
      <c r="DB82" s="136"/>
      <c r="DC82" s="136"/>
      <c r="DD82" s="136"/>
      <c r="DE82" s="136"/>
      <c r="DF82" s="136"/>
      <c r="DG82" s="136">
        <v>77701</v>
      </c>
      <c r="DH82" s="136">
        <v>200034</v>
      </c>
      <c r="DI82" s="136">
        <v>0</v>
      </c>
      <c r="DJ82" s="136">
        <v>403716</v>
      </c>
      <c r="DK82" s="136">
        <v>0</v>
      </c>
      <c r="DL82" s="136">
        <v>35591</v>
      </c>
      <c r="DM82" s="136">
        <v>0</v>
      </c>
      <c r="DN82" s="136">
        <v>0</v>
      </c>
      <c r="DO82" s="136">
        <v>0</v>
      </c>
      <c r="DP82" s="136">
        <v>0</v>
      </c>
      <c r="DQ82" s="136">
        <v>0</v>
      </c>
      <c r="DR82" s="136">
        <v>0</v>
      </c>
      <c r="DS82" s="136"/>
      <c r="DT82" s="136"/>
      <c r="DU82" s="136"/>
      <c r="DV82" s="136"/>
      <c r="DW82" s="136"/>
      <c r="DX82" s="136"/>
      <c r="DY82" s="136">
        <v>0</v>
      </c>
      <c r="DZ82" s="136">
        <v>0</v>
      </c>
      <c r="EA82" s="136">
        <v>0</v>
      </c>
      <c r="EB82" s="136">
        <v>0</v>
      </c>
      <c r="EC82" s="136">
        <v>0</v>
      </c>
      <c r="ED82" s="136">
        <v>0</v>
      </c>
      <c r="EE82" s="136">
        <v>0</v>
      </c>
      <c r="EF82" s="136">
        <v>0</v>
      </c>
      <c r="EG82" s="136">
        <v>0</v>
      </c>
      <c r="EH82" s="136">
        <v>0</v>
      </c>
      <c r="EI82" s="136">
        <v>0</v>
      </c>
      <c r="EJ82" s="136">
        <v>0</v>
      </c>
      <c r="EK82" s="136"/>
      <c r="EL82" s="136"/>
      <c r="EM82" s="136"/>
      <c r="EN82" s="136"/>
      <c r="EO82" s="136"/>
      <c r="EP82" s="136"/>
      <c r="EQ82" s="136">
        <v>-56</v>
      </c>
      <c r="ER82" s="136">
        <v>111047</v>
      </c>
      <c r="ES82" s="136">
        <v>0</v>
      </c>
      <c r="ET82" s="136">
        <v>0</v>
      </c>
      <c r="EU82" s="136">
        <v>0</v>
      </c>
      <c r="EV82" s="136">
        <v>0</v>
      </c>
      <c r="EW82" s="136"/>
      <c r="EX82" s="136"/>
      <c r="EY82" s="136"/>
      <c r="EZ82" s="136"/>
      <c r="FA82" s="136"/>
      <c r="FB82" s="136"/>
      <c r="FC82" s="136">
        <v>0</v>
      </c>
      <c r="FD82" s="136">
        <v>0</v>
      </c>
      <c r="FE82" s="136">
        <v>0</v>
      </c>
      <c r="FF82" s="136">
        <v>0</v>
      </c>
      <c r="FG82" s="136">
        <v>0</v>
      </c>
      <c r="FH82" s="136">
        <v>0</v>
      </c>
      <c r="FI82" s="136"/>
      <c r="FJ82" s="136"/>
      <c r="FK82" s="136"/>
      <c r="FL82" s="136"/>
      <c r="FM82" s="136"/>
      <c r="FN82" s="136"/>
      <c r="FO82" s="136">
        <v>0</v>
      </c>
      <c r="FP82" s="136">
        <v>0</v>
      </c>
      <c r="FQ82" s="136">
        <v>0</v>
      </c>
      <c r="FR82" s="136">
        <v>0</v>
      </c>
      <c r="FS82" s="136">
        <v>0</v>
      </c>
      <c r="FT82" s="136">
        <v>0</v>
      </c>
      <c r="FU82" s="136">
        <v>0</v>
      </c>
      <c r="FV82" s="136">
        <v>0</v>
      </c>
      <c r="FW82" s="136">
        <v>0</v>
      </c>
      <c r="FX82" s="136">
        <v>0</v>
      </c>
      <c r="FY82" s="136">
        <v>0</v>
      </c>
      <c r="FZ82" s="136">
        <v>0</v>
      </c>
      <c r="GA82" s="136">
        <v>0</v>
      </c>
      <c r="GB82" s="136">
        <v>0</v>
      </c>
      <c r="GC82" s="136">
        <v>0</v>
      </c>
      <c r="GD82" s="136">
        <v>0</v>
      </c>
      <c r="GE82" s="136">
        <v>0</v>
      </c>
      <c r="GF82" s="136">
        <v>0</v>
      </c>
      <c r="GG82" s="136">
        <v>0</v>
      </c>
      <c r="GH82" s="136">
        <v>0</v>
      </c>
      <c r="GI82" s="136">
        <v>0</v>
      </c>
      <c r="GJ82" s="136">
        <v>0</v>
      </c>
      <c r="GK82" s="136">
        <v>0</v>
      </c>
      <c r="GL82" s="136">
        <v>0</v>
      </c>
      <c r="GM82" s="136">
        <v>0</v>
      </c>
      <c r="GN82" s="136">
        <v>0</v>
      </c>
      <c r="GO82" s="136">
        <v>0</v>
      </c>
      <c r="GP82" s="136">
        <v>0</v>
      </c>
      <c r="GQ82" s="136">
        <v>0</v>
      </c>
      <c r="GR82" s="136">
        <v>0</v>
      </c>
      <c r="GS82" s="136">
        <v>42819619</v>
      </c>
      <c r="GT82" s="136">
        <v>3349140</v>
      </c>
      <c r="GU82" s="136">
        <v>87312810</v>
      </c>
      <c r="GV82" s="35" t="s">
        <v>330</v>
      </c>
      <c r="GW82" s="137">
        <v>4325522717</v>
      </c>
      <c r="GX82" s="35" t="s">
        <v>331</v>
      </c>
      <c r="GY82" s="136">
        <v>3339375</v>
      </c>
      <c r="GZ82" s="136">
        <v>-1055644</v>
      </c>
      <c r="HA82" s="136">
        <v>0</v>
      </c>
      <c r="HB82" s="136">
        <v>0</v>
      </c>
      <c r="HC82" s="136">
        <v>0</v>
      </c>
      <c r="HD82" s="136">
        <v>0</v>
      </c>
      <c r="HE82" s="136">
        <v>0</v>
      </c>
      <c r="HF82" s="136">
        <v>0</v>
      </c>
      <c r="HG82" s="136">
        <v>0</v>
      </c>
      <c r="HH82" s="136">
        <v>0</v>
      </c>
      <c r="HI82" s="35" t="s">
        <v>439</v>
      </c>
      <c r="HJ82" s="35" t="s">
        <v>439</v>
      </c>
      <c r="HK82" s="35" t="s">
        <v>439</v>
      </c>
      <c r="HL82"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2015363</v>
      </c>
      <c r="HM82"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345316</v>
      </c>
      <c r="HN82"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172005</v>
      </c>
      <c r="HO82"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394079</v>
      </c>
      <c r="HP82"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182727</v>
      </c>
      <c r="HQ82"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319624</v>
      </c>
      <c r="HR82"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2283731</v>
      </c>
    </row>
    <row r="83" spans="1:226">
      <c r="A83" s="35" t="s">
        <v>385</v>
      </c>
      <c r="B83" s="37" t="s">
        <v>384</v>
      </c>
      <c r="C83" s="37">
        <v>390</v>
      </c>
      <c r="D83" s="37" t="s">
        <v>835</v>
      </c>
      <c r="E83" s="103">
        <v>30</v>
      </c>
      <c r="F83" s="136">
        <v>0</v>
      </c>
      <c r="G83" s="136">
        <v>10635065.190000001</v>
      </c>
      <c r="H83" s="136">
        <v>544068173</v>
      </c>
      <c r="I83" s="136">
        <v>123331361</v>
      </c>
      <c r="J83" s="136">
        <v>17570170</v>
      </c>
      <c r="K83" s="136">
        <v>30976222</v>
      </c>
      <c r="L83" s="136">
        <v>0</v>
      </c>
      <c r="M83" s="136">
        <v>42384837</v>
      </c>
      <c r="N83" s="136">
        <v>37310110.590000004</v>
      </c>
      <c r="O83" s="136">
        <v>0</v>
      </c>
      <c r="P83" s="136">
        <v>0</v>
      </c>
      <c r="Q83" s="136">
        <v>0</v>
      </c>
      <c r="R83" s="136">
        <v>0</v>
      </c>
      <c r="S83" s="136">
        <v>0</v>
      </c>
      <c r="T83" s="136">
        <v>0</v>
      </c>
      <c r="U83" s="136">
        <v>134386231</v>
      </c>
      <c r="V83" s="136">
        <v>22200152</v>
      </c>
      <c r="W83" s="136">
        <v>16811097</v>
      </c>
      <c r="X83" s="136">
        <v>12274545</v>
      </c>
      <c r="Y83" s="136">
        <v>11529239</v>
      </c>
      <c r="Z83" s="136">
        <v>53625708</v>
      </c>
      <c r="AA83" s="136">
        <v>0</v>
      </c>
      <c r="AB83" s="136">
        <v>0</v>
      </c>
      <c r="AC83" s="136">
        <v>0</v>
      </c>
      <c r="AD83" s="136">
        <v>0</v>
      </c>
      <c r="AE83" s="136">
        <v>0</v>
      </c>
      <c r="AF83" s="136">
        <v>0</v>
      </c>
      <c r="AG83" s="136">
        <v>0</v>
      </c>
      <c r="AH83" s="136">
        <v>0</v>
      </c>
      <c r="AI83" s="136">
        <v>0</v>
      </c>
      <c r="AJ83" s="136">
        <v>0</v>
      </c>
      <c r="AK83" s="136">
        <v>0</v>
      </c>
      <c r="AL83" s="136">
        <v>0</v>
      </c>
      <c r="AM83" s="136">
        <v>0</v>
      </c>
      <c r="AN83" s="136">
        <v>0</v>
      </c>
      <c r="AO83" s="136">
        <v>0</v>
      </c>
      <c r="AP83" s="136">
        <v>0</v>
      </c>
      <c r="AQ83" s="136">
        <v>0</v>
      </c>
      <c r="AR83" s="136">
        <v>0</v>
      </c>
      <c r="AS83" s="136">
        <v>0</v>
      </c>
      <c r="AT83" s="136">
        <v>0</v>
      </c>
      <c r="AU83" s="136">
        <v>0</v>
      </c>
      <c r="AV83" s="136">
        <v>0</v>
      </c>
      <c r="AW83" s="136">
        <v>0</v>
      </c>
      <c r="AX83" s="136">
        <v>0</v>
      </c>
      <c r="AY83" s="136">
        <v>190952758</v>
      </c>
      <c r="AZ83" s="136">
        <v>17145589</v>
      </c>
      <c r="BA83" s="136">
        <v>27182370</v>
      </c>
      <c r="BB83" s="136">
        <v>44577111</v>
      </c>
      <c r="BC83" s="136">
        <v>42064813</v>
      </c>
      <c r="BD83" s="136">
        <v>65886812</v>
      </c>
      <c r="BE83" s="136">
        <v>0</v>
      </c>
      <c r="BF83" s="136">
        <v>0</v>
      </c>
      <c r="BG83" s="136">
        <v>0</v>
      </c>
      <c r="BH83" s="136">
        <v>0</v>
      </c>
      <c r="BI83" s="136">
        <v>0</v>
      </c>
      <c r="BJ83" s="136">
        <v>0</v>
      </c>
      <c r="BK83" s="136">
        <v>0</v>
      </c>
      <c r="BL83" s="136">
        <v>0</v>
      </c>
      <c r="BM83" s="136">
        <v>0</v>
      </c>
      <c r="BN83" s="136">
        <v>0</v>
      </c>
      <c r="BO83" s="136">
        <v>0</v>
      </c>
      <c r="BP83" s="136">
        <v>0</v>
      </c>
      <c r="BQ83" s="136">
        <v>0</v>
      </c>
      <c r="BR83" s="136">
        <v>0</v>
      </c>
      <c r="BS83" s="136">
        <v>0</v>
      </c>
      <c r="BT83" s="136">
        <v>0</v>
      </c>
      <c r="BU83" s="136">
        <v>0</v>
      </c>
      <c r="BV83" s="136">
        <v>0</v>
      </c>
      <c r="BW83" s="136">
        <v>14347428</v>
      </c>
      <c r="BX83" s="136">
        <v>12420195</v>
      </c>
      <c r="BY83" s="136">
        <v>-17907</v>
      </c>
      <c r="BZ83" s="136">
        <v>19220487.999999985</v>
      </c>
      <c r="CA83" s="136">
        <v>85946</v>
      </c>
      <c r="CB83" s="136">
        <v>31253351</v>
      </c>
      <c r="CC83" s="136">
        <v>0</v>
      </c>
      <c r="CD83" s="136">
        <v>0</v>
      </c>
      <c r="CE83" s="136">
        <v>0</v>
      </c>
      <c r="CF83" s="136">
        <v>0</v>
      </c>
      <c r="CG83" s="136">
        <v>0</v>
      </c>
      <c r="CH83" s="136">
        <v>0</v>
      </c>
      <c r="CI83" s="136">
        <v>0</v>
      </c>
      <c r="CJ83" s="136">
        <v>0</v>
      </c>
      <c r="CK83" s="136">
        <v>0</v>
      </c>
      <c r="CL83" s="136">
        <v>0</v>
      </c>
      <c r="CM83" s="136">
        <v>0</v>
      </c>
      <c r="CN83" s="136">
        <v>0</v>
      </c>
      <c r="CO83" s="136">
        <v>0</v>
      </c>
      <c r="CP83" s="136">
        <v>0</v>
      </c>
      <c r="CQ83" s="136">
        <v>0</v>
      </c>
      <c r="CR83" s="136">
        <v>0</v>
      </c>
      <c r="CS83" s="136">
        <v>0</v>
      </c>
      <c r="CT83" s="136">
        <v>0</v>
      </c>
      <c r="CU83" s="136">
        <v>0</v>
      </c>
      <c r="CV83" s="136">
        <v>0</v>
      </c>
      <c r="CW83" s="136">
        <v>0</v>
      </c>
      <c r="CX83" s="136">
        <v>0</v>
      </c>
      <c r="CY83" s="136">
        <v>0</v>
      </c>
      <c r="CZ83" s="136">
        <v>0</v>
      </c>
      <c r="DA83" s="136"/>
      <c r="DB83" s="136"/>
      <c r="DC83" s="136"/>
      <c r="DD83" s="136"/>
      <c r="DE83" s="136"/>
      <c r="DF83" s="136"/>
      <c r="DG83" s="136">
        <v>0</v>
      </c>
      <c r="DH83" s="136">
        <v>0</v>
      </c>
      <c r="DI83" s="136">
        <v>0</v>
      </c>
      <c r="DJ83" s="136">
        <v>0</v>
      </c>
      <c r="DK83" s="136">
        <v>0</v>
      </c>
      <c r="DL83" s="136">
        <v>0</v>
      </c>
      <c r="DM83" s="136"/>
      <c r="DN83" s="136"/>
      <c r="DO83" s="136"/>
      <c r="DP83" s="136"/>
      <c r="DQ83" s="136"/>
      <c r="DR83" s="136"/>
      <c r="DS83" s="136">
        <v>10046260</v>
      </c>
      <c r="DT83" s="136">
        <v>0</v>
      </c>
      <c r="DU83" s="136">
        <v>103463</v>
      </c>
      <c r="DV83" s="136">
        <v>0</v>
      </c>
      <c r="DW83" s="136">
        <v>444854</v>
      </c>
      <c r="DX83" s="136">
        <v>2150695</v>
      </c>
      <c r="DY83" s="136"/>
      <c r="DZ83" s="136"/>
      <c r="EA83" s="136"/>
      <c r="EB83" s="136"/>
      <c r="EC83" s="136"/>
      <c r="ED83" s="136"/>
      <c r="EE83" s="136">
        <v>61649747</v>
      </c>
      <c r="EF83" s="136">
        <v>0</v>
      </c>
      <c r="EG83" s="136">
        <v>29237721</v>
      </c>
      <c r="EH83" s="136">
        <v>0</v>
      </c>
      <c r="EI83" s="136">
        <v>7346240</v>
      </c>
      <c r="EJ83" s="136">
        <v>6757972</v>
      </c>
      <c r="EK83" s="136">
        <v>19017260.559999995</v>
      </c>
      <c r="EL83" s="136">
        <v>0</v>
      </c>
      <c r="EM83" s="136">
        <v>-4428</v>
      </c>
      <c r="EN83" s="136">
        <v>0</v>
      </c>
      <c r="EO83" s="136">
        <v>415315</v>
      </c>
      <c r="EP83" s="136">
        <v>1796286</v>
      </c>
      <c r="EQ83" s="136"/>
      <c r="ER83" s="136"/>
      <c r="ES83" s="136"/>
      <c r="ET83" s="136"/>
      <c r="EU83" s="136"/>
      <c r="EV83" s="136"/>
      <c r="EW83" s="136">
        <v>6946653</v>
      </c>
      <c r="EX83" s="136">
        <v>0</v>
      </c>
      <c r="EY83" s="136">
        <v>1437724</v>
      </c>
      <c r="EZ83" s="136">
        <v>0</v>
      </c>
      <c r="FA83" s="136">
        <v>77445</v>
      </c>
      <c r="FB83" s="136">
        <v>248835</v>
      </c>
      <c r="FC83" s="136"/>
      <c r="FD83" s="136"/>
      <c r="FE83" s="136"/>
      <c r="FF83" s="136"/>
      <c r="FG83" s="136"/>
      <c r="FH83" s="136"/>
      <c r="FI83" s="136">
        <v>10953900.400000056</v>
      </c>
      <c r="FJ83" s="136">
        <v>0</v>
      </c>
      <c r="FK83" s="136">
        <v>1641236.6100000015</v>
      </c>
      <c r="FL83" s="136">
        <v>2446660.5399999996</v>
      </c>
      <c r="FM83" s="136">
        <v>382558.14999999979</v>
      </c>
      <c r="FN83" s="136">
        <v>1181707.8600000003</v>
      </c>
      <c r="FO83" s="136"/>
      <c r="FP83" s="136"/>
      <c r="FQ83" s="136"/>
      <c r="FR83" s="136"/>
      <c r="FS83" s="136"/>
      <c r="FT83" s="136"/>
      <c r="FU83" s="136"/>
      <c r="FV83" s="136"/>
      <c r="FW83" s="136"/>
      <c r="FX83" s="136"/>
      <c r="FY83" s="136"/>
      <c r="FZ83" s="136"/>
      <c r="GA83" s="136"/>
      <c r="GB83" s="136"/>
      <c r="GC83" s="136"/>
      <c r="GD83" s="136"/>
      <c r="GE83" s="136"/>
      <c r="GF83" s="136"/>
      <c r="GG83" s="136">
        <v>0</v>
      </c>
      <c r="GH83" s="136">
        <v>0</v>
      </c>
      <c r="GI83" s="136">
        <v>0</v>
      </c>
      <c r="GJ83" s="136">
        <v>0</v>
      </c>
      <c r="GK83" s="136">
        <v>0</v>
      </c>
      <c r="GL83" s="136">
        <v>0</v>
      </c>
      <c r="GM83" s="136">
        <v>0</v>
      </c>
      <c r="GN83" s="136">
        <v>0</v>
      </c>
      <c r="GO83" s="136">
        <v>0</v>
      </c>
      <c r="GP83" s="136">
        <v>0</v>
      </c>
      <c r="GQ83" s="136">
        <v>0</v>
      </c>
      <c r="GR83" s="136">
        <v>0</v>
      </c>
      <c r="GS83" s="136">
        <v>273328679</v>
      </c>
      <c r="GT83" s="136">
        <v>555410858</v>
      </c>
      <c r="GU83" s="136">
        <v>2290671956</v>
      </c>
      <c r="GV83" s="35" t="s">
        <v>423</v>
      </c>
      <c r="GW83" s="137">
        <v>2146480888</v>
      </c>
      <c r="GX83" s="35" t="s">
        <v>424</v>
      </c>
      <c r="GY83" s="136">
        <v>544068173</v>
      </c>
      <c r="GZ83" s="136" t="s">
        <v>439</v>
      </c>
      <c r="HA83" s="136" t="s">
        <v>439</v>
      </c>
      <c r="HB83" s="136" t="s">
        <v>439</v>
      </c>
      <c r="HC83" s="136" t="s">
        <v>439</v>
      </c>
      <c r="HD83" s="136" t="s">
        <v>439</v>
      </c>
      <c r="HE83" s="136" t="s">
        <v>439</v>
      </c>
      <c r="HF83" s="136" t="s">
        <v>439</v>
      </c>
      <c r="HG83" s="136" t="s">
        <v>439</v>
      </c>
      <c r="HH83" s="136" t="s">
        <v>439</v>
      </c>
      <c r="HI83" s="35" t="s">
        <v>439</v>
      </c>
      <c r="HJ83" s="35" t="s">
        <v>439</v>
      </c>
      <c r="HK83" s="35" t="s">
        <v>439</v>
      </c>
      <c r="HL83"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339686417</v>
      </c>
      <c r="HM83"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51765936</v>
      </c>
      <c r="HN83"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43975560</v>
      </c>
      <c r="HO83"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76072143.999999985</v>
      </c>
      <c r="HP83"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53679998</v>
      </c>
      <c r="HQ83"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150765871</v>
      </c>
      <c r="HR83"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544068173</v>
      </c>
    </row>
    <row r="84" spans="1:226">
      <c r="A84" s="35" t="s">
        <v>317</v>
      </c>
      <c r="B84" s="37" t="s">
        <v>703</v>
      </c>
      <c r="D84" s="37" t="s">
        <v>835</v>
      </c>
      <c r="E84" s="103">
        <v>3647</v>
      </c>
      <c r="F84" s="136">
        <v>0</v>
      </c>
      <c r="G84" s="136">
        <v>0</v>
      </c>
      <c r="H84" s="136">
        <v>4768431</v>
      </c>
      <c r="I84" s="136">
        <v>527106</v>
      </c>
      <c r="J84" s="136">
        <v>0</v>
      </c>
      <c r="K84" s="136">
        <v>0</v>
      </c>
      <c r="L84" s="136">
        <v>0</v>
      </c>
      <c r="M84" s="136">
        <v>236639</v>
      </c>
      <c r="N84" s="136">
        <v>548852</v>
      </c>
      <c r="O84" s="136">
        <v>0</v>
      </c>
      <c r="P84" s="136">
        <v>0</v>
      </c>
      <c r="Q84" s="136">
        <v>0</v>
      </c>
      <c r="R84" s="136">
        <v>0</v>
      </c>
      <c r="S84" s="136">
        <v>0</v>
      </c>
      <c r="T84" s="136">
        <v>0</v>
      </c>
      <c r="U84" s="136">
        <v>398453</v>
      </c>
      <c r="V84" s="136">
        <v>0</v>
      </c>
      <c r="W84" s="136">
        <v>1674</v>
      </c>
      <c r="X84" s="136">
        <v>268515</v>
      </c>
      <c r="Y84" s="136">
        <v>0</v>
      </c>
      <c r="Z84" s="136">
        <v>264305</v>
      </c>
      <c r="AA84" s="136">
        <v>3977</v>
      </c>
      <c r="AB84" s="136">
        <v>0</v>
      </c>
      <c r="AC84" s="136">
        <v>0</v>
      </c>
      <c r="AD84" s="136">
        <v>79685</v>
      </c>
      <c r="AE84" s="136">
        <v>0</v>
      </c>
      <c r="AF84" s="136">
        <v>0</v>
      </c>
      <c r="AG84" s="136">
        <v>81529</v>
      </c>
      <c r="AH84" s="136">
        <v>0</v>
      </c>
      <c r="AI84" s="136">
        <v>0</v>
      </c>
      <c r="AJ84" s="136">
        <v>48174</v>
      </c>
      <c r="AK84" s="136">
        <v>0</v>
      </c>
      <c r="AL84" s="136">
        <v>1558</v>
      </c>
      <c r="AM84" s="136">
        <v>0</v>
      </c>
      <c r="AN84" s="136">
        <v>0</v>
      </c>
      <c r="AO84" s="136">
        <v>0</v>
      </c>
      <c r="AP84" s="136">
        <v>0</v>
      </c>
      <c r="AQ84" s="136">
        <v>0</v>
      </c>
      <c r="AR84" s="136">
        <v>0</v>
      </c>
      <c r="AS84" s="136">
        <v>47980</v>
      </c>
      <c r="AT84" s="136">
        <v>0</v>
      </c>
      <c r="AU84" s="136">
        <v>0</v>
      </c>
      <c r="AV84" s="136">
        <v>40700</v>
      </c>
      <c r="AW84" s="136">
        <v>0</v>
      </c>
      <c r="AX84" s="136">
        <v>0</v>
      </c>
      <c r="AY84" s="136">
        <v>0</v>
      </c>
      <c r="AZ84" s="136">
        <v>0</v>
      </c>
      <c r="BA84" s="136">
        <v>0</v>
      </c>
      <c r="BB84" s="136">
        <v>0</v>
      </c>
      <c r="BC84" s="136">
        <v>0</v>
      </c>
      <c r="BD84" s="136">
        <v>0</v>
      </c>
      <c r="BE84" s="136">
        <v>719963</v>
      </c>
      <c r="BF84" s="136">
        <v>0</v>
      </c>
      <c r="BG84" s="136">
        <v>0</v>
      </c>
      <c r="BH84" s="136">
        <v>594140</v>
      </c>
      <c r="BI84" s="136">
        <v>0</v>
      </c>
      <c r="BJ84" s="136">
        <v>708978</v>
      </c>
      <c r="BK84" s="136">
        <v>527649</v>
      </c>
      <c r="BL84" s="136">
        <v>0</v>
      </c>
      <c r="BM84" s="136">
        <v>0</v>
      </c>
      <c r="BN84" s="136">
        <v>87555</v>
      </c>
      <c r="BO84" s="136">
        <v>0</v>
      </c>
      <c r="BP84" s="136">
        <v>33425</v>
      </c>
      <c r="BQ84" s="136">
        <v>168152</v>
      </c>
      <c r="BR84" s="136">
        <v>0</v>
      </c>
      <c r="BS84" s="136">
        <v>0</v>
      </c>
      <c r="BT84" s="136">
        <v>48952</v>
      </c>
      <c r="BU84" s="136">
        <v>0</v>
      </c>
      <c r="BV84" s="136">
        <v>129847</v>
      </c>
      <c r="BW84" s="136">
        <v>163576</v>
      </c>
      <c r="BX84" s="136">
        <v>0</v>
      </c>
      <c r="BY84" s="136">
        <v>0</v>
      </c>
      <c r="BZ84" s="136">
        <v>77007</v>
      </c>
      <c r="CA84" s="136">
        <v>0</v>
      </c>
      <c r="CB84" s="136">
        <v>10610</v>
      </c>
      <c r="CC84" s="136">
        <v>97891</v>
      </c>
      <c r="CD84" s="136">
        <v>0</v>
      </c>
      <c r="CE84" s="136">
        <v>0</v>
      </c>
      <c r="CF84" s="136">
        <v>445237</v>
      </c>
      <c r="CG84" s="136">
        <v>0</v>
      </c>
      <c r="CH84" s="136">
        <v>186140</v>
      </c>
      <c r="CI84" s="136">
        <v>0</v>
      </c>
      <c r="CJ84" s="136">
        <v>0</v>
      </c>
      <c r="CK84" s="136">
        <v>0</v>
      </c>
      <c r="CL84" s="136">
        <v>34203</v>
      </c>
      <c r="CM84" s="136">
        <v>0</v>
      </c>
      <c r="CN84" s="136">
        <v>0</v>
      </c>
      <c r="CO84" s="136">
        <v>1866</v>
      </c>
      <c r="CP84" s="136">
        <v>0</v>
      </c>
      <c r="CQ84" s="136">
        <v>0</v>
      </c>
      <c r="CR84" s="136">
        <v>23796</v>
      </c>
      <c r="CS84" s="136">
        <v>0</v>
      </c>
      <c r="CT84" s="136">
        <v>0</v>
      </c>
      <c r="CU84" s="136">
        <v>0</v>
      </c>
      <c r="CV84" s="136">
        <v>0</v>
      </c>
      <c r="CW84" s="136">
        <v>0</v>
      </c>
      <c r="CX84" s="136">
        <v>0</v>
      </c>
      <c r="CY84" s="136">
        <v>0</v>
      </c>
      <c r="CZ84" s="136">
        <v>0</v>
      </c>
      <c r="DA84" s="136"/>
      <c r="DB84" s="136"/>
      <c r="DC84" s="136"/>
      <c r="DD84" s="136"/>
      <c r="DE84" s="136"/>
      <c r="DF84" s="136"/>
      <c r="DG84" s="136">
        <v>0</v>
      </c>
      <c r="DH84" s="136">
        <v>0</v>
      </c>
      <c r="DI84" s="136">
        <v>0</v>
      </c>
      <c r="DJ84" s="136">
        <v>0</v>
      </c>
      <c r="DK84" s="136">
        <v>0</v>
      </c>
      <c r="DL84" s="136">
        <v>0</v>
      </c>
      <c r="DM84" s="136">
        <v>0</v>
      </c>
      <c r="DN84" s="136">
        <v>0</v>
      </c>
      <c r="DO84" s="136">
        <v>0</v>
      </c>
      <c r="DP84" s="136">
        <v>0</v>
      </c>
      <c r="DQ84" s="136">
        <v>0</v>
      </c>
      <c r="DR84" s="136">
        <v>0</v>
      </c>
      <c r="DS84" s="136"/>
      <c r="DT84" s="136"/>
      <c r="DU84" s="136"/>
      <c r="DV84" s="136"/>
      <c r="DW84" s="136"/>
      <c r="DX84" s="136"/>
      <c r="DY84" s="136">
        <v>0</v>
      </c>
      <c r="DZ84" s="136">
        <v>0</v>
      </c>
      <c r="EA84" s="136">
        <v>0</v>
      </c>
      <c r="EB84" s="136">
        <v>0</v>
      </c>
      <c r="EC84" s="136">
        <v>0</v>
      </c>
      <c r="ED84" s="136">
        <v>0</v>
      </c>
      <c r="EE84" s="136">
        <v>0</v>
      </c>
      <c r="EF84" s="136">
        <v>0</v>
      </c>
      <c r="EG84" s="136">
        <v>0</v>
      </c>
      <c r="EH84" s="136">
        <v>0</v>
      </c>
      <c r="EI84" s="136">
        <v>0</v>
      </c>
      <c r="EJ84" s="136">
        <v>0</v>
      </c>
      <c r="EK84" s="136"/>
      <c r="EL84" s="136"/>
      <c r="EM84" s="136"/>
      <c r="EN84" s="136"/>
      <c r="EO84" s="136"/>
      <c r="EP84" s="136"/>
      <c r="EQ84" s="136">
        <v>0</v>
      </c>
      <c r="ER84" s="136">
        <v>0</v>
      </c>
      <c r="ES84" s="136">
        <v>0</v>
      </c>
      <c r="ET84" s="136">
        <v>0</v>
      </c>
      <c r="EU84" s="136">
        <v>0</v>
      </c>
      <c r="EV84" s="136">
        <v>0</v>
      </c>
      <c r="EW84" s="136"/>
      <c r="EX84" s="136"/>
      <c r="EY84" s="136"/>
      <c r="EZ84" s="136"/>
      <c r="FA84" s="136"/>
      <c r="FB84" s="136"/>
      <c r="FC84" s="136">
        <v>0</v>
      </c>
      <c r="FD84" s="136">
        <v>0</v>
      </c>
      <c r="FE84" s="136">
        <v>0</v>
      </c>
      <c r="FF84" s="136">
        <v>0</v>
      </c>
      <c r="FG84" s="136">
        <v>0</v>
      </c>
      <c r="FH84" s="136">
        <v>0</v>
      </c>
      <c r="FI84" s="136"/>
      <c r="FJ84" s="136"/>
      <c r="FK84" s="136"/>
      <c r="FL84" s="136"/>
      <c r="FM84" s="136"/>
      <c r="FN84" s="136"/>
      <c r="FO84" s="136">
        <v>0</v>
      </c>
      <c r="FP84" s="136">
        <v>0</v>
      </c>
      <c r="FQ84" s="136">
        <v>0</v>
      </c>
      <c r="FR84" s="136">
        <v>0</v>
      </c>
      <c r="FS84" s="136">
        <v>0</v>
      </c>
      <c r="FT84" s="136">
        <v>0</v>
      </c>
      <c r="FU84" s="136">
        <v>0</v>
      </c>
      <c r="FV84" s="136">
        <v>0</v>
      </c>
      <c r="FW84" s="136">
        <v>0</v>
      </c>
      <c r="FX84" s="136">
        <v>0</v>
      </c>
      <c r="FY84" s="136">
        <v>0</v>
      </c>
      <c r="FZ84" s="136">
        <v>0</v>
      </c>
      <c r="GA84" s="136">
        <v>0</v>
      </c>
      <c r="GB84" s="136">
        <v>0</v>
      </c>
      <c r="GC84" s="136">
        <v>0</v>
      </c>
      <c r="GD84" s="136">
        <v>0</v>
      </c>
      <c r="GE84" s="136">
        <v>0</v>
      </c>
      <c r="GF84" s="136">
        <v>0</v>
      </c>
      <c r="GG84" s="136">
        <v>0</v>
      </c>
      <c r="GH84" s="136">
        <v>0</v>
      </c>
      <c r="GI84" s="136">
        <v>0</v>
      </c>
      <c r="GJ84" s="136">
        <v>0</v>
      </c>
      <c r="GK84" s="136">
        <v>0</v>
      </c>
      <c r="GL84" s="136">
        <v>0</v>
      </c>
      <c r="GM84" s="136">
        <v>0</v>
      </c>
      <c r="GN84" s="136">
        <v>0</v>
      </c>
      <c r="GO84" s="136">
        <v>0</v>
      </c>
      <c r="GP84" s="136">
        <v>0</v>
      </c>
      <c r="GQ84" s="136">
        <v>0</v>
      </c>
      <c r="GR84" s="136">
        <v>0</v>
      </c>
      <c r="GS84" s="136">
        <v>0</v>
      </c>
      <c r="GT84" s="136">
        <v>0</v>
      </c>
      <c r="GU84" s="136">
        <v>0</v>
      </c>
      <c r="GW84" s="137"/>
      <c r="GY84" s="136">
        <v>4768431</v>
      </c>
      <c r="GZ84" s="136" t="s">
        <v>439</v>
      </c>
      <c r="HA84" s="136" t="s">
        <v>439</v>
      </c>
      <c r="HB84" s="136" t="s">
        <v>439</v>
      </c>
      <c r="HC84" s="136" t="s">
        <v>439</v>
      </c>
      <c r="HD84" s="136" t="s">
        <v>439</v>
      </c>
      <c r="HE84" s="136" t="s">
        <v>439</v>
      </c>
      <c r="HF84" s="136" t="s">
        <v>439</v>
      </c>
      <c r="HG84" s="136" t="s">
        <v>439</v>
      </c>
      <c r="HH84" s="136" t="s">
        <v>439</v>
      </c>
      <c r="HI84" s="35" t="s">
        <v>439</v>
      </c>
      <c r="HJ84" s="35" t="s">
        <v>439</v>
      </c>
      <c r="HK84" s="35" t="s">
        <v>439</v>
      </c>
      <c r="HL84"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2211036</v>
      </c>
      <c r="HM84"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84"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1674</v>
      </c>
      <c r="HO84"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1747964</v>
      </c>
      <c r="HP84"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84"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1334863</v>
      </c>
      <c r="HR84"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4768431</v>
      </c>
    </row>
    <row r="85" spans="1:226">
      <c r="A85" s="35" t="s">
        <v>314</v>
      </c>
      <c r="B85" s="37" t="s">
        <v>703</v>
      </c>
      <c r="D85" s="37" t="s">
        <v>835</v>
      </c>
      <c r="E85" s="103">
        <v>3651</v>
      </c>
      <c r="F85" s="136">
        <v>193516</v>
      </c>
      <c r="G85" s="136">
        <v>0</v>
      </c>
      <c r="H85" s="136">
        <v>193516</v>
      </c>
      <c r="I85" s="136">
        <v>18419</v>
      </c>
      <c r="J85" s="136">
        <v>0</v>
      </c>
      <c r="K85" s="136">
        <v>0</v>
      </c>
      <c r="L85" s="136">
        <v>0</v>
      </c>
      <c r="M85" s="136">
        <v>0</v>
      </c>
      <c r="N85" s="136">
        <v>0</v>
      </c>
      <c r="O85" s="136">
        <v>0</v>
      </c>
      <c r="P85" s="136">
        <v>0</v>
      </c>
      <c r="Q85" s="136">
        <v>0</v>
      </c>
      <c r="R85" s="136">
        <v>0</v>
      </c>
      <c r="S85" s="136">
        <v>0</v>
      </c>
      <c r="T85" s="136">
        <v>0</v>
      </c>
      <c r="U85" s="136">
        <v>0</v>
      </c>
      <c r="V85" s="136">
        <v>0</v>
      </c>
      <c r="W85" s="136">
        <v>0</v>
      </c>
      <c r="X85" s="136">
        <v>0</v>
      </c>
      <c r="Y85" s="136">
        <v>0</v>
      </c>
      <c r="Z85" s="136">
        <v>7781</v>
      </c>
      <c r="AA85" s="136">
        <v>0</v>
      </c>
      <c r="AB85" s="136">
        <v>0</v>
      </c>
      <c r="AC85" s="136">
        <v>0</v>
      </c>
      <c r="AD85" s="136">
        <v>0</v>
      </c>
      <c r="AE85" s="136">
        <v>0</v>
      </c>
      <c r="AF85" s="136">
        <v>0</v>
      </c>
      <c r="AG85" s="136">
        <v>0</v>
      </c>
      <c r="AH85" s="136">
        <v>0</v>
      </c>
      <c r="AI85" s="136">
        <v>0</v>
      </c>
      <c r="AJ85" s="136">
        <v>0</v>
      </c>
      <c r="AK85" s="136">
        <v>0</v>
      </c>
      <c r="AL85" s="136">
        <v>0</v>
      </c>
      <c r="AM85" s="136">
        <v>0</v>
      </c>
      <c r="AN85" s="136">
        <v>0</v>
      </c>
      <c r="AO85" s="136">
        <v>0</v>
      </c>
      <c r="AP85" s="136">
        <v>0</v>
      </c>
      <c r="AQ85" s="136">
        <v>0</v>
      </c>
      <c r="AR85" s="136">
        <v>0</v>
      </c>
      <c r="AS85" s="136">
        <v>0</v>
      </c>
      <c r="AT85" s="136">
        <v>0</v>
      </c>
      <c r="AU85" s="136">
        <v>0</v>
      </c>
      <c r="AV85" s="136">
        <v>0</v>
      </c>
      <c r="AW85" s="136">
        <v>0</v>
      </c>
      <c r="AX85" s="136">
        <v>0</v>
      </c>
      <c r="AY85" s="136">
        <v>0</v>
      </c>
      <c r="AZ85" s="136">
        <v>0</v>
      </c>
      <c r="BA85" s="136">
        <v>0</v>
      </c>
      <c r="BB85" s="136">
        <v>0</v>
      </c>
      <c r="BC85" s="136">
        <v>0</v>
      </c>
      <c r="BD85" s="136">
        <v>0</v>
      </c>
      <c r="BE85" s="136">
        <v>21974</v>
      </c>
      <c r="BF85" s="136">
        <v>0</v>
      </c>
      <c r="BG85" s="136">
        <v>0</v>
      </c>
      <c r="BH85" s="136">
        <v>0</v>
      </c>
      <c r="BI85" s="136">
        <v>0</v>
      </c>
      <c r="BJ85" s="136">
        <v>182180</v>
      </c>
      <c r="BK85" s="136">
        <v>0</v>
      </c>
      <c r="BL85" s="136">
        <v>0</v>
      </c>
      <c r="BM85" s="136">
        <v>0</v>
      </c>
      <c r="BN85" s="136">
        <v>0</v>
      </c>
      <c r="BO85" s="136">
        <v>0</v>
      </c>
      <c r="BP85" s="136">
        <v>0</v>
      </c>
      <c r="BQ85" s="136">
        <v>0</v>
      </c>
      <c r="BR85" s="136">
        <v>0</v>
      </c>
      <c r="BS85" s="136">
        <v>0</v>
      </c>
      <c r="BT85" s="136">
        <v>0</v>
      </c>
      <c r="BU85" s="136">
        <v>0</v>
      </c>
      <c r="BV85" s="136">
        <v>0</v>
      </c>
      <c r="BW85" s="136">
        <v>0</v>
      </c>
      <c r="BX85" s="136">
        <v>0</v>
      </c>
      <c r="BY85" s="136">
        <v>0</v>
      </c>
      <c r="BZ85" s="136">
        <v>0</v>
      </c>
      <c r="CA85" s="136">
        <v>0</v>
      </c>
      <c r="CB85" s="136">
        <v>0</v>
      </c>
      <c r="CC85" s="136">
        <v>0</v>
      </c>
      <c r="CD85" s="136">
        <v>0</v>
      </c>
      <c r="CE85" s="136">
        <v>0</v>
      </c>
      <c r="CF85" s="136">
        <v>0</v>
      </c>
      <c r="CG85" s="136">
        <v>0</v>
      </c>
      <c r="CH85" s="136">
        <v>0</v>
      </c>
      <c r="CI85" s="136">
        <v>0</v>
      </c>
      <c r="CJ85" s="136">
        <v>0</v>
      </c>
      <c r="CK85" s="136">
        <v>0</v>
      </c>
      <c r="CL85" s="136">
        <v>0</v>
      </c>
      <c r="CM85" s="136">
        <v>0</v>
      </c>
      <c r="CN85" s="136">
        <v>0</v>
      </c>
      <c r="CO85" s="136">
        <v>0</v>
      </c>
      <c r="CP85" s="136">
        <v>0</v>
      </c>
      <c r="CQ85" s="136">
        <v>0</v>
      </c>
      <c r="CR85" s="136">
        <v>0</v>
      </c>
      <c r="CS85" s="136">
        <v>0</v>
      </c>
      <c r="CT85" s="136">
        <v>0</v>
      </c>
      <c r="CU85" s="136">
        <v>0</v>
      </c>
      <c r="CV85" s="136">
        <v>0</v>
      </c>
      <c r="CW85" s="136">
        <v>0</v>
      </c>
      <c r="CX85" s="136">
        <v>0</v>
      </c>
      <c r="CY85" s="136">
        <v>0</v>
      </c>
      <c r="CZ85" s="136">
        <v>0</v>
      </c>
      <c r="DA85" s="136"/>
      <c r="DB85" s="136"/>
      <c r="DC85" s="136"/>
      <c r="DD85" s="136"/>
      <c r="DE85" s="136"/>
      <c r="DF85" s="136"/>
      <c r="DG85" s="136">
        <v>0</v>
      </c>
      <c r="DH85" s="136">
        <v>0</v>
      </c>
      <c r="DI85" s="136">
        <v>0</v>
      </c>
      <c r="DJ85" s="136">
        <v>0</v>
      </c>
      <c r="DK85" s="136">
        <v>0</v>
      </c>
      <c r="DL85" s="136">
        <v>0</v>
      </c>
      <c r="DM85" s="136">
        <v>0</v>
      </c>
      <c r="DN85" s="136">
        <v>0</v>
      </c>
      <c r="DO85" s="136">
        <v>0</v>
      </c>
      <c r="DP85" s="136">
        <v>0</v>
      </c>
      <c r="DQ85" s="136">
        <v>0</v>
      </c>
      <c r="DR85" s="136">
        <v>0</v>
      </c>
      <c r="DS85" s="136"/>
      <c r="DT85" s="136"/>
      <c r="DU85" s="136"/>
      <c r="DV85" s="136"/>
      <c r="DW85" s="136"/>
      <c r="DX85" s="136"/>
      <c r="DY85" s="136">
        <v>0</v>
      </c>
      <c r="DZ85" s="136">
        <v>0</v>
      </c>
      <c r="EA85" s="136">
        <v>0</v>
      </c>
      <c r="EB85" s="136">
        <v>0</v>
      </c>
      <c r="EC85" s="136">
        <v>0</v>
      </c>
      <c r="ED85" s="136">
        <v>0</v>
      </c>
      <c r="EE85" s="136">
        <v>0</v>
      </c>
      <c r="EF85" s="136">
        <v>0</v>
      </c>
      <c r="EG85" s="136">
        <v>0</v>
      </c>
      <c r="EH85" s="136">
        <v>0</v>
      </c>
      <c r="EI85" s="136">
        <v>0</v>
      </c>
      <c r="EJ85" s="136">
        <v>0</v>
      </c>
      <c r="EK85" s="136"/>
      <c r="EL85" s="136"/>
      <c r="EM85" s="136"/>
      <c r="EN85" s="136"/>
      <c r="EO85" s="136"/>
      <c r="EP85" s="136"/>
      <c r="EQ85" s="136">
        <v>0</v>
      </c>
      <c r="ER85" s="136">
        <v>0</v>
      </c>
      <c r="ES85" s="136">
        <v>0</v>
      </c>
      <c r="ET85" s="136">
        <v>0</v>
      </c>
      <c r="EU85" s="136">
        <v>0</v>
      </c>
      <c r="EV85" s="136">
        <v>0</v>
      </c>
      <c r="EW85" s="136"/>
      <c r="EX85" s="136"/>
      <c r="EY85" s="136"/>
      <c r="EZ85" s="136"/>
      <c r="FA85" s="136"/>
      <c r="FB85" s="136"/>
      <c r="FC85" s="136">
        <v>0</v>
      </c>
      <c r="FD85" s="136">
        <v>0</v>
      </c>
      <c r="FE85" s="136">
        <v>0</v>
      </c>
      <c r="FF85" s="136">
        <v>0</v>
      </c>
      <c r="FG85" s="136">
        <v>0</v>
      </c>
      <c r="FH85" s="136">
        <v>0</v>
      </c>
      <c r="FI85" s="136"/>
      <c r="FJ85" s="136"/>
      <c r="FK85" s="136"/>
      <c r="FL85" s="136"/>
      <c r="FM85" s="136"/>
      <c r="FN85" s="136"/>
      <c r="FO85" s="136">
        <v>0</v>
      </c>
      <c r="FP85" s="136">
        <v>0</v>
      </c>
      <c r="FQ85" s="136">
        <v>0</v>
      </c>
      <c r="FR85" s="136">
        <v>0</v>
      </c>
      <c r="FS85" s="136">
        <v>0</v>
      </c>
      <c r="FT85" s="136">
        <v>0</v>
      </c>
      <c r="FU85" s="136">
        <v>0</v>
      </c>
      <c r="FV85" s="136">
        <v>0</v>
      </c>
      <c r="FW85" s="136">
        <v>0</v>
      </c>
      <c r="FX85" s="136">
        <v>0</v>
      </c>
      <c r="FY85" s="136">
        <v>0</v>
      </c>
      <c r="FZ85" s="136">
        <v>0</v>
      </c>
      <c r="GA85" s="136">
        <v>0</v>
      </c>
      <c r="GB85" s="136">
        <v>0</v>
      </c>
      <c r="GC85" s="136">
        <v>0</v>
      </c>
      <c r="GD85" s="136">
        <v>0</v>
      </c>
      <c r="GE85" s="136">
        <v>0</v>
      </c>
      <c r="GF85" s="136">
        <v>0</v>
      </c>
      <c r="GG85" s="136">
        <v>0</v>
      </c>
      <c r="GH85" s="136">
        <v>0</v>
      </c>
      <c r="GI85" s="136">
        <v>0</v>
      </c>
      <c r="GJ85" s="136">
        <v>0</v>
      </c>
      <c r="GK85" s="136">
        <v>0</v>
      </c>
      <c r="GL85" s="136">
        <v>0</v>
      </c>
      <c r="GM85" s="136">
        <v>0</v>
      </c>
      <c r="GN85" s="136">
        <v>0</v>
      </c>
      <c r="GO85" s="136">
        <v>0</v>
      </c>
      <c r="GP85" s="136">
        <v>0</v>
      </c>
      <c r="GQ85" s="136">
        <v>0</v>
      </c>
      <c r="GR85" s="136">
        <v>0</v>
      </c>
      <c r="GS85" s="136">
        <v>0</v>
      </c>
      <c r="GT85" s="136">
        <v>0</v>
      </c>
      <c r="GU85" s="136">
        <v>0</v>
      </c>
      <c r="GW85" s="137"/>
      <c r="GY85" s="136">
        <v>387032</v>
      </c>
      <c r="GZ85" s="136" t="s">
        <v>439</v>
      </c>
      <c r="HA85" s="136" t="s">
        <v>439</v>
      </c>
      <c r="HB85" s="136" t="s">
        <v>439</v>
      </c>
      <c r="HC85" s="136" t="s">
        <v>439</v>
      </c>
      <c r="HD85" s="136" t="s">
        <v>439</v>
      </c>
      <c r="HE85" s="136" t="s">
        <v>439</v>
      </c>
      <c r="HF85" s="136" t="s">
        <v>439</v>
      </c>
      <c r="HG85" s="136" t="s">
        <v>439</v>
      </c>
      <c r="HH85" s="136" t="s">
        <v>439</v>
      </c>
      <c r="HI85" s="35" t="s">
        <v>439</v>
      </c>
      <c r="HJ85" s="35" t="s">
        <v>439</v>
      </c>
      <c r="HK85" s="35" t="s">
        <v>439</v>
      </c>
      <c r="HL85"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21974</v>
      </c>
      <c r="HM85"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85"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85"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85"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85"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189961</v>
      </c>
      <c r="HR85"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387032</v>
      </c>
    </row>
    <row r="86" spans="1:226">
      <c r="A86" s="35" t="s">
        <v>39</v>
      </c>
      <c r="B86" s="37" t="s">
        <v>19</v>
      </c>
      <c r="C86" s="37">
        <v>240</v>
      </c>
      <c r="D86" s="37" t="s">
        <v>835</v>
      </c>
      <c r="E86" s="103">
        <v>11711</v>
      </c>
      <c r="F86" s="136">
        <v>461072</v>
      </c>
      <c r="G86" s="136">
        <v>0</v>
      </c>
      <c r="H86" s="136">
        <v>1665960</v>
      </c>
      <c r="I86" s="136">
        <v>403157</v>
      </c>
      <c r="J86" s="136">
        <v>57914</v>
      </c>
      <c r="K86" s="136">
        <v>0</v>
      </c>
      <c r="L86" s="136">
        <v>0</v>
      </c>
      <c r="M86" s="136">
        <v>0</v>
      </c>
      <c r="N86" s="136">
        <v>0</v>
      </c>
      <c r="O86" s="136">
        <v>0</v>
      </c>
      <c r="P86" s="136">
        <v>0</v>
      </c>
      <c r="Q86" s="136">
        <v>0</v>
      </c>
      <c r="R86" s="136">
        <v>0</v>
      </c>
      <c r="S86" s="136">
        <v>0</v>
      </c>
      <c r="T86" s="136">
        <v>0</v>
      </c>
      <c r="U86" s="136">
        <v>105449</v>
      </c>
      <c r="V86" s="136">
        <v>0</v>
      </c>
      <c r="W86" s="136">
        <v>0</v>
      </c>
      <c r="X86" s="136">
        <v>3140</v>
      </c>
      <c r="Y86" s="136">
        <v>27563</v>
      </c>
      <c r="Z86" s="136">
        <v>0</v>
      </c>
      <c r="AA86" s="136">
        <v>51750</v>
      </c>
      <c r="AB86" s="136">
        <v>0</v>
      </c>
      <c r="AC86" s="136">
        <v>0</v>
      </c>
      <c r="AD86" s="136">
        <v>4800</v>
      </c>
      <c r="AE86" s="136">
        <v>0</v>
      </c>
      <c r="AF86" s="136">
        <v>0</v>
      </c>
      <c r="AG86" s="136">
        <v>99601</v>
      </c>
      <c r="AH86" s="136">
        <v>0</v>
      </c>
      <c r="AI86" s="136">
        <v>0</v>
      </c>
      <c r="AJ86" s="136">
        <v>3426</v>
      </c>
      <c r="AK86" s="136">
        <v>79494</v>
      </c>
      <c r="AL86" s="136">
        <v>0</v>
      </c>
      <c r="AM86" s="136">
        <v>614510</v>
      </c>
      <c r="AN86" s="136">
        <v>14673</v>
      </c>
      <c r="AO86" s="136">
        <v>258279</v>
      </c>
      <c r="AP86" s="136">
        <v>0</v>
      </c>
      <c r="AQ86" s="136">
        <v>0</v>
      </c>
      <c r="AR86" s="136">
        <v>15259</v>
      </c>
      <c r="AS86" s="136">
        <v>0</v>
      </c>
      <c r="AT86" s="136">
        <v>0</v>
      </c>
      <c r="AU86" s="136">
        <v>0</v>
      </c>
      <c r="AV86" s="136">
        <v>0</v>
      </c>
      <c r="AW86" s="136">
        <v>0</v>
      </c>
      <c r="AX86" s="136">
        <v>0</v>
      </c>
      <c r="AY86" s="136">
        <v>0</v>
      </c>
      <c r="AZ86" s="136">
        <v>0</v>
      </c>
      <c r="BA86" s="136">
        <v>0</v>
      </c>
      <c r="BB86" s="136">
        <v>0</v>
      </c>
      <c r="BC86" s="136">
        <v>0</v>
      </c>
      <c r="BD86" s="136">
        <v>0</v>
      </c>
      <c r="BE86" s="136">
        <v>178574</v>
      </c>
      <c r="BF86" s="136">
        <v>0</v>
      </c>
      <c r="BG86" s="136">
        <v>0</v>
      </c>
      <c r="BH86" s="136">
        <v>8242</v>
      </c>
      <c r="BI86" s="136">
        <v>19520</v>
      </c>
      <c r="BJ86" s="136">
        <v>0</v>
      </c>
      <c r="BK86" s="136">
        <v>103723</v>
      </c>
      <c r="BL86" s="136">
        <v>0</v>
      </c>
      <c r="BM86" s="136">
        <v>0</v>
      </c>
      <c r="BN86" s="136">
        <v>0</v>
      </c>
      <c r="BO86" s="136">
        <v>0</v>
      </c>
      <c r="BP86" s="136">
        <v>0</v>
      </c>
      <c r="BQ86" s="136">
        <v>48952</v>
      </c>
      <c r="BR86" s="136">
        <v>0</v>
      </c>
      <c r="BS86" s="136">
        <v>0</v>
      </c>
      <c r="BT86" s="136">
        <v>4625</v>
      </c>
      <c r="BU86" s="136">
        <v>0</v>
      </c>
      <c r="BV86" s="136">
        <v>0</v>
      </c>
      <c r="BW86" s="136">
        <v>4667</v>
      </c>
      <c r="BX86" s="136">
        <v>0</v>
      </c>
      <c r="BY86" s="136">
        <v>0</v>
      </c>
      <c r="BZ86" s="136">
        <v>3507</v>
      </c>
      <c r="CA86" s="136">
        <v>406982</v>
      </c>
      <c r="CB86" s="136">
        <v>797</v>
      </c>
      <c r="CC86" s="136">
        <v>0</v>
      </c>
      <c r="CD86" s="136">
        <v>0</v>
      </c>
      <c r="CE86" s="136">
        <v>0</v>
      </c>
      <c r="CF86" s="136">
        <v>2681</v>
      </c>
      <c r="CG86" s="136">
        <v>0</v>
      </c>
      <c r="CH86" s="136">
        <v>0</v>
      </c>
      <c r="CI86" s="136">
        <v>0</v>
      </c>
      <c r="CJ86" s="136">
        <v>0</v>
      </c>
      <c r="CK86" s="136">
        <v>0</v>
      </c>
      <c r="CL86" s="136">
        <v>0</v>
      </c>
      <c r="CM86" s="136">
        <v>0</v>
      </c>
      <c r="CN86" s="136">
        <v>0</v>
      </c>
      <c r="CO86" s="136">
        <v>66095</v>
      </c>
      <c r="CP86" s="136">
        <v>0</v>
      </c>
      <c r="CQ86" s="136">
        <v>0</v>
      </c>
      <c r="CR86" s="136">
        <v>864</v>
      </c>
      <c r="CS86" s="136">
        <v>0</v>
      </c>
      <c r="CT86" s="136">
        <v>5566</v>
      </c>
      <c r="CU86" s="136">
        <v>0</v>
      </c>
      <c r="CV86" s="136">
        <v>0</v>
      </c>
      <c r="CW86" s="136">
        <v>0</v>
      </c>
      <c r="CX86" s="136">
        <v>0</v>
      </c>
      <c r="CY86" s="136">
        <v>0</v>
      </c>
      <c r="CZ86" s="136">
        <v>0</v>
      </c>
      <c r="DA86" s="136"/>
      <c r="DB86" s="136"/>
      <c r="DC86" s="136"/>
      <c r="DD86" s="136"/>
      <c r="DE86" s="136"/>
      <c r="DF86" s="136"/>
      <c r="DG86" s="136">
        <v>0</v>
      </c>
      <c r="DH86" s="136">
        <v>369425</v>
      </c>
      <c r="DI86" s="136">
        <v>0</v>
      </c>
      <c r="DJ86" s="136">
        <v>-375133</v>
      </c>
      <c r="DK86" s="136">
        <v>0</v>
      </c>
      <c r="DL86" s="136">
        <v>0</v>
      </c>
      <c r="DM86" s="136">
        <v>0</v>
      </c>
      <c r="DN86" s="136">
        <v>0</v>
      </c>
      <c r="DO86" s="136">
        <v>0</v>
      </c>
      <c r="DP86" s="136">
        <v>0</v>
      </c>
      <c r="DQ86" s="136">
        <v>0</v>
      </c>
      <c r="DR86" s="136">
        <v>0</v>
      </c>
      <c r="DS86" s="136"/>
      <c r="DT86" s="136"/>
      <c r="DU86" s="136"/>
      <c r="DV86" s="136"/>
      <c r="DW86" s="136"/>
      <c r="DX86" s="136"/>
      <c r="DY86" s="136">
        <v>0</v>
      </c>
      <c r="DZ86" s="136">
        <v>0</v>
      </c>
      <c r="EA86" s="136">
        <v>0</v>
      </c>
      <c r="EB86" s="136">
        <v>0</v>
      </c>
      <c r="EC86" s="136">
        <v>0</v>
      </c>
      <c r="ED86" s="136">
        <v>0</v>
      </c>
      <c r="EE86" s="136">
        <v>0</v>
      </c>
      <c r="EF86" s="136">
        <v>0</v>
      </c>
      <c r="EG86" s="136">
        <v>0</v>
      </c>
      <c r="EH86" s="136">
        <v>0</v>
      </c>
      <c r="EI86" s="136">
        <v>0</v>
      </c>
      <c r="EJ86" s="136">
        <v>0</v>
      </c>
      <c r="EK86" s="136"/>
      <c r="EL86" s="136"/>
      <c r="EM86" s="136"/>
      <c r="EN86" s="136"/>
      <c r="EO86" s="136"/>
      <c r="EP86" s="136"/>
      <c r="EQ86" s="136">
        <v>0</v>
      </c>
      <c r="ER86" s="136">
        <v>0</v>
      </c>
      <c r="ES86" s="136">
        <v>0</v>
      </c>
      <c r="ET86" s="136">
        <v>0</v>
      </c>
      <c r="EU86" s="136">
        <v>0</v>
      </c>
      <c r="EV86" s="136">
        <v>0</v>
      </c>
      <c r="EW86" s="136"/>
      <c r="EX86" s="136"/>
      <c r="EY86" s="136"/>
      <c r="EZ86" s="136"/>
      <c r="FA86" s="136"/>
      <c r="FB86" s="136"/>
      <c r="FC86" s="136">
        <v>0</v>
      </c>
      <c r="FD86" s="136">
        <v>0</v>
      </c>
      <c r="FE86" s="136">
        <v>0</v>
      </c>
      <c r="FF86" s="136">
        <v>0</v>
      </c>
      <c r="FG86" s="136">
        <v>0</v>
      </c>
      <c r="FH86" s="136">
        <v>0</v>
      </c>
      <c r="FI86" s="136"/>
      <c r="FJ86" s="136"/>
      <c r="FK86" s="136"/>
      <c r="FL86" s="136"/>
      <c r="FM86" s="136"/>
      <c r="FN86" s="136"/>
      <c r="FO86" s="136">
        <v>0</v>
      </c>
      <c r="FP86" s="136">
        <v>0</v>
      </c>
      <c r="FQ86" s="136">
        <v>0</v>
      </c>
      <c r="FR86" s="136">
        <v>0</v>
      </c>
      <c r="FS86" s="136">
        <v>0</v>
      </c>
      <c r="FT86" s="136">
        <v>0</v>
      </c>
      <c r="FU86" s="136">
        <v>0</v>
      </c>
      <c r="FV86" s="136">
        <v>0</v>
      </c>
      <c r="FW86" s="136">
        <v>0</v>
      </c>
      <c r="FX86" s="136">
        <v>0</v>
      </c>
      <c r="FY86" s="136">
        <v>0</v>
      </c>
      <c r="FZ86" s="136">
        <v>0</v>
      </c>
      <c r="GA86" s="136">
        <v>0</v>
      </c>
      <c r="GB86" s="136">
        <v>0</v>
      </c>
      <c r="GC86" s="136">
        <v>0</v>
      </c>
      <c r="GD86" s="136">
        <v>0</v>
      </c>
      <c r="GE86" s="136">
        <v>0</v>
      </c>
      <c r="GF86" s="136">
        <v>0</v>
      </c>
      <c r="GG86" s="136">
        <v>0</v>
      </c>
      <c r="GH86" s="136">
        <v>0</v>
      </c>
      <c r="GI86" s="136">
        <v>0</v>
      </c>
      <c r="GJ86" s="136">
        <v>0</v>
      </c>
      <c r="GK86" s="136">
        <v>0</v>
      </c>
      <c r="GL86" s="136">
        <v>0</v>
      </c>
      <c r="GM86" s="136">
        <v>0</v>
      </c>
      <c r="GN86" s="136">
        <v>0</v>
      </c>
      <c r="GO86" s="136">
        <v>0</v>
      </c>
      <c r="GP86" s="136">
        <v>0</v>
      </c>
      <c r="GQ86" s="136">
        <v>0</v>
      </c>
      <c r="GR86" s="136">
        <v>0</v>
      </c>
      <c r="GS86" s="136">
        <v>46206612</v>
      </c>
      <c r="GT86" s="136">
        <v>2184946</v>
      </c>
      <c r="GU86" s="136">
        <v>133359340</v>
      </c>
      <c r="GV86" s="35" t="s">
        <v>344</v>
      </c>
      <c r="GW86" s="137">
        <v>2812832134</v>
      </c>
      <c r="GX86" s="35" t="s">
        <v>345</v>
      </c>
      <c r="GY86" s="136">
        <v>2127032</v>
      </c>
      <c r="GZ86" s="136">
        <v>-83283</v>
      </c>
      <c r="HA86" s="136">
        <v>57914</v>
      </c>
      <c r="HB86" s="136">
        <v>0</v>
      </c>
      <c r="HC86" s="136">
        <v>0</v>
      </c>
      <c r="HD86" s="136">
        <v>0</v>
      </c>
      <c r="HE86" s="136">
        <v>0</v>
      </c>
      <c r="HF86" s="136">
        <v>0</v>
      </c>
      <c r="HG86" s="136">
        <v>0</v>
      </c>
      <c r="HH86" s="136">
        <v>0</v>
      </c>
      <c r="HI86" s="35" t="s">
        <v>439</v>
      </c>
      <c r="HJ86" s="35" t="s">
        <v>439</v>
      </c>
      <c r="HK86" s="35" t="s">
        <v>439</v>
      </c>
      <c r="HL86"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1273321</v>
      </c>
      <c r="HM86"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384098</v>
      </c>
      <c r="HN86"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258279</v>
      </c>
      <c r="HO86"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31285</v>
      </c>
      <c r="HP86"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533559</v>
      </c>
      <c r="HQ86"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21622</v>
      </c>
      <c r="HR86"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2101663</v>
      </c>
    </row>
    <row r="87" spans="1:226">
      <c r="A87" s="35" t="s">
        <v>40</v>
      </c>
      <c r="B87" s="37" t="s">
        <v>19</v>
      </c>
      <c r="C87" s="37">
        <v>250</v>
      </c>
      <c r="D87" s="37" t="s">
        <v>835</v>
      </c>
      <c r="E87" s="103">
        <v>12826</v>
      </c>
      <c r="F87" s="136">
        <v>315598</v>
      </c>
      <c r="G87" s="136">
        <v>0</v>
      </c>
      <c r="H87" s="136">
        <v>1662349</v>
      </c>
      <c r="I87" s="136">
        <v>0</v>
      </c>
      <c r="J87" s="136">
        <v>12846</v>
      </c>
      <c r="K87" s="136">
        <v>0</v>
      </c>
      <c r="L87" s="136">
        <v>0</v>
      </c>
      <c r="M87" s="136">
        <v>0</v>
      </c>
      <c r="N87" s="136">
        <v>0</v>
      </c>
      <c r="O87" s="136">
        <v>0</v>
      </c>
      <c r="P87" s="136">
        <v>0</v>
      </c>
      <c r="Q87" s="136">
        <v>0</v>
      </c>
      <c r="R87" s="136">
        <v>0</v>
      </c>
      <c r="S87" s="136">
        <v>0</v>
      </c>
      <c r="T87" s="136">
        <v>0</v>
      </c>
      <c r="U87" s="136">
        <v>0</v>
      </c>
      <c r="V87" s="136">
        <v>0</v>
      </c>
      <c r="W87" s="136">
        <v>0</v>
      </c>
      <c r="X87" s="136">
        <v>0</v>
      </c>
      <c r="Y87" s="136">
        <v>0</v>
      </c>
      <c r="Z87" s="136">
        <v>0</v>
      </c>
      <c r="AA87" s="136">
        <v>184131</v>
      </c>
      <c r="AB87" s="136">
        <v>0</v>
      </c>
      <c r="AC87" s="136">
        <v>0</v>
      </c>
      <c r="AD87" s="136">
        <v>0</v>
      </c>
      <c r="AE87" s="136">
        <v>0</v>
      </c>
      <c r="AF87" s="136">
        <v>0</v>
      </c>
      <c r="AG87" s="136">
        <v>0</v>
      </c>
      <c r="AH87" s="136">
        <v>0</v>
      </c>
      <c r="AI87" s="136">
        <v>0</v>
      </c>
      <c r="AJ87" s="136">
        <v>0</v>
      </c>
      <c r="AK87" s="136">
        <v>0</v>
      </c>
      <c r="AL87" s="136">
        <v>0</v>
      </c>
      <c r="AM87" s="136">
        <v>0</v>
      </c>
      <c r="AN87" s="136">
        <v>0</v>
      </c>
      <c r="AO87" s="136">
        <v>0</v>
      </c>
      <c r="AP87" s="136">
        <v>0</v>
      </c>
      <c r="AQ87" s="136">
        <v>0</v>
      </c>
      <c r="AR87" s="136">
        <v>0</v>
      </c>
      <c r="AS87" s="136">
        <v>4987</v>
      </c>
      <c r="AT87" s="136">
        <v>0</v>
      </c>
      <c r="AU87" s="136">
        <v>0</v>
      </c>
      <c r="AV87" s="136">
        <v>0</v>
      </c>
      <c r="AW87" s="136">
        <v>0</v>
      </c>
      <c r="AX87" s="136">
        <v>0</v>
      </c>
      <c r="AY87" s="136">
        <v>0</v>
      </c>
      <c r="AZ87" s="136">
        <v>0</v>
      </c>
      <c r="BA87" s="136">
        <v>0</v>
      </c>
      <c r="BB87" s="136">
        <v>0</v>
      </c>
      <c r="BC87" s="136">
        <v>0</v>
      </c>
      <c r="BD87" s="136">
        <v>0</v>
      </c>
      <c r="BE87" s="136">
        <v>0</v>
      </c>
      <c r="BF87" s="136">
        <v>0</v>
      </c>
      <c r="BG87" s="136">
        <v>0</v>
      </c>
      <c r="BH87" s="136">
        <v>0</v>
      </c>
      <c r="BI87" s="136">
        <v>0</v>
      </c>
      <c r="BJ87" s="136">
        <v>0</v>
      </c>
      <c r="BK87" s="136">
        <v>0</v>
      </c>
      <c r="BL87" s="136">
        <v>0</v>
      </c>
      <c r="BM87" s="136">
        <v>0</v>
      </c>
      <c r="BN87" s="136">
        <v>0</v>
      </c>
      <c r="BO87" s="136">
        <v>0</v>
      </c>
      <c r="BP87" s="136">
        <v>0</v>
      </c>
      <c r="BQ87" s="136">
        <v>575370</v>
      </c>
      <c r="BR87" s="136">
        <v>0</v>
      </c>
      <c r="BS87" s="136">
        <v>0</v>
      </c>
      <c r="BT87" s="136">
        <v>0</v>
      </c>
      <c r="BU87" s="136">
        <v>0</v>
      </c>
      <c r="BV87" s="136">
        <v>0</v>
      </c>
      <c r="BW87" s="136">
        <v>673226</v>
      </c>
      <c r="BX87" s="136">
        <v>14218</v>
      </c>
      <c r="BY87" s="136">
        <v>0</v>
      </c>
      <c r="BZ87" s="136">
        <v>0</v>
      </c>
      <c r="CA87" s="136">
        <v>0</v>
      </c>
      <c r="CB87" s="136">
        <v>0</v>
      </c>
      <c r="CC87" s="136">
        <v>0</v>
      </c>
      <c r="CD87" s="136">
        <v>0</v>
      </c>
      <c r="CE87" s="136">
        <v>0</v>
      </c>
      <c r="CF87" s="136">
        <v>0</v>
      </c>
      <c r="CG87" s="136">
        <v>15529</v>
      </c>
      <c r="CH87" s="136">
        <v>0</v>
      </c>
      <c r="CI87" s="136">
        <v>0</v>
      </c>
      <c r="CJ87" s="136">
        <v>0</v>
      </c>
      <c r="CK87" s="136">
        <v>0</v>
      </c>
      <c r="CL87" s="136">
        <v>0</v>
      </c>
      <c r="CM87" s="136">
        <v>0</v>
      </c>
      <c r="CN87" s="136">
        <v>0</v>
      </c>
      <c r="CO87" s="136">
        <v>0</v>
      </c>
      <c r="CP87" s="136">
        <v>0</v>
      </c>
      <c r="CQ87" s="136">
        <v>0</v>
      </c>
      <c r="CR87" s="136">
        <v>0</v>
      </c>
      <c r="CS87" s="136">
        <v>0</v>
      </c>
      <c r="CT87" s="136">
        <v>0</v>
      </c>
      <c r="CU87" s="136">
        <v>0</v>
      </c>
      <c r="CV87" s="136">
        <v>0</v>
      </c>
      <c r="CW87" s="136">
        <v>0</v>
      </c>
      <c r="CX87" s="136">
        <v>0</v>
      </c>
      <c r="CY87" s="136">
        <v>0</v>
      </c>
      <c r="CZ87" s="136">
        <v>0</v>
      </c>
      <c r="DA87" s="136"/>
      <c r="DB87" s="136"/>
      <c r="DC87" s="136"/>
      <c r="DD87" s="136"/>
      <c r="DE87" s="136"/>
      <c r="DF87" s="136"/>
      <c r="DG87" s="136">
        <v>70501</v>
      </c>
      <c r="DH87" s="136">
        <v>0</v>
      </c>
      <c r="DI87" s="136">
        <v>3652</v>
      </c>
      <c r="DJ87" s="136">
        <v>0</v>
      </c>
      <c r="DK87" s="136">
        <v>52471</v>
      </c>
      <c r="DL87" s="136">
        <v>81110</v>
      </c>
      <c r="DM87" s="136">
        <v>0</v>
      </c>
      <c r="DN87" s="136">
        <v>0</v>
      </c>
      <c r="DO87" s="136">
        <v>0</v>
      </c>
      <c r="DP87" s="136">
        <v>0</v>
      </c>
      <c r="DQ87" s="136">
        <v>0</v>
      </c>
      <c r="DR87" s="136">
        <v>0</v>
      </c>
      <c r="DS87" s="136"/>
      <c r="DT87" s="136"/>
      <c r="DU87" s="136"/>
      <c r="DV87" s="136"/>
      <c r="DW87" s="136"/>
      <c r="DX87" s="136"/>
      <c r="DY87" s="136">
        <v>0</v>
      </c>
      <c r="DZ87" s="136">
        <v>0</v>
      </c>
      <c r="EA87" s="136">
        <v>0</v>
      </c>
      <c r="EB87" s="136">
        <v>0</v>
      </c>
      <c r="EC87" s="136">
        <v>0</v>
      </c>
      <c r="ED87" s="136">
        <v>0</v>
      </c>
      <c r="EE87" s="136">
        <v>0</v>
      </c>
      <c r="EF87" s="136">
        <v>0</v>
      </c>
      <c r="EG87" s="136">
        <v>0</v>
      </c>
      <c r="EH87" s="136">
        <v>0</v>
      </c>
      <c r="EI87" s="136">
        <v>0</v>
      </c>
      <c r="EJ87" s="136">
        <v>0</v>
      </c>
      <c r="EK87" s="136"/>
      <c r="EL87" s="136"/>
      <c r="EM87" s="136"/>
      <c r="EN87" s="136"/>
      <c r="EO87" s="136"/>
      <c r="EP87" s="136"/>
      <c r="EQ87" s="136">
        <v>0</v>
      </c>
      <c r="ER87" s="136">
        <v>0</v>
      </c>
      <c r="ES87" s="136">
        <v>0</v>
      </c>
      <c r="ET87" s="136">
        <v>0</v>
      </c>
      <c r="EU87" s="136">
        <v>0</v>
      </c>
      <c r="EV87" s="136">
        <v>0</v>
      </c>
      <c r="EW87" s="136"/>
      <c r="EX87" s="136"/>
      <c r="EY87" s="136"/>
      <c r="EZ87" s="136"/>
      <c r="FA87" s="136"/>
      <c r="FB87" s="136"/>
      <c r="FC87" s="136">
        <v>0</v>
      </c>
      <c r="FD87" s="136">
        <v>0</v>
      </c>
      <c r="FE87" s="136">
        <v>0</v>
      </c>
      <c r="FF87" s="136">
        <v>0</v>
      </c>
      <c r="FG87" s="136">
        <v>0</v>
      </c>
      <c r="FH87" s="136">
        <v>0</v>
      </c>
      <c r="FI87" s="136"/>
      <c r="FJ87" s="136"/>
      <c r="FK87" s="136"/>
      <c r="FL87" s="136"/>
      <c r="FM87" s="136"/>
      <c r="FN87" s="136"/>
      <c r="FO87" s="136">
        <v>0</v>
      </c>
      <c r="FP87" s="136">
        <v>0</v>
      </c>
      <c r="FQ87" s="136">
        <v>0</v>
      </c>
      <c r="FR87" s="136">
        <v>0</v>
      </c>
      <c r="FS87" s="136">
        <v>0</v>
      </c>
      <c r="FT87" s="136">
        <v>0</v>
      </c>
      <c r="FU87" s="136">
        <v>0</v>
      </c>
      <c r="FV87" s="136">
        <v>0</v>
      </c>
      <c r="FW87" s="136">
        <v>0</v>
      </c>
      <c r="FX87" s="136">
        <v>0</v>
      </c>
      <c r="FY87" s="136">
        <v>0</v>
      </c>
      <c r="FZ87" s="136">
        <v>0</v>
      </c>
      <c r="GA87" s="136">
        <v>0</v>
      </c>
      <c r="GB87" s="136">
        <v>0</v>
      </c>
      <c r="GC87" s="136">
        <v>0</v>
      </c>
      <c r="GD87" s="136">
        <v>0</v>
      </c>
      <c r="GE87" s="136">
        <v>0</v>
      </c>
      <c r="GF87" s="136">
        <v>0</v>
      </c>
      <c r="GG87" s="136">
        <v>0</v>
      </c>
      <c r="GH87" s="136">
        <v>0</v>
      </c>
      <c r="GI87" s="136">
        <v>0</v>
      </c>
      <c r="GJ87" s="136">
        <v>0</v>
      </c>
      <c r="GK87" s="136">
        <v>0</v>
      </c>
      <c r="GL87" s="136">
        <v>0</v>
      </c>
      <c r="GM87" s="136">
        <v>0</v>
      </c>
      <c r="GN87" s="136">
        <v>0</v>
      </c>
      <c r="GO87" s="136">
        <v>0</v>
      </c>
      <c r="GP87" s="136">
        <v>0</v>
      </c>
      <c r="GQ87" s="136">
        <v>0</v>
      </c>
      <c r="GR87" s="136">
        <v>0</v>
      </c>
      <c r="GS87" s="136">
        <v>42902641</v>
      </c>
      <c r="GT87" s="136">
        <v>1990793</v>
      </c>
      <c r="GU87" s="136">
        <v>181911915</v>
      </c>
      <c r="GV87" s="35" t="s">
        <v>346</v>
      </c>
      <c r="GW87" s="137">
        <v>7132218617</v>
      </c>
      <c r="GX87" s="35" t="s">
        <v>347</v>
      </c>
      <c r="GY87" s="136">
        <v>1977947</v>
      </c>
      <c r="GZ87" s="136">
        <v>-395991</v>
      </c>
      <c r="HA87" s="136">
        <v>12845</v>
      </c>
      <c r="HB87" s="136">
        <v>0</v>
      </c>
      <c r="HC87" s="136">
        <v>0</v>
      </c>
      <c r="HD87" s="136">
        <v>0</v>
      </c>
      <c r="HE87" s="136">
        <v>0</v>
      </c>
      <c r="HF87" s="136">
        <v>0</v>
      </c>
      <c r="HG87" s="136">
        <v>0</v>
      </c>
      <c r="HH87" s="136">
        <v>0</v>
      </c>
      <c r="HI87" s="35" t="s">
        <v>439</v>
      </c>
      <c r="HJ87" s="35" t="s">
        <v>439</v>
      </c>
      <c r="HK87" s="35" t="s">
        <v>439</v>
      </c>
      <c r="HL87"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1508215</v>
      </c>
      <c r="HM87"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14218</v>
      </c>
      <c r="HN87"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3652</v>
      </c>
      <c r="HO87"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70501</v>
      </c>
      <c r="HP87"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68000</v>
      </c>
      <c r="HQ87"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81110</v>
      </c>
      <c r="HR87"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1594801</v>
      </c>
    </row>
    <row r="88" spans="1:226">
      <c r="A88" s="35" t="s">
        <v>830</v>
      </c>
      <c r="B88" s="37" t="s">
        <v>828</v>
      </c>
      <c r="C88" s="37" t="s">
        <v>662</v>
      </c>
      <c r="D88" s="37" t="s">
        <v>835</v>
      </c>
      <c r="E88" s="103">
        <v>11721</v>
      </c>
      <c r="F88" s="136">
        <v>0</v>
      </c>
      <c r="G88" s="136">
        <v>0</v>
      </c>
      <c r="H88" s="136">
        <v>25572</v>
      </c>
      <c r="I88" s="136">
        <v>0</v>
      </c>
      <c r="J88" s="136">
        <v>0</v>
      </c>
      <c r="K88" s="136">
        <v>0</v>
      </c>
      <c r="L88" s="136">
        <v>0</v>
      </c>
      <c r="M88" s="136">
        <v>0</v>
      </c>
      <c r="N88" s="136">
        <v>0</v>
      </c>
      <c r="O88" s="136">
        <v>0</v>
      </c>
      <c r="P88" s="136">
        <v>0</v>
      </c>
      <c r="Q88" s="136">
        <v>0</v>
      </c>
      <c r="R88" s="136">
        <v>0</v>
      </c>
      <c r="S88" s="136">
        <v>0</v>
      </c>
      <c r="T88" s="136">
        <v>0</v>
      </c>
      <c r="U88" s="136">
        <v>0</v>
      </c>
      <c r="V88" s="136">
        <v>0</v>
      </c>
      <c r="W88" s="136">
        <v>0</v>
      </c>
      <c r="X88" s="136">
        <v>0</v>
      </c>
      <c r="Y88" s="136">
        <v>0</v>
      </c>
      <c r="Z88" s="136">
        <v>0</v>
      </c>
      <c r="AA88" s="136">
        <v>0</v>
      </c>
      <c r="AB88" s="136">
        <v>0</v>
      </c>
      <c r="AC88" s="136">
        <v>0</v>
      </c>
      <c r="AD88" s="136">
        <v>0</v>
      </c>
      <c r="AE88" s="136">
        <v>0</v>
      </c>
      <c r="AF88" s="136">
        <v>0</v>
      </c>
      <c r="AG88" s="136">
        <v>0</v>
      </c>
      <c r="AH88" s="136">
        <v>0</v>
      </c>
      <c r="AI88" s="136">
        <v>0</v>
      </c>
      <c r="AJ88" s="136">
        <v>0</v>
      </c>
      <c r="AK88" s="136">
        <v>0</v>
      </c>
      <c r="AL88" s="136">
        <v>0</v>
      </c>
      <c r="AM88" s="136">
        <v>0</v>
      </c>
      <c r="AN88" s="136">
        <v>0</v>
      </c>
      <c r="AO88" s="136">
        <v>0</v>
      </c>
      <c r="AP88" s="136">
        <v>0</v>
      </c>
      <c r="AQ88" s="136">
        <v>0</v>
      </c>
      <c r="AR88" s="136">
        <v>0</v>
      </c>
      <c r="AS88" s="136">
        <v>0</v>
      </c>
      <c r="AT88" s="136">
        <v>0</v>
      </c>
      <c r="AU88" s="136">
        <v>0</v>
      </c>
      <c r="AV88" s="136">
        <v>0</v>
      </c>
      <c r="AW88" s="136">
        <v>0</v>
      </c>
      <c r="AX88" s="136">
        <v>0</v>
      </c>
      <c r="AY88" s="136">
        <v>0</v>
      </c>
      <c r="AZ88" s="136">
        <v>0</v>
      </c>
      <c r="BA88" s="136">
        <v>0</v>
      </c>
      <c r="BB88" s="136">
        <v>0</v>
      </c>
      <c r="BC88" s="136">
        <v>0</v>
      </c>
      <c r="BD88" s="136">
        <v>0</v>
      </c>
      <c r="BE88" s="136">
        <v>0</v>
      </c>
      <c r="BF88" s="136">
        <v>0</v>
      </c>
      <c r="BG88" s="136">
        <v>0</v>
      </c>
      <c r="BH88" s="136">
        <v>0</v>
      </c>
      <c r="BI88" s="136">
        <v>0</v>
      </c>
      <c r="BJ88" s="136">
        <v>0</v>
      </c>
      <c r="BK88" s="136">
        <v>0</v>
      </c>
      <c r="BL88" s="136">
        <v>0</v>
      </c>
      <c r="BM88" s="136">
        <v>0</v>
      </c>
      <c r="BN88" s="136">
        <v>0</v>
      </c>
      <c r="BO88" s="136">
        <v>0</v>
      </c>
      <c r="BP88" s="136">
        <v>0</v>
      </c>
      <c r="BQ88" s="136">
        <v>0</v>
      </c>
      <c r="BR88" s="136">
        <v>0</v>
      </c>
      <c r="BS88" s="136">
        <v>0</v>
      </c>
      <c r="BT88" s="136">
        <v>0</v>
      </c>
      <c r="BU88" s="136">
        <v>0</v>
      </c>
      <c r="BV88" s="136">
        <v>0</v>
      </c>
      <c r="BW88" s="136">
        <v>0</v>
      </c>
      <c r="BX88" s="136">
        <v>0</v>
      </c>
      <c r="BY88" s="136">
        <v>0</v>
      </c>
      <c r="BZ88" s="136">
        <v>0</v>
      </c>
      <c r="CA88" s="136">
        <v>0</v>
      </c>
      <c r="CB88" s="136">
        <v>0</v>
      </c>
      <c r="CC88" s="136">
        <v>0</v>
      </c>
      <c r="CD88" s="136">
        <v>0</v>
      </c>
      <c r="CE88" s="136">
        <v>0</v>
      </c>
      <c r="CF88" s="136">
        <v>0</v>
      </c>
      <c r="CG88" s="136">
        <v>0</v>
      </c>
      <c r="CH88" s="136">
        <v>0</v>
      </c>
      <c r="CI88" s="136">
        <v>0</v>
      </c>
      <c r="CJ88" s="136">
        <v>0</v>
      </c>
      <c r="CK88" s="136">
        <v>0</v>
      </c>
      <c r="CL88" s="136">
        <v>0</v>
      </c>
      <c r="CM88" s="136">
        <v>0</v>
      </c>
      <c r="CN88" s="136">
        <v>0</v>
      </c>
      <c r="CO88" s="136">
        <v>0</v>
      </c>
      <c r="CP88" s="136">
        <v>0</v>
      </c>
      <c r="CQ88" s="136">
        <v>23837</v>
      </c>
      <c r="CR88" s="136">
        <v>0</v>
      </c>
      <c r="CS88" s="136">
        <v>0</v>
      </c>
      <c r="CT88" s="136">
        <v>0</v>
      </c>
      <c r="CU88" s="136">
        <v>0</v>
      </c>
      <c r="CV88" s="136">
        <v>0</v>
      </c>
      <c r="CW88" s="136">
        <v>0</v>
      </c>
      <c r="CX88" s="136">
        <v>0</v>
      </c>
      <c r="CY88" s="136">
        <v>0</v>
      </c>
      <c r="CZ88" s="136">
        <v>0</v>
      </c>
      <c r="DA88" s="136"/>
      <c r="DB88" s="136"/>
      <c r="DC88" s="136"/>
      <c r="DD88" s="136"/>
      <c r="DE88" s="136"/>
      <c r="DF88" s="136"/>
      <c r="DG88" s="136">
        <v>0</v>
      </c>
      <c r="DH88" s="136">
        <v>0</v>
      </c>
      <c r="DI88" s="136">
        <v>0</v>
      </c>
      <c r="DJ88" s="136">
        <v>1735</v>
      </c>
      <c r="DK88" s="136">
        <v>0</v>
      </c>
      <c r="DL88" s="136">
        <v>0</v>
      </c>
      <c r="DM88" s="136">
        <v>0</v>
      </c>
      <c r="DN88" s="136">
        <v>0</v>
      </c>
      <c r="DO88" s="136">
        <v>0</v>
      </c>
      <c r="DP88" s="136">
        <v>0</v>
      </c>
      <c r="DQ88" s="136">
        <v>0</v>
      </c>
      <c r="DR88" s="136">
        <v>0</v>
      </c>
      <c r="DS88" s="136"/>
      <c r="DT88" s="136"/>
      <c r="DU88" s="136"/>
      <c r="DV88" s="136"/>
      <c r="DW88" s="136"/>
      <c r="DX88" s="136"/>
      <c r="DY88" s="136">
        <v>0</v>
      </c>
      <c r="DZ88" s="136">
        <v>0</v>
      </c>
      <c r="EA88" s="136">
        <v>0</v>
      </c>
      <c r="EB88" s="136">
        <v>0</v>
      </c>
      <c r="EC88" s="136">
        <v>0</v>
      </c>
      <c r="ED88" s="136">
        <v>0</v>
      </c>
      <c r="EE88" s="136">
        <v>0</v>
      </c>
      <c r="EF88" s="136">
        <v>0</v>
      </c>
      <c r="EG88" s="136">
        <v>0</v>
      </c>
      <c r="EH88" s="136">
        <v>0</v>
      </c>
      <c r="EI88" s="136">
        <v>0</v>
      </c>
      <c r="EJ88" s="136">
        <v>0</v>
      </c>
      <c r="EK88" s="136"/>
      <c r="EL88" s="136"/>
      <c r="EM88" s="136"/>
      <c r="EN88" s="136"/>
      <c r="EO88" s="136"/>
      <c r="EP88" s="136"/>
      <c r="EQ88" s="136">
        <v>0</v>
      </c>
      <c r="ER88" s="136">
        <v>0</v>
      </c>
      <c r="ES88" s="136">
        <v>0</v>
      </c>
      <c r="ET88" s="136">
        <v>0</v>
      </c>
      <c r="EU88" s="136">
        <v>0</v>
      </c>
      <c r="EV88" s="136">
        <v>0</v>
      </c>
      <c r="EW88" s="136"/>
      <c r="EX88" s="136"/>
      <c r="EY88" s="136"/>
      <c r="EZ88" s="136"/>
      <c r="FA88" s="136"/>
      <c r="FB88" s="136"/>
      <c r="FC88" s="136">
        <v>0</v>
      </c>
      <c r="FD88" s="136">
        <v>0</v>
      </c>
      <c r="FE88" s="136">
        <v>0</v>
      </c>
      <c r="FF88" s="136">
        <v>0</v>
      </c>
      <c r="FG88" s="136">
        <v>0</v>
      </c>
      <c r="FH88" s="136">
        <v>0</v>
      </c>
      <c r="FI88" s="136"/>
      <c r="FJ88" s="136"/>
      <c r="FK88" s="136"/>
      <c r="FL88" s="136"/>
      <c r="FM88" s="136"/>
      <c r="FN88" s="136"/>
      <c r="FO88" s="136">
        <v>0</v>
      </c>
      <c r="FP88" s="136">
        <v>0</v>
      </c>
      <c r="FQ88" s="136">
        <v>0</v>
      </c>
      <c r="FR88" s="136">
        <v>0</v>
      </c>
      <c r="FS88" s="136">
        <v>0</v>
      </c>
      <c r="FT88" s="136">
        <v>0</v>
      </c>
      <c r="FU88" s="136">
        <v>0</v>
      </c>
      <c r="FV88" s="136">
        <v>0</v>
      </c>
      <c r="FW88" s="136">
        <v>0</v>
      </c>
      <c r="FX88" s="136">
        <v>0</v>
      </c>
      <c r="FY88" s="136">
        <v>0</v>
      </c>
      <c r="FZ88" s="136">
        <v>0</v>
      </c>
      <c r="GA88" s="136">
        <v>0</v>
      </c>
      <c r="GB88" s="136">
        <v>0</v>
      </c>
      <c r="GC88" s="136">
        <v>0</v>
      </c>
      <c r="GD88" s="136">
        <v>0</v>
      </c>
      <c r="GE88" s="136">
        <v>0</v>
      </c>
      <c r="GF88" s="136">
        <v>0</v>
      </c>
      <c r="GG88" s="136">
        <v>0</v>
      </c>
      <c r="GH88" s="136">
        <v>0</v>
      </c>
      <c r="GI88" s="136">
        <v>0</v>
      </c>
      <c r="GJ88" s="136">
        <v>0</v>
      </c>
      <c r="GK88" s="136">
        <v>0</v>
      </c>
      <c r="GL88" s="136">
        <v>0</v>
      </c>
      <c r="GM88" s="136">
        <v>0</v>
      </c>
      <c r="GN88" s="136">
        <v>0</v>
      </c>
      <c r="GO88" s="136">
        <v>0</v>
      </c>
      <c r="GP88" s="136">
        <v>0</v>
      </c>
      <c r="GQ88" s="136">
        <v>0</v>
      </c>
      <c r="GR88" s="136">
        <v>0</v>
      </c>
      <c r="GS88" s="136">
        <v>35798066</v>
      </c>
      <c r="GT88" s="136">
        <v>25572</v>
      </c>
      <c r="GU88" s="136">
        <v>13670197</v>
      </c>
      <c r="GV88" s="35" t="s">
        <v>883</v>
      </c>
      <c r="GW88" s="137" t="s">
        <v>884</v>
      </c>
      <c r="GX88" s="35" t="s">
        <v>885</v>
      </c>
      <c r="GY88" s="141">
        <v>0</v>
      </c>
      <c r="GZ88" s="141">
        <v>0</v>
      </c>
      <c r="HA88" s="136">
        <v>0</v>
      </c>
      <c r="HB88" s="136">
        <v>0</v>
      </c>
      <c r="HC88" s="136">
        <v>0</v>
      </c>
      <c r="HD88" s="136">
        <v>0</v>
      </c>
      <c r="HE88" s="136">
        <v>0</v>
      </c>
      <c r="HF88" s="136">
        <v>0</v>
      </c>
      <c r="HG88" s="136">
        <v>0</v>
      </c>
      <c r="HH88" s="136">
        <v>0</v>
      </c>
      <c r="HI88" s="35">
        <v>0</v>
      </c>
      <c r="HJ88" s="35">
        <v>0</v>
      </c>
      <c r="HK88" s="35">
        <v>0</v>
      </c>
      <c r="HL88"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88"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88"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23837</v>
      </c>
      <c r="HO88"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88"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88"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88"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89" spans="1:226">
      <c r="A89" s="35" t="s">
        <v>41</v>
      </c>
      <c r="B89" s="37" t="s">
        <v>19</v>
      </c>
      <c r="C89" s="37">
        <v>260</v>
      </c>
      <c r="D89" s="37" t="s">
        <v>835</v>
      </c>
      <c r="E89" s="103">
        <v>13231</v>
      </c>
      <c r="F89" s="136">
        <v>301714</v>
      </c>
      <c r="G89" s="136">
        <v>0</v>
      </c>
      <c r="H89" s="136">
        <v>463801</v>
      </c>
      <c r="I89" s="136">
        <v>0</v>
      </c>
      <c r="J89" s="136">
        <v>0</v>
      </c>
      <c r="K89" s="136">
        <v>0</v>
      </c>
      <c r="L89" s="136">
        <v>0</v>
      </c>
      <c r="M89" s="136">
        <v>0</v>
      </c>
      <c r="N89" s="136">
        <v>0</v>
      </c>
      <c r="O89" s="136">
        <v>0</v>
      </c>
      <c r="P89" s="136">
        <v>0</v>
      </c>
      <c r="Q89" s="136">
        <v>0</v>
      </c>
      <c r="R89" s="136">
        <v>0</v>
      </c>
      <c r="S89" s="136">
        <v>0</v>
      </c>
      <c r="T89" s="136">
        <v>0</v>
      </c>
      <c r="U89" s="136">
        <v>0</v>
      </c>
      <c r="V89" s="136">
        <v>0</v>
      </c>
      <c r="W89" s="136">
        <v>0</v>
      </c>
      <c r="X89" s="136">
        <v>0</v>
      </c>
      <c r="Y89" s="136">
        <v>0</v>
      </c>
      <c r="Z89" s="136">
        <v>0</v>
      </c>
      <c r="AA89" s="136">
        <v>126518</v>
      </c>
      <c r="AB89" s="136">
        <v>0</v>
      </c>
      <c r="AC89" s="136">
        <v>0</v>
      </c>
      <c r="AD89" s="136">
        <v>0</v>
      </c>
      <c r="AE89" s="136">
        <v>0</v>
      </c>
      <c r="AF89" s="136">
        <v>0</v>
      </c>
      <c r="AG89" s="136">
        <v>0</v>
      </c>
      <c r="AH89" s="136">
        <v>0</v>
      </c>
      <c r="AI89" s="136">
        <v>0</v>
      </c>
      <c r="AJ89" s="136">
        <v>0</v>
      </c>
      <c r="AK89" s="136">
        <v>0</v>
      </c>
      <c r="AL89" s="136">
        <v>0</v>
      </c>
      <c r="AM89" s="136">
        <v>280219</v>
      </c>
      <c r="AN89" s="136">
        <v>0</v>
      </c>
      <c r="AO89" s="136">
        <v>0</v>
      </c>
      <c r="AP89" s="136">
        <v>0</v>
      </c>
      <c r="AQ89" s="136">
        <v>0</v>
      </c>
      <c r="AR89" s="136">
        <v>0</v>
      </c>
      <c r="AS89" s="136">
        <v>13039</v>
      </c>
      <c r="AT89" s="136">
        <v>0</v>
      </c>
      <c r="AU89" s="136">
        <v>0</v>
      </c>
      <c r="AV89" s="136">
        <v>0</v>
      </c>
      <c r="AW89" s="136">
        <v>0</v>
      </c>
      <c r="AX89" s="136">
        <v>0</v>
      </c>
      <c r="AY89" s="136">
        <v>0</v>
      </c>
      <c r="AZ89" s="136">
        <v>0</v>
      </c>
      <c r="BA89" s="136">
        <v>0</v>
      </c>
      <c r="BB89" s="136">
        <v>0</v>
      </c>
      <c r="BC89" s="136">
        <v>0</v>
      </c>
      <c r="BD89" s="136">
        <v>0</v>
      </c>
      <c r="BE89" s="136">
        <v>0</v>
      </c>
      <c r="BF89" s="136">
        <v>0</v>
      </c>
      <c r="BG89" s="136">
        <v>0</v>
      </c>
      <c r="BH89" s="136">
        <v>0</v>
      </c>
      <c r="BI89" s="136">
        <v>0</v>
      </c>
      <c r="BJ89" s="136">
        <v>0</v>
      </c>
      <c r="BK89" s="136">
        <v>0</v>
      </c>
      <c r="BL89" s="136">
        <v>0</v>
      </c>
      <c r="BM89" s="136">
        <v>0</v>
      </c>
      <c r="BN89" s="136">
        <v>0</v>
      </c>
      <c r="BO89" s="136">
        <v>0</v>
      </c>
      <c r="BP89" s="136">
        <v>0</v>
      </c>
      <c r="BQ89" s="136">
        <v>0</v>
      </c>
      <c r="BR89" s="136">
        <v>0</v>
      </c>
      <c r="BS89" s="136">
        <v>0</v>
      </c>
      <c r="BT89" s="136">
        <v>0</v>
      </c>
      <c r="BU89" s="136">
        <v>0</v>
      </c>
      <c r="BV89" s="136">
        <v>0</v>
      </c>
      <c r="BW89" s="136">
        <v>0</v>
      </c>
      <c r="BX89" s="136">
        <v>0</v>
      </c>
      <c r="BY89" s="136">
        <v>0</v>
      </c>
      <c r="BZ89" s="136">
        <v>0</v>
      </c>
      <c r="CA89" s="136">
        <v>0</v>
      </c>
      <c r="CB89" s="136">
        <v>0</v>
      </c>
      <c r="CC89" s="136">
        <v>0</v>
      </c>
      <c r="CD89" s="136">
        <v>0</v>
      </c>
      <c r="CE89" s="136">
        <v>0</v>
      </c>
      <c r="CF89" s="136">
        <v>0</v>
      </c>
      <c r="CG89" s="136">
        <v>0</v>
      </c>
      <c r="CH89" s="136">
        <v>44025</v>
      </c>
      <c r="CI89" s="136">
        <v>0</v>
      </c>
      <c r="CJ89" s="136">
        <v>0</v>
      </c>
      <c r="CK89" s="136">
        <v>0</v>
      </c>
      <c r="CL89" s="136">
        <v>0</v>
      </c>
      <c r="CM89" s="136">
        <v>0</v>
      </c>
      <c r="CN89" s="136">
        <v>0</v>
      </c>
      <c r="CO89" s="136">
        <v>0</v>
      </c>
      <c r="CP89" s="136">
        <v>0</v>
      </c>
      <c r="CQ89" s="136">
        <v>0</v>
      </c>
      <c r="CR89" s="136">
        <v>0</v>
      </c>
      <c r="CS89" s="136">
        <v>0</v>
      </c>
      <c r="CT89" s="136">
        <v>0</v>
      </c>
      <c r="CU89" s="136">
        <v>0</v>
      </c>
      <c r="CV89" s="136">
        <v>0</v>
      </c>
      <c r="CW89" s="136">
        <v>0</v>
      </c>
      <c r="CX89" s="136">
        <v>0</v>
      </c>
      <c r="CY89" s="136">
        <v>0</v>
      </c>
      <c r="CZ89" s="136">
        <v>0</v>
      </c>
      <c r="DA89" s="136"/>
      <c r="DB89" s="136"/>
      <c r="DC89" s="136"/>
      <c r="DD89" s="136"/>
      <c r="DE89" s="136"/>
      <c r="DF89" s="136"/>
      <c r="DG89" s="136">
        <v>0</v>
      </c>
      <c r="DH89" s="136">
        <v>0</v>
      </c>
      <c r="DI89" s="136">
        <v>0</v>
      </c>
      <c r="DJ89" s="136">
        <v>0</v>
      </c>
      <c r="DK89" s="136">
        <v>0</v>
      </c>
      <c r="DL89" s="136">
        <v>0</v>
      </c>
      <c r="DM89" s="136">
        <v>0</v>
      </c>
      <c r="DN89" s="136">
        <v>0</v>
      </c>
      <c r="DO89" s="136">
        <v>0</v>
      </c>
      <c r="DP89" s="136">
        <v>0</v>
      </c>
      <c r="DQ89" s="136">
        <v>0</v>
      </c>
      <c r="DR89" s="136">
        <v>0</v>
      </c>
      <c r="DS89" s="136"/>
      <c r="DT89" s="136"/>
      <c r="DU89" s="136"/>
      <c r="DV89" s="136"/>
      <c r="DW89" s="136"/>
      <c r="DX89" s="136"/>
      <c r="DY89" s="136">
        <v>0</v>
      </c>
      <c r="DZ89" s="136">
        <v>0</v>
      </c>
      <c r="EA89" s="136">
        <v>0</v>
      </c>
      <c r="EB89" s="136">
        <v>0</v>
      </c>
      <c r="EC89" s="136">
        <v>0</v>
      </c>
      <c r="ED89" s="136">
        <v>0</v>
      </c>
      <c r="EE89" s="136">
        <v>0</v>
      </c>
      <c r="EF89" s="136">
        <v>0</v>
      </c>
      <c r="EG89" s="136">
        <v>0</v>
      </c>
      <c r="EH89" s="136">
        <v>0</v>
      </c>
      <c r="EI89" s="136">
        <v>0</v>
      </c>
      <c r="EJ89" s="136">
        <v>0</v>
      </c>
      <c r="EK89" s="136"/>
      <c r="EL89" s="136"/>
      <c r="EM89" s="136"/>
      <c r="EN89" s="136"/>
      <c r="EO89" s="136"/>
      <c r="EP89" s="136"/>
      <c r="EQ89" s="136">
        <v>0</v>
      </c>
      <c r="ER89" s="136">
        <v>0</v>
      </c>
      <c r="ES89" s="136">
        <v>0</v>
      </c>
      <c r="ET89" s="136">
        <v>0</v>
      </c>
      <c r="EU89" s="136">
        <v>0</v>
      </c>
      <c r="EV89" s="136">
        <v>0</v>
      </c>
      <c r="EW89" s="136"/>
      <c r="EX89" s="136"/>
      <c r="EY89" s="136"/>
      <c r="EZ89" s="136"/>
      <c r="FA89" s="136"/>
      <c r="FB89" s="136"/>
      <c r="FC89" s="136">
        <v>0</v>
      </c>
      <c r="FD89" s="136">
        <v>0</v>
      </c>
      <c r="FE89" s="136">
        <v>0</v>
      </c>
      <c r="FF89" s="136">
        <v>0</v>
      </c>
      <c r="FG89" s="136">
        <v>0</v>
      </c>
      <c r="FH89" s="136">
        <v>0</v>
      </c>
      <c r="FI89" s="136"/>
      <c r="FJ89" s="136"/>
      <c r="FK89" s="136"/>
      <c r="FL89" s="136"/>
      <c r="FM89" s="136"/>
      <c r="FN89" s="136"/>
      <c r="FO89" s="136">
        <v>0</v>
      </c>
      <c r="FP89" s="136">
        <v>0</v>
      </c>
      <c r="FQ89" s="136">
        <v>0</v>
      </c>
      <c r="FR89" s="136">
        <v>0</v>
      </c>
      <c r="FS89" s="136">
        <v>0</v>
      </c>
      <c r="FT89" s="136">
        <v>0</v>
      </c>
      <c r="FU89" s="136">
        <v>0</v>
      </c>
      <c r="FV89" s="136">
        <v>0</v>
      </c>
      <c r="FW89" s="136">
        <v>0</v>
      </c>
      <c r="FX89" s="136">
        <v>0</v>
      </c>
      <c r="FY89" s="136">
        <v>0</v>
      </c>
      <c r="FZ89" s="136">
        <v>0</v>
      </c>
      <c r="GA89" s="136">
        <v>0</v>
      </c>
      <c r="GB89" s="136">
        <v>0</v>
      </c>
      <c r="GC89" s="136">
        <v>0</v>
      </c>
      <c r="GD89" s="136">
        <v>0</v>
      </c>
      <c r="GE89" s="136">
        <v>0</v>
      </c>
      <c r="GF89" s="136">
        <v>0</v>
      </c>
      <c r="GG89" s="136">
        <v>0</v>
      </c>
      <c r="GH89" s="136">
        <v>0</v>
      </c>
      <c r="GI89" s="136">
        <v>0</v>
      </c>
      <c r="GJ89" s="136">
        <v>0</v>
      </c>
      <c r="GK89" s="136">
        <v>0</v>
      </c>
      <c r="GL89" s="136">
        <v>0</v>
      </c>
      <c r="GM89" s="136">
        <v>0</v>
      </c>
      <c r="GN89" s="136">
        <v>0</v>
      </c>
      <c r="GO89" s="136">
        <v>0</v>
      </c>
      <c r="GP89" s="136">
        <v>0</v>
      </c>
      <c r="GQ89" s="136">
        <v>0</v>
      </c>
      <c r="GR89" s="136">
        <v>0</v>
      </c>
      <c r="GS89" s="136">
        <v>22775934</v>
      </c>
      <c r="GT89" s="136">
        <v>765515</v>
      </c>
      <c r="GU89" s="136">
        <v>55351909</v>
      </c>
      <c r="GV89" s="35" t="s">
        <v>348</v>
      </c>
      <c r="GW89" s="137">
        <v>3615704873</v>
      </c>
      <c r="GX89" s="35" t="s">
        <v>349</v>
      </c>
      <c r="GY89" s="136">
        <v>765515</v>
      </c>
      <c r="GZ89" s="136">
        <v>-295618</v>
      </c>
      <c r="HA89" s="136">
        <v>0</v>
      </c>
      <c r="HB89" s="136">
        <v>-6096</v>
      </c>
      <c r="HC89" s="136">
        <v>0</v>
      </c>
      <c r="HD89" s="136">
        <v>0</v>
      </c>
      <c r="HE89" s="136">
        <v>0</v>
      </c>
      <c r="HF89" s="136">
        <v>0</v>
      </c>
      <c r="HG89" s="136">
        <v>0</v>
      </c>
      <c r="HH89" s="136">
        <v>0</v>
      </c>
      <c r="HI89" s="35" t="s">
        <v>439</v>
      </c>
      <c r="HJ89" s="35" t="s">
        <v>439</v>
      </c>
      <c r="HK89" s="35" t="s">
        <v>439</v>
      </c>
      <c r="HL89"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419776</v>
      </c>
      <c r="HM89"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89"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89"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89"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89"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44025</v>
      </c>
      <c r="HR89"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463801</v>
      </c>
    </row>
    <row r="90" spans="1:226">
      <c r="A90" s="35" t="s">
        <v>716</v>
      </c>
      <c r="B90" s="37" t="s">
        <v>19</v>
      </c>
      <c r="C90" s="37">
        <v>231</v>
      </c>
      <c r="D90" s="37" t="s">
        <v>835</v>
      </c>
      <c r="E90" s="103">
        <v>3652</v>
      </c>
      <c r="F90" s="136">
        <v>32222496</v>
      </c>
      <c r="G90" s="136">
        <v>0</v>
      </c>
      <c r="H90" s="136">
        <v>129134307</v>
      </c>
      <c r="I90" s="136">
        <v>28690365</v>
      </c>
      <c r="J90" s="136">
        <v>10512449</v>
      </c>
      <c r="K90" s="136">
        <v>0</v>
      </c>
      <c r="L90" s="136">
        <v>0</v>
      </c>
      <c r="M90" s="136">
        <v>0</v>
      </c>
      <c r="N90" s="136">
        <v>0</v>
      </c>
      <c r="O90" s="136">
        <v>46861</v>
      </c>
      <c r="P90" s="136">
        <v>0</v>
      </c>
      <c r="Q90" s="136">
        <v>46135</v>
      </c>
      <c r="R90" s="136">
        <v>0</v>
      </c>
      <c r="S90" s="136">
        <v>0</v>
      </c>
      <c r="T90" s="136">
        <v>0</v>
      </c>
      <c r="U90" s="136">
        <v>8941597</v>
      </c>
      <c r="V90" s="136">
        <v>0</v>
      </c>
      <c r="W90" s="136">
        <v>411700</v>
      </c>
      <c r="X90" s="136">
        <v>0</v>
      </c>
      <c r="Y90" s="136">
        <v>344426</v>
      </c>
      <c r="Z90" s="136">
        <v>278936</v>
      </c>
      <c r="AA90" s="136">
        <v>5749842</v>
      </c>
      <c r="AB90" s="136">
        <v>0</v>
      </c>
      <c r="AC90" s="136">
        <v>260552</v>
      </c>
      <c r="AD90" s="136">
        <v>0</v>
      </c>
      <c r="AE90" s="136">
        <v>95179</v>
      </c>
      <c r="AF90" s="136">
        <v>-4528</v>
      </c>
      <c r="AG90" s="136">
        <v>30288672</v>
      </c>
      <c r="AH90" s="136">
        <v>0</v>
      </c>
      <c r="AI90" s="136">
        <v>1704769</v>
      </c>
      <c r="AJ90" s="136">
        <v>0</v>
      </c>
      <c r="AK90" s="136">
        <v>4343718</v>
      </c>
      <c r="AL90" s="136">
        <v>1381451</v>
      </c>
      <c r="AM90" s="136">
        <v>4682909</v>
      </c>
      <c r="AN90" s="136">
        <v>0</v>
      </c>
      <c r="AO90" s="136">
        <v>2014433</v>
      </c>
      <c r="AP90" s="136">
        <v>0</v>
      </c>
      <c r="AQ90" s="136">
        <v>588359</v>
      </c>
      <c r="AR90" s="136">
        <v>70105</v>
      </c>
      <c r="AS90" s="136">
        <v>3046019</v>
      </c>
      <c r="AT90" s="136">
        <v>0</v>
      </c>
      <c r="AU90" s="136">
        <v>1063543</v>
      </c>
      <c r="AV90" s="136">
        <v>0</v>
      </c>
      <c r="AW90" s="136">
        <v>0</v>
      </c>
      <c r="AX90" s="136">
        <v>241234</v>
      </c>
      <c r="AY90" s="136">
        <v>11332572</v>
      </c>
      <c r="AZ90" s="136">
        <v>0</v>
      </c>
      <c r="BA90" s="136">
        <v>189345</v>
      </c>
      <c r="BB90" s="136">
        <v>0</v>
      </c>
      <c r="BC90" s="136">
        <v>726167</v>
      </c>
      <c r="BD90" s="136">
        <v>514597</v>
      </c>
      <c r="BE90" s="136">
        <v>8646366</v>
      </c>
      <c r="BF90" s="136">
        <v>0</v>
      </c>
      <c r="BG90" s="136">
        <v>532995</v>
      </c>
      <c r="BH90" s="136">
        <v>0</v>
      </c>
      <c r="BI90" s="136">
        <v>245228</v>
      </c>
      <c r="BJ90" s="136">
        <v>1128960</v>
      </c>
      <c r="BK90" s="136">
        <v>10971421</v>
      </c>
      <c r="BL90" s="136">
        <v>0</v>
      </c>
      <c r="BM90" s="136">
        <v>495833</v>
      </c>
      <c r="BN90" s="136">
        <v>0</v>
      </c>
      <c r="BO90" s="136">
        <v>252147</v>
      </c>
      <c r="BP90" s="136">
        <v>405641</v>
      </c>
      <c r="BQ90" s="136">
        <v>3673044</v>
      </c>
      <c r="BR90" s="136">
        <v>0</v>
      </c>
      <c r="BS90" s="136">
        <v>201371</v>
      </c>
      <c r="BT90" s="136">
        <v>0</v>
      </c>
      <c r="BU90" s="136">
        <v>1749145</v>
      </c>
      <c r="BV90" s="136">
        <v>430993</v>
      </c>
      <c r="BW90" s="136">
        <v>3101984</v>
      </c>
      <c r="BX90" s="136">
        <v>0</v>
      </c>
      <c r="BY90" s="136">
        <v>21330</v>
      </c>
      <c r="BZ90" s="136">
        <v>0</v>
      </c>
      <c r="CA90" s="136">
        <v>0</v>
      </c>
      <c r="CB90" s="136">
        <v>24201</v>
      </c>
      <c r="CC90" s="136">
        <v>202457</v>
      </c>
      <c r="CD90" s="136">
        <v>0</v>
      </c>
      <c r="CE90" s="136">
        <v>7342</v>
      </c>
      <c r="CF90" s="136">
        <v>0</v>
      </c>
      <c r="CG90" s="136">
        <v>18827</v>
      </c>
      <c r="CH90" s="136">
        <v>468637</v>
      </c>
      <c r="CI90" s="136">
        <v>0</v>
      </c>
      <c r="CJ90" s="136">
        <v>0</v>
      </c>
      <c r="CK90" s="136">
        <v>0</v>
      </c>
      <c r="CL90" s="136">
        <v>0</v>
      </c>
      <c r="CM90" s="136">
        <v>-18</v>
      </c>
      <c r="CN90" s="136">
        <v>0</v>
      </c>
      <c r="CO90" s="136">
        <v>2943540</v>
      </c>
      <c r="CP90" s="136">
        <v>0</v>
      </c>
      <c r="CQ90" s="136">
        <v>398574</v>
      </c>
      <c r="CR90" s="136">
        <v>0</v>
      </c>
      <c r="CS90" s="136">
        <v>10172</v>
      </c>
      <c r="CT90" s="136">
        <v>542951</v>
      </c>
      <c r="CU90" s="136">
        <v>34142</v>
      </c>
      <c r="CV90" s="136">
        <v>0</v>
      </c>
      <c r="CW90" s="136">
        <v>98431</v>
      </c>
      <c r="CX90" s="136">
        <v>0</v>
      </c>
      <c r="CY90" s="136">
        <v>0</v>
      </c>
      <c r="CZ90" s="136">
        <v>0</v>
      </c>
      <c r="DA90" s="136"/>
      <c r="DB90" s="136"/>
      <c r="DC90" s="136"/>
      <c r="DD90" s="136"/>
      <c r="DE90" s="136"/>
      <c r="DF90" s="136"/>
      <c r="DG90" s="136">
        <v>2360706</v>
      </c>
      <c r="DH90" s="136">
        <v>349462</v>
      </c>
      <c r="DI90" s="136">
        <v>2886242</v>
      </c>
      <c r="DJ90" s="136">
        <v>47745078</v>
      </c>
      <c r="DK90" s="136">
        <v>0</v>
      </c>
      <c r="DL90" s="136">
        <v>31326</v>
      </c>
      <c r="DM90" s="136">
        <v>2015410</v>
      </c>
      <c r="DN90" s="136">
        <v>0</v>
      </c>
      <c r="DO90" s="136">
        <v>0</v>
      </c>
      <c r="DP90" s="136">
        <v>0</v>
      </c>
      <c r="DQ90" s="136">
        <v>0</v>
      </c>
      <c r="DR90" s="136">
        <v>84227</v>
      </c>
      <c r="DS90" s="136"/>
      <c r="DT90" s="136"/>
      <c r="DU90" s="136"/>
      <c r="DV90" s="136"/>
      <c r="DW90" s="136"/>
      <c r="DX90" s="136"/>
      <c r="DY90" s="136">
        <v>139344</v>
      </c>
      <c r="DZ90" s="136">
        <v>0</v>
      </c>
      <c r="EA90" s="136">
        <v>0</v>
      </c>
      <c r="EB90" s="136">
        <v>0</v>
      </c>
      <c r="EC90" s="136">
        <v>0</v>
      </c>
      <c r="ED90" s="136">
        <v>0</v>
      </c>
      <c r="EE90" s="136">
        <v>3073977</v>
      </c>
      <c r="EF90" s="136">
        <v>0</v>
      </c>
      <c r="EG90" s="136">
        <v>1703362</v>
      </c>
      <c r="EH90" s="136">
        <v>120863</v>
      </c>
      <c r="EI90" s="136">
        <v>269921</v>
      </c>
      <c r="EJ90" s="136">
        <v>225888</v>
      </c>
      <c r="EK90" s="136"/>
      <c r="EL90" s="136"/>
      <c r="EM90" s="136"/>
      <c r="EN90" s="136"/>
      <c r="EO90" s="136"/>
      <c r="EP90" s="136"/>
      <c r="EQ90" s="136">
        <v>5728122</v>
      </c>
      <c r="ER90" s="136">
        <v>0</v>
      </c>
      <c r="ES90" s="136">
        <v>204994</v>
      </c>
      <c r="ET90" s="136">
        <v>0</v>
      </c>
      <c r="EU90" s="136">
        <v>523862</v>
      </c>
      <c r="EV90" s="136">
        <v>93614</v>
      </c>
      <c r="EW90" s="136"/>
      <c r="EX90" s="136"/>
      <c r="EY90" s="136"/>
      <c r="EZ90" s="136"/>
      <c r="FA90" s="136"/>
      <c r="FB90" s="136"/>
      <c r="FC90" s="136">
        <v>927685</v>
      </c>
      <c r="FD90" s="136">
        <v>548398</v>
      </c>
      <c r="FE90" s="136">
        <v>53639</v>
      </c>
      <c r="FF90" s="136">
        <v>458040</v>
      </c>
      <c r="FG90" s="136">
        <v>0</v>
      </c>
      <c r="FH90" s="136">
        <v>0</v>
      </c>
      <c r="FI90" s="136"/>
      <c r="FJ90" s="136"/>
      <c r="FK90" s="136"/>
      <c r="FL90" s="136"/>
      <c r="FM90" s="136"/>
      <c r="FN90" s="136"/>
      <c r="FO90" s="136">
        <v>2342842</v>
      </c>
      <c r="FP90" s="136">
        <v>201782</v>
      </c>
      <c r="FQ90" s="136">
        <v>26781</v>
      </c>
      <c r="FR90" s="136">
        <v>1421166</v>
      </c>
      <c r="FS90" s="136">
        <v>434382</v>
      </c>
      <c r="FT90" s="136">
        <v>184729</v>
      </c>
      <c r="FU90" s="136">
        <v>6035011</v>
      </c>
      <c r="FV90" s="136">
        <v>271322</v>
      </c>
      <c r="FW90" s="136">
        <v>0</v>
      </c>
      <c r="FX90" s="136">
        <v>638618</v>
      </c>
      <c r="FY90" s="136">
        <v>0</v>
      </c>
      <c r="FZ90" s="136">
        <v>15280</v>
      </c>
      <c r="GA90" s="136">
        <v>546688</v>
      </c>
      <c r="GB90" s="136">
        <v>0</v>
      </c>
      <c r="GC90" s="136">
        <v>58608</v>
      </c>
      <c r="GD90" s="136">
        <v>39305</v>
      </c>
      <c r="GE90" s="136">
        <v>0</v>
      </c>
      <c r="GF90" s="136">
        <v>3514</v>
      </c>
      <c r="GG90" s="136">
        <v>1072022</v>
      </c>
      <c r="GH90" s="136">
        <v>0</v>
      </c>
      <c r="GI90" s="136">
        <v>262245</v>
      </c>
      <c r="GJ90" s="136">
        <v>7338</v>
      </c>
      <c r="GK90" s="136">
        <v>27654</v>
      </c>
      <c r="GL90" s="136">
        <v>9021</v>
      </c>
      <c r="GM90" s="136">
        <v>0</v>
      </c>
      <c r="GN90" s="136">
        <v>0</v>
      </c>
      <c r="GO90" s="136">
        <v>0</v>
      </c>
      <c r="GP90" s="136">
        <v>0</v>
      </c>
      <c r="GQ90" s="136">
        <v>0</v>
      </c>
      <c r="GR90" s="136">
        <v>0</v>
      </c>
      <c r="GS90" s="136">
        <v>261990707</v>
      </c>
      <c r="GT90" s="136">
        <v>170206315</v>
      </c>
      <c r="GU90" s="136">
        <v>940842619</v>
      </c>
      <c r="GV90" s="35" t="s">
        <v>342</v>
      </c>
      <c r="GW90" s="137">
        <v>7137435296</v>
      </c>
      <c r="GX90" s="35" t="s">
        <v>343</v>
      </c>
      <c r="GY90" s="136">
        <v>161356803</v>
      </c>
      <c r="GZ90" s="136">
        <v>-40122746</v>
      </c>
      <c r="HA90" s="136">
        <v>10512449</v>
      </c>
      <c r="HB90" s="136">
        <v>-29560795</v>
      </c>
      <c r="HC90" s="136">
        <v>0</v>
      </c>
      <c r="HD90" s="136">
        <v>-94635</v>
      </c>
      <c r="HE90" s="136">
        <v>-571844</v>
      </c>
      <c r="HF90" s="136">
        <v>294032</v>
      </c>
      <c r="HG90" s="136">
        <v>0</v>
      </c>
      <c r="HH90" s="136">
        <v>0</v>
      </c>
      <c r="HI90" s="35" t="s">
        <v>378</v>
      </c>
      <c r="HJ90" s="35"/>
      <c r="HK90" s="35"/>
      <c r="HL90"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96022132</v>
      </c>
      <c r="HM90"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349462</v>
      </c>
      <c r="HN90"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10332595</v>
      </c>
      <c r="HO90"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2360706</v>
      </c>
      <c r="HP90"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8373350</v>
      </c>
      <c r="HQ90"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5514504</v>
      </c>
      <c r="HR90"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101813264</v>
      </c>
    </row>
    <row r="91" spans="1:226">
      <c r="A91" s="35" t="s">
        <v>827</v>
      </c>
      <c r="B91" s="37" t="s">
        <v>844</v>
      </c>
      <c r="C91" s="37">
        <v>230</v>
      </c>
      <c r="D91" s="37" t="s">
        <v>835</v>
      </c>
      <c r="E91" s="103">
        <v>3652</v>
      </c>
      <c r="F91" s="131">
        <v>32398329</v>
      </c>
      <c r="G91" s="131">
        <v>0</v>
      </c>
      <c r="H91" s="131">
        <v>130036890</v>
      </c>
      <c r="I91" s="131">
        <v>28826329</v>
      </c>
      <c r="J91" s="131">
        <v>10512449</v>
      </c>
      <c r="K91" s="131">
        <v>0</v>
      </c>
      <c r="L91" s="131">
        <v>0</v>
      </c>
      <c r="M91" s="131">
        <v>0</v>
      </c>
      <c r="N91" s="131">
        <v>0</v>
      </c>
      <c r="O91" s="131">
        <v>46861</v>
      </c>
      <c r="P91" s="131">
        <v>0</v>
      </c>
      <c r="Q91" s="131">
        <v>46135</v>
      </c>
      <c r="R91" s="131">
        <v>0</v>
      </c>
      <c r="S91" s="131">
        <v>0</v>
      </c>
      <c r="T91" s="131">
        <v>0</v>
      </c>
      <c r="U91" s="131">
        <v>8941597</v>
      </c>
      <c r="V91" s="131">
        <v>0</v>
      </c>
      <c r="W91" s="131">
        <v>411700</v>
      </c>
      <c r="X91" s="131">
        <v>0</v>
      </c>
      <c r="Y91" s="131">
        <v>344426</v>
      </c>
      <c r="Z91" s="131">
        <v>278936</v>
      </c>
      <c r="AA91" s="131">
        <v>5749842</v>
      </c>
      <c r="AB91" s="131">
        <v>0</v>
      </c>
      <c r="AC91" s="131">
        <v>260552</v>
      </c>
      <c r="AD91" s="131">
        <v>0</v>
      </c>
      <c r="AE91" s="131">
        <v>95179</v>
      </c>
      <c r="AF91" s="131">
        <v>-4528</v>
      </c>
      <c r="AG91" s="131">
        <v>30288672</v>
      </c>
      <c r="AH91" s="131">
        <v>0</v>
      </c>
      <c r="AI91" s="131">
        <v>1704769</v>
      </c>
      <c r="AJ91" s="131">
        <v>0</v>
      </c>
      <c r="AK91" s="131">
        <v>4343718</v>
      </c>
      <c r="AL91" s="131">
        <v>1381451</v>
      </c>
      <c r="AM91" s="131">
        <v>4682909</v>
      </c>
      <c r="AN91" s="131">
        <v>0</v>
      </c>
      <c r="AO91" s="131">
        <v>2014433</v>
      </c>
      <c r="AP91" s="131">
        <v>0</v>
      </c>
      <c r="AQ91" s="131">
        <v>588359</v>
      </c>
      <c r="AR91" s="131">
        <v>70105</v>
      </c>
      <c r="AS91" s="131">
        <v>3046019</v>
      </c>
      <c r="AT91" s="131">
        <v>0</v>
      </c>
      <c r="AU91" s="131">
        <v>1063543</v>
      </c>
      <c r="AV91" s="131">
        <v>0</v>
      </c>
      <c r="AW91" s="131">
        <v>0</v>
      </c>
      <c r="AX91" s="131">
        <v>241234</v>
      </c>
      <c r="AY91" s="131">
        <v>12049041</v>
      </c>
      <c r="AZ91" s="131">
        <v>0</v>
      </c>
      <c r="BA91" s="131">
        <v>189345</v>
      </c>
      <c r="BB91" s="131">
        <v>0</v>
      </c>
      <c r="BC91" s="131">
        <v>756732</v>
      </c>
      <c r="BD91" s="131">
        <v>542217</v>
      </c>
      <c r="BE91" s="131">
        <v>8646366</v>
      </c>
      <c r="BF91" s="131">
        <v>0</v>
      </c>
      <c r="BG91" s="131">
        <v>532995</v>
      </c>
      <c r="BH91" s="131">
        <v>0</v>
      </c>
      <c r="BI91" s="131">
        <v>245228</v>
      </c>
      <c r="BJ91" s="131">
        <v>1128960</v>
      </c>
      <c r="BK91" s="131">
        <v>10971421</v>
      </c>
      <c r="BL91" s="131">
        <v>0</v>
      </c>
      <c r="BM91" s="131">
        <v>495833</v>
      </c>
      <c r="BN91" s="131">
        <v>85926</v>
      </c>
      <c r="BO91" s="131">
        <v>252147</v>
      </c>
      <c r="BP91" s="131">
        <v>405641</v>
      </c>
      <c r="BQ91" s="131">
        <v>3673044</v>
      </c>
      <c r="BR91" s="131">
        <v>0</v>
      </c>
      <c r="BS91" s="131">
        <v>201371</v>
      </c>
      <c r="BT91" s="131">
        <v>0</v>
      </c>
      <c r="BU91" s="131">
        <v>1749145</v>
      </c>
      <c r="BV91" s="131">
        <v>430993</v>
      </c>
      <c r="BW91" s="131">
        <v>3101984</v>
      </c>
      <c r="BX91" s="131">
        <v>0</v>
      </c>
      <c r="BY91" s="131">
        <v>21330</v>
      </c>
      <c r="BZ91" s="131">
        <v>0</v>
      </c>
      <c r="CA91" s="131">
        <v>0</v>
      </c>
      <c r="CB91" s="131">
        <v>24201</v>
      </c>
      <c r="CC91" s="131">
        <v>202457</v>
      </c>
      <c r="CD91" s="131">
        <v>0</v>
      </c>
      <c r="CE91" s="131">
        <v>7342</v>
      </c>
      <c r="CF91" s="131">
        <v>0</v>
      </c>
      <c r="CG91" s="131">
        <v>18827</v>
      </c>
      <c r="CH91" s="131">
        <v>468637</v>
      </c>
      <c r="CI91" s="131">
        <v>0</v>
      </c>
      <c r="CJ91" s="131">
        <v>0</v>
      </c>
      <c r="CK91" s="131">
        <v>0</v>
      </c>
      <c r="CL91" s="131">
        <v>0</v>
      </c>
      <c r="CM91" s="131">
        <v>-18</v>
      </c>
      <c r="CN91" s="131">
        <v>0</v>
      </c>
      <c r="CO91" s="131">
        <v>2943540</v>
      </c>
      <c r="CP91" s="131">
        <v>0</v>
      </c>
      <c r="CQ91" s="131">
        <v>398574</v>
      </c>
      <c r="CR91" s="131">
        <v>0</v>
      </c>
      <c r="CS91" s="131">
        <v>10172</v>
      </c>
      <c r="CT91" s="131">
        <v>542951</v>
      </c>
      <c r="CU91" s="131">
        <v>34142</v>
      </c>
      <c r="CV91" s="131">
        <v>0</v>
      </c>
      <c r="CW91" s="131">
        <v>98431</v>
      </c>
      <c r="CX91" s="131">
        <v>0</v>
      </c>
      <c r="CY91" s="131">
        <v>0</v>
      </c>
      <c r="CZ91" s="131">
        <v>0</v>
      </c>
      <c r="DA91" s="131"/>
      <c r="DB91" s="131"/>
      <c r="DC91" s="131"/>
      <c r="DD91" s="131"/>
      <c r="DE91" s="131"/>
      <c r="DF91" s="131"/>
      <c r="DG91" s="131">
        <v>2360706</v>
      </c>
      <c r="DH91" s="131">
        <v>349462</v>
      </c>
      <c r="DI91" s="131">
        <v>2886242</v>
      </c>
      <c r="DJ91" s="131">
        <v>47923045</v>
      </c>
      <c r="DK91" s="131">
        <v>0</v>
      </c>
      <c r="DL91" s="131">
        <v>31326</v>
      </c>
      <c r="DM91" s="131">
        <v>2015410</v>
      </c>
      <c r="DN91" s="131">
        <v>0</v>
      </c>
      <c r="DO91" s="131">
        <v>0</v>
      </c>
      <c r="DP91" s="131">
        <v>0</v>
      </c>
      <c r="DQ91" s="131">
        <v>0</v>
      </c>
      <c r="DR91" s="131">
        <v>84227</v>
      </c>
      <c r="DS91" s="131"/>
      <c r="DT91" s="131"/>
      <c r="DU91" s="131"/>
      <c r="DV91" s="131"/>
      <c r="DW91" s="131"/>
      <c r="DX91" s="131"/>
      <c r="DY91" s="131">
        <v>139344</v>
      </c>
      <c r="DZ91" s="131">
        <v>0</v>
      </c>
      <c r="EA91" s="131">
        <v>0</v>
      </c>
      <c r="EB91" s="131">
        <v>0</v>
      </c>
      <c r="EC91" s="131">
        <v>0</v>
      </c>
      <c r="ED91" s="131">
        <v>0</v>
      </c>
      <c r="EE91" s="131">
        <v>3073977</v>
      </c>
      <c r="EF91" s="131">
        <v>0</v>
      </c>
      <c r="EG91" s="131">
        <v>1703362</v>
      </c>
      <c r="EH91" s="131">
        <v>120863</v>
      </c>
      <c r="EI91" s="131">
        <v>269921</v>
      </c>
      <c r="EJ91" s="131">
        <v>225888</v>
      </c>
      <c r="EK91" s="131"/>
      <c r="EL91" s="131"/>
      <c r="EM91" s="131"/>
      <c r="EN91" s="131"/>
      <c r="EO91" s="131"/>
      <c r="EP91" s="131"/>
      <c r="EQ91" s="131">
        <v>5728122</v>
      </c>
      <c r="ER91" s="131">
        <v>0</v>
      </c>
      <c r="ES91" s="131">
        <v>204994</v>
      </c>
      <c r="ET91" s="131">
        <v>0</v>
      </c>
      <c r="EU91" s="131">
        <v>523862</v>
      </c>
      <c r="EV91" s="131">
        <v>93614</v>
      </c>
      <c r="EW91" s="131"/>
      <c r="EX91" s="131"/>
      <c r="EY91" s="131"/>
      <c r="EZ91" s="131"/>
      <c r="FA91" s="131"/>
      <c r="FB91" s="131"/>
      <c r="FC91" s="131">
        <v>927685</v>
      </c>
      <c r="FD91" s="131">
        <v>548398</v>
      </c>
      <c r="FE91" s="131">
        <v>53639</v>
      </c>
      <c r="FF91" s="131">
        <v>458040</v>
      </c>
      <c r="FG91" s="131">
        <v>0</v>
      </c>
      <c r="FH91" s="131">
        <v>0</v>
      </c>
      <c r="FI91" s="131"/>
      <c r="FJ91" s="131"/>
      <c r="FK91" s="131"/>
      <c r="FL91" s="131"/>
      <c r="FM91" s="131"/>
      <c r="FN91" s="131"/>
      <c r="FO91" s="131">
        <v>2342842</v>
      </c>
      <c r="FP91" s="131">
        <v>201782</v>
      </c>
      <c r="FQ91" s="131">
        <v>26781</v>
      </c>
      <c r="FR91" s="131">
        <v>1421166</v>
      </c>
      <c r="FS91" s="131">
        <v>434382</v>
      </c>
      <c r="FT91" s="131">
        <v>184729</v>
      </c>
      <c r="FU91" s="131">
        <v>6035011</v>
      </c>
      <c r="FV91" s="131">
        <v>271322</v>
      </c>
      <c r="FW91" s="131">
        <v>0</v>
      </c>
      <c r="FX91" s="131">
        <v>638618</v>
      </c>
      <c r="FY91" s="131">
        <v>0</v>
      </c>
      <c r="FZ91" s="131">
        <v>15280</v>
      </c>
      <c r="GA91" s="131">
        <v>0</v>
      </c>
      <c r="GB91" s="131">
        <v>58608</v>
      </c>
      <c r="GC91" s="131">
        <v>39305</v>
      </c>
      <c r="GD91" s="131">
        <v>0</v>
      </c>
      <c r="GE91" s="131">
        <v>3514</v>
      </c>
      <c r="GF91" s="131">
        <v>1072022</v>
      </c>
      <c r="GG91" s="131">
        <v>0</v>
      </c>
      <c r="GH91" s="131">
        <v>262245</v>
      </c>
      <c r="GI91" s="131">
        <v>7338</v>
      </c>
      <c r="GJ91" s="131">
        <v>27654</v>
      </c>
      <c r="GK91" s="131">
        <v>9021</v>
      </c>
      <c r="GL91" s="131">
        <v>0</v>
      </c>
      <c r="GM91" s="131">
        <v>0</v>
      </c>
      <c r="GN91" s="131">
        <v>0</v>
      </c>
      <c r="GO91" s="131">
        <v>0</v>
      </c>
      <c r="GP91" s="131">
        <v>0</v>
      </c>
      <c r="GQ91" s="131">
        <v>0</v>
      </c>
      <c r="GR91" s="131">
        <v>0</v>
      </c>
      <c r="GS91" s="131">
        <v>277234966</v>
      </c>
      <c r="GT91" s="131">
        <v>171182451</v>
      </c>
      <c r="GU91" s="131">
        <v>970396201</v>
      </c>
      <c r="GV91" s="35" t="s">
        <v>342</v>
      </c>
      <c r="GW91" s="137">
        <v>7137435296</v>
      </c>
      <c r="GX91" s="35" t="s">
        <v>343</v>
      </c>
      <c r="GY91" s="136">
        <v>162435219</v>
      </c>
      <c r="GZ91" s="136">
        <v>-40131454</v>
      </c>
      <c r="HA91" s="136">
        <v>10512449</v>
      </c>
      <c r="HB91" s="136">
        <v>-29560795</v>
      </c>
      <c r="HC91" s="136">
        <v>0</v>
      </c>
      <c r="HD91" s="136">
        <v>-94635</v>
      </c>
      <c r="HE91" s="136">
        <v>-571844</v>
      </c>
      <c r="HF91" s="136">
        <v>294032</v>
      </c>
      <c r="HG91" s="136">
        <v>0</v>
      </c>
      <c r="HH91" s="136">
        <v>0</v>
      </c>
      <c r="HI91" s="35" t="s">
        <v>378</v>
      </c>
      <c r="HJ91" s="102">
        <v>0</v>
      </c>
      <c r="HK91" s="102">
        <v>0</v>
      </c>
      <c r="HL91"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96738601</v>
      </c>
      <c r="HM91"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349462</v>
      </c>
      <c r="HN91"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10332595</v>
      </c>
      <c r="HO91"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2446632</v>
      </c>
      <c r="HP91"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8403915</v>
      </c>
      <c r="HQ91"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5542124</v>
      </c>
      <c r="HR91"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102882972</v>
      </c>
    </row>
    <row r="92" spans="1:226">
      <c r="A92" s="35" t="s">
        <v>838</v>
      </c>
      <c r="B92" s="37" t="s">
        <v>384</v>
      </c>
      <c r="C92" s="37">
        <v>520</v>
      </c>
      <c r="D92" s="37" t="s">
        <v>835</v>
      </c>
      <c r="E92" s="103">
        <v>203652</v>
      </c>
      <c r="F92" s="136">
        <v>175833</v>
      </c>
      <c r="G92" s="136">
        <v>0</v>
      </c>
      <c r="H92" s="136">
        <v>902583</v>
      </c>
      <c r="I92" s="136">
        <v>135964</v>
      </c>
      <c r="J92" s="136">
        <v>0</v>
      </c>
      <c r="K92" s="136">
        <v>0</v>
      </c>
      <c r="L92" s="136">
        <v>0</v>
      </c>
      <c r="M92" s="136">
        <v>0</v>
      </c>
      <c r="N92" s="136">
        <v>0</v>
      </c>
      <c r="O92" s="136">
        <v>0</v>
      </c>
      <c r="P92" s="136">
        <v>0</v>
      </c>
      <c r="Q92" s="136">
        <v>0</v>
      </c>
      <c r="R92" s="136">
        <v>0</v>
      </c>
      <c r="S92" s="136">
        <v>0</v>
      </c>
      <c r="T92" s="136">
        <v>0</v>
      </c>
      <c r="U92" s="136">
        <v>0</v>
      </c>
      <c r="V92" s="136">
        <v>0</v>
      </c>
      <c r="W92" s="136">
        <v>0</v>
      </c>
      <c r="X92" s="136">
        <v>0</v>
      </c>
      <c r="Y92" s="136">
        <v>0</v>
      </c>
      <c r="Z92" s="136">
        <v>0</v>
      </c>
      <c r="AA92" s="136">
        <v>0</v>
      </c>
      <c r="AB92" s="136">
        <v>0</v>
      </c>
      <c r="AC92" s="136">
        <v>0</v>
      </c>
      <c r="AD92" s="136">
        <v>0</v>
      </c>
      <c r="AE92" s="136">
        <v>0</v>
      </c>
      <c r="AF92" s="136">
        <v>0</v>
      </c>
      <c r="AG92" s="136">
        <v>0</v>
      </c>
      <c r="AH92" s="136">
        <v>0</v>
      </c>
      <c r="AI92" s="136">
        <v>0</v>
      </c>
      <c r="AJ92" s="136">
        <v>0</v>
      </c>
      <c r="AK92" s="136">
        <v>0</v>
      </c>
      <c r="AL92" s="136">
        <v>0</v>
      </c>
      <c r="AM92" s="136">
        <v>0</v>
      </c>
      <c r="AN92" s="136">
        <v>0</v>
      </c>
      <c r="AO92" s="136">
        <v>0</v>
      </c>
      <c r="AP92" s="136">
        <v>0</v>
      </c>
      <c r="AQ92" s="136">
        <v>0</v>
      </c>
      <c r="AR92" s="136">
        <v>0</v>
      </c>
      <c r="AS92" s="136">
        <v>0</v>
      </c>
      <c r="AT92" s="136">
        <v>0</v>
      </c>
      <c r="AU92" s="136">
        <v>0</v>
      </c>
      <c r="AV92" s="136">
        <v>0</v>
      </c>
      <c r="AW92" s="136">
        <v>0</v>
      </c>
      <c r="AX92" s="136">
        <v>0</v>
      </c>
      <c r="AY92" s="136">
        <v>716469</v>
      </c>
      <c r="AZ92" s="136">
        <v>0</v>
      </c>
      <c r="BA92" s="136">
        <v>0</v>
      </c>
      <c r="BB92" s="136">
        <v>0</v>
      </c>
      <c r="BC92" s="136">
        <v>30565</v>
      </c>
      <c r="BD92" s="136">
        <v>27620</v>
      </c>
      <c r="BE92" s="136">
        <v>0</v>
      </c>
      <c r="BF92" s="136">
        <v>0</v>
      </c>
      <c r="BG92" s="136">
        <v>0</v>
      </c>
      <c r="BH92" s="136">
        <v>0</v>
      </c>
      <c r="BI92" s="136">
        <v>0</v>
      </c>
      <c r="BJ92" s="136">
        <v>0</v>
      </c>
      <c r="BK92" s="136">
        <v>0</v>
      </c>
      <c r="BL92" s="136">
        <v>0</v>
      </c>
      <c r="BM92" s="136">
        <v>85926</v>
      </c>
      <c r="BN92" s="136">
        <v>0</v>
      </c>
      <c r="BO92" s="136">
        <v>0</v>
      </c>
      <c r="BP92" s="136">
        <v>0</v>
      </c>
      <c r="BQ92" s="136">
        <v>0</v>
      </c>
      <c r="BR92" s="136">
        <v>0</v>
      </c>
      <c r="BS92" s="136">
        <v>0</v>
      </c>
      <c r="BT92" s="136">
        <v>0</v>
      </c>
      <c r="BU92" s="136">
        <v>0</v>
      </c>
      <c r="BV92" s="136">
        <v>0</v>
      </c>
      <c r="BW92" s="136">
        <v>0</v>
      </c>
      <c r="BX92" s="136">
        <v>0</v>
      </c>
      <c r="BY92" s="136">
        <v>0</v>
      </c>
      <c r="BZ92" s="136">
        <v>0</v>
      </c>
      <c r="CA92" s="136">
        <v>0</v>
      </c>
      <c r="CB92" s="136">
        <v>0</v>
      </c>
      <c r="CC92" s="136">
        <v>0</v>
      </c>
      <c r="CD92" s="136">
        <v>0</v>
      </c>
      <c r="CE92" s="136">
        <v>0</v>
      </c>
      <c r="CF92" s="136">
        <v>0</v>
      </c>
      <c r="CG92" s="136">
        <v>0</v>
      </c>
      <c r="CH92" s="136">
        <v>0</v>
      </c>
      <c r="CI92" s="136">
        <v>0</v>
      </c>
      <c r="CJ92" s="136">
        <v>0</v>
      </c>
      <c r="CK92" s="136">
        <v>0</v>
      </c>
      <c r="CL92" s="136">
        <v>0</v>
      </c>
      <c r="CM92" s="136">
        <v>0</v>
      </c>
      <c r="CN92" s="136">
        <v>0</v>
      </c>
      <c r="CO92" s="136">
        <v>0</v>
      </c>
      <c r="CP92" s="136">
        <v>0</v>
      </c>
      <c r="CQ92" s="136">
        <v>0</v>
      </c>
      <c r="CR92" s="136">
        <v>0</v>
      </c>
      <c r="CS92" s="136">
        <v>0</v>
      </c>
      <c r="CT92" s="136">
        <v>0</v>
      </c>
      <c r="CU92" s="136">
        <v>0</v>
      </c>
      <c r="CV92" s="136">
        <v>0</v>
      </c>
      <c r="CW92" s="136">
        <v>0</v>
      </c>
      <c r="CX92" s="136">
        <v>0</v>
      </c>
      <c r="CY92" s="136">
        <v>0</v>
      </c>
      <c r="CZ92" s="136">
        <v>0</v>
      </c>
      <c r="DA92" s="136"/>
      <c r="DB92" s="136"/>
      <c r="DC92" s="136"/>
      <c r="DD92" s="136"/>
      <c r="DE92" s="136"/>
      <c r="DF92" s="136"/>
      <c r="DG92" s="136">
        <v>0</v>
      </c>
      <c r="DH92" s="136">
        <v>0</v>
      </c>
      <c r="DI92" s="136">
        <v>0</v>
      </c>
      <c r="DJ92" s="136">
        <v>177967</v>
      </c>
      <c r="DK92" s="136">
        <v>0</v>
      </c>
      <c r="DL92" s="136">
        <v>0</v>
      </c>
      <c r="DM92" s="136"/>
      <c r="DN92" s="136"/>
      <c r="DO92" s="136"/>
      <c r="DP92" s="136"/>
      <c r="DQ92" s="136"/>
      <c r="DR92" s="136"/>
      <c r="DS92" s="136">
        <v>0</v>
      </c>
      <c r="DT92" s="136">
        <v>0</v>
      </c>
      <c r="DU92" s="136">
        <v>0</v>
      </c>
      <c r="DV92" s="136">
        <v>0</v>
      </c>
      <c r="DW92" s="136">
        <v>0</v>
      </c>
      <c r="DX92" s="136">
        <v>0</v>
      </c>
      <c r="DY92" s="136"/>
      <c r="DZ92" s="136"/>
      <c r="EA92" s="136"/>
      <c r="EB92" s="136"/>
      <c r="EC92" s="136"/>
      <c r="ED92" s="136"/>
      <c r="EE92" s="136">
        <v>0</v>
      </c>
      <c r="EF92" s="136">
        <v>0</v>
      </c>
      <c r="EG92" s="136">
        <v>0</v>
      </c>
      <c r="EH92" s="136">
        <v>0</v>
      </c>
      <c r="EI92" s="136">
        <v>0</v>
      </c>
      <c r="EJ92" s="136">
        <v>0</v>
      </c>
      <c r="EK92" s="136">
        <v>0</v>
      </c>
      <c r="EL92" s="136">
        <v>0</v>
      </c>
      <c r="EM92" s="136">
        <v>0</v>
      </c>
      <c r="EN92" s="136">
        <v>0</v>
      </c>
      <c r="EO92" s="136">
        <v>0</v>
      </c>
      <c r="EP92" s="136">
        <v>0</v>
      </c>
      <c r="EQ92" s="136"/>
      <c r="ER92" s="136"/>
      <c r="ES92" s="136"/>
      <c r="ET92" s="136"/>
      <c r="EU92" s="136"/>
      <c r="EV92" s="136"/>
      <c r="EW92" s="136">
        <v>0</v>
      </c>
      <c r="EX92" s="136">
        <v>0</v>
      </c>
      <c r="EY92" s="136">
        <v>0</v>
      </c>
      <c r="EZ92" s="136">
        <v>0</v>
      </c>
      <c r="FA92" s="136">
        <v>0</v>
      </c>
      <c r="FB92" s="136">
        <v>0</v>
      </c>
      <c r="FC92" s="136"/>
      <c r="FD92" s="136"/>
      <c r="FE92" s="136"/>
      <c r="FF92" s="136"/>
      <c r="FG92" s="136"/>
      <c r="FH92" s="136"/>
      <c r="FI92" s="136">
        <v>0</v>
      </c>
      <c r="FJ92" s="136">
        <v>0</v>
      </c>
      <c r="FK92" s="136">
        <v>0</v>
      </c>
      <c r="FL92" s="136">
        <v>0</v>
      </c>
      <c r="FM92" s="136">
        <v>0</v>
      </c>
      <c r="FN92" s="136">
        <v>0</v>
      </c>
      <c r="FO92" s="136"/>
      <c r="FP92" s="136"/>
      <c r="FQ92" s="136"/>
      <c r="FR92" s="136"/>
      <c r="FS92" s="136"/>
      <c r="FT92" s="136"/>
      <c r="FU92" s="136"/>
      <c r="FV92" s="136"/>
      <c r="FW92" s="136"/>
      <c r="FX92" s="136"/>
      <c r="FY92" s="136"/>
      <c r="FZ92" s="136"/>
      <c r="GA92" s="136"/>
      <c r="GB92" s="136"/>
      <c r="GC92" s="136"/>
      <c r="GD92" s="136"/>
      <c r="GE92" s="136"/>
      <c r="GF92" s="136"/>
      <c r="GG92" s="136">
        <v>0</v>
      </c>
      <c r="GH92" s="136">
        <v>0</v>
      </c>
      <c r="GI92" s="136">
        <v>0</v>
      </c>
      <c r="GJ92" s="136">
        <v>0</v>
      </c>
      <c r="GK92" s="136">
        <v>0</v>
      </c>
      <c r="GL92" s="136">
        <v>0</v>
      </c>
      <c r="GM92" s="136">
        <v>0</v>
      </c>
      <c r="GN92" s="136">
        <v>0</v>
      </c>
      <c r="GO92" s="136">
        <v>0</v>
      </c>
      <c r="GP92" s="136">
        <v>0</v>
      </c>
      <c r="GQ92" s="136">
        <v>0</v>
      </c>
      <c r="GR92" s="136">
        <v>0</v>
      </c>
      <c r="GS92" s="136">
        <v>15244259</v>
      </c>
      <c r="GT92" s="136">
        <v>976136</v>
      </c>
      <c r="GU92" s="136">
        <v>29553582</v>
      </c>
      <c r="GV92" s="35" t="s">
        <v>342</v>
      </c>
      <c r="GW92" s="137">
        <v>7137435296</v>
      </c>
      <c r="GX92" s="35" t="s">
        <v>343</v>
      </c>
      <c r="GY92" s="136">
        <v>1078416</v>
      </c>
      <c r="GZ92" s="136" t="s">
        <v>439</v>
      </c>
      <c r="HA92" s="136" t="s">
        <v>439</v>
      </c>
      <c r="HB92" s="136" t="s">
        <v>439</v>
      </c>
      <c r="HC92" s="136" t="s">
        <v>439</v>
      </c>
      <c r="HD92" s="136" t="s">
        <v>439</v>
      </c>
      <c r="HE92" s="136" t="s">
        <v>439</v>
      </c>
      <c r="HF92" s="136" t="s">
        <v>439</v>
      </c>
      <c r="HG92" s="136" t="s">
        <v>439</v>
      </c>
      <c r="HH92" s="136" t="s">
        <v>439</v>
      </c>
      <c r="HI92" s="35" t="s">
        <v>439</v>
      </c>
      <c r="HJ92" s="35" t="s">
        <v>439</v>
      </c>
      <c r="HK92" s="35" t="s">
        <v>439</v>
      </c>
      <c r="HL92"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716469</v>
      </c>
      <c r="HM92"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92"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85926</v>
      </c>
      <c r="HO92"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92"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30565</v>
      </c>
      <c r="HQ92"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27620</v>
      </c>
      <c r="HR92"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1078416</v>
      </c>
    </row>
    <row r="93" spans="1:226">
      <c r="A93" s="35" t="s">
        <v>48</v>
      </c>
      <c r="B93" s="37" t="s">
        <v>19</v>
      </c>
      <c r="C93" s="37">
        <v>330</v>
      </c>
      <c r="D93" s="37" t="s">
        <v>835</v>
      </c>
      <c r="E93" s="103">
        <v>3594</v>
      </c>
      <c r="F93" s="136">
        <v>0</v>
      </c>
      <c r="G93" s="136">
        <v>0</v>
      </c>
      <c r="H93" s="136">
        <v>89180220</v>
      </c>
      <c r="I93" s="136">
        <v>7329968</v>
      </c>
      <c r="J93" s="136">
        <v>8297849</v>
      </c>
      <c r="K93" s="136">
        <v>0</v>
      </c>
      <c r="L93" s="136">
        <v>0</v>
      </c>
      <c r="M93" s="136">
        <v>0</v>
      </c>
      <c r="N93" s="136">
        <v>0</v>
      </c>
      <c r="O93" s="136">
        <v>0</v>
      </c>
      <c r="P93" s="136">
        <v>0</v>
      </c>
      <c r="Q93" s="136">
        <v>0</v>
      </c>
      <c r="R93" s="136">
        <v>0</v>
      </c>
      <c r="S93" s="136">
        <v>0</v>
      </c>
      <c r="T93" s="136">
        <v>0</v>
      </c>
      <c r="U93" s="136">
        <v>3201640</v>
      </c>
      <c r="V93" s="136">
        <v>2325047</v>
      </c>
      <c r="W93" s="136">
        <v>14341</v>
      </c>
      <c r="X93" s="136">
        <v>3611006</v>
      </c>
      <c r="Y93" s="136">
        <v>330701</v>
      </c>
      <c r="Z93" s="136">
        <v>764421</v>
      </c>
      <c r="AA93" s="136">
        <v>3855828</v>
      </c>
      <c r="AB93" s="136">
        <v>1005152</v>
      </c>
      <c r="AC93" s="136">
        <v>0</v>
      </c>
      <c r="AD93" s="136">
        <v>3184184</v>
      </c>
      <c r="AE93" s="136">
        <v>10917</v>
      </c>
      <c r="AF93" s="136">
        <v>151831</v>
      </c>
      <c r="AG93" s="136">
        <v>13304685</v>
      </c>
      <c r="AH93" s="136">
        <v>7433034</v>
      </c>
      <c r="AI93" s="136">
        <v>98147</v>
      </c>
      <c r="AJ93" s="136">
        <v>5051886</v>
      </c>
      <c r="AK93" s="136">
        <v>748669</v>
      </c>
      <c r="AL93" s="136">
        <v>96251</v>
      </c>
      <c r="AM93" s="136">
        <v>610971</v>
      </c>
      <c r="AN93" s="136">
        <v>598496</v>
      </c>
      <c r="AO93" s="136">
        <v>278801</v>
      </c>
      <c r="AP93" s="136">
        <v>189531</v>
      </c>
      <c r="AQ93" s="136">
        <v>63970</v>
      </c>
      <c r="AR93" s="136">
        <v>108354</v>
      </c>
      <c r="AS93" s="136">
        <v>300631</v>
      </c>
      <c r="AT93" s="136">
        <v>1107147</v>
      </c>
      <c r="AU93" s="136">
        <v>0</v>
      </c>
      <c r="AV93" s="136">
        <v>263048</v>
      </c>
      <c r="AW93" s="136">
        <v>0</v>
      </c>
      <c r="AX93" s="136">
        <v>175258</v>
      </c>
      <c r="AY93" s="136">
        <v>99008</v>
      </c>
      <c r="AZ93" s="136">
        <v>155059</v>
      </c>
      <c r="BA93" s="136">
        <v>0</v>
      </c>
      <c r="BB93" s="136">
        <v>173085</v>
      </c>
      <c r="BC93" s="136">
        <v>0</v>
      </c>
      <c r="BD93" s="136">
        <v>0</v>
      </c>
      <c r="BE93" s="136">
        <v>3484609</v>
      </c>
      <c r="BF93" s="136">
        <v>1633387</v>
      </c>
      <c r="BG93" s="136">
        <v>0</v>
      </c>
      <c r="BH93" s="136">
        <v>3807817</v>
      </c>
      <c r="BI93" s="136">
        <v>578758</v>
      </c>
      <c r="BJ93" s="136">
        <v>549204</v>
      </c>
      <c r="BK93" s="136">
        <v>2458269</v>
      </c>
      <c r="BL93" s="136">
        <v>970512</v>
      </c>
      <c r="BM93" s="136">
        <v>344964</v>
      </c>
      <c r="BN93" s="136">
        <v>1331488</v>
      </c>
      <c r="BO93" s="136">
        <v>2877</v>
      </c>
      <c r="BP93" s="136">
        <v>442644</v>
      </c>
      <c r="BQ93" s="136">
        <v>1416636</v>
      </c>
      <c r="BR93" s="136">
        <v>6066976</v>
      </c>
      <c r="BS93" s="136">
        <v>16262</v>
      </c>
      <c r="BT93" s="136">
        <v>3549299</v>
      </c>
      <c r="BU93" s="136">
        <v>147459</v>
      </c>
      <c r="BV93" s="136">
        <v>324101</v>
      </c>
      <c r="BW93" s="136">
        <v>0</v>
      </c>
      <c r="BX93" s="136">
        <v>0</v>
      </c>
      <c r="BY93" s="136">
        <v>0</v>
      </c>
      <c r="BZ93" s="136">
        <v>0</v>
      </c>
      <c r="CA93" s="136">
        <v>0</v>
      </c>
      <c r="CB93" s="136">
        <v>0</v>
      </c>
      <c r="CC93" s="136">
        <v>146279</v>
      </c>
      <c r="CD93" s="136">
        <v>2359822</v>
      </c>
      <c r="CE93" s="136">
        <v>0</v>
      </c>
      <c r="CF93" s="136">
        <v>5993463</v>
      </c>
      <c r="CG93" s="136">
        <v>0</v>
      </c>
      <c r="CH93" s="136">
        <v>519133</v>
      </c>
      <c r="CI93" s="136">
        <v>1143074</v>
      </c>
      <c r="CJ93" s="136">
        <v>464256</v>
      </c>
      <c r="CK93" s="136">
        <v>0</v>
      </c>
      <c r="CL93" s="136">
        <v>11459329</v>
      </c>
      <c r="CM93" s="136">
        <v>59477</v>
      </c>
      <c r="CN93" s="136">
        <v>507426</v>
      </c>
      <c r="CO93" s="136">
        <v>817504</v>
      </c>
      <c r="CP93" s="136">
        <v>1870410</v>
      </c>
      <c r="CQ93" s="136">
        <v>0</v>
      </c>
      <c r="CR93" s="136">
        <v>2501542</v>
      </c>
      <c r="CS93" s="136">
        <v>218914</v>
      </c>
      <c r="CT93" s="136">
        <v>311047</v>
      </c>
      <c r="CU93" s="136">
        <v>0</v>
      </c>
      <c r="CV93" s="136">
        <v>0</v>
      </c>
      <c r="CW93" s="136">
        <v>0</v>
      </c>
      <c r="CX93" s="136">
        <v>0</v>
      </c>
      <c r="CY93" s="136">
        <v>0</v>
      </c>
      <c r="CZ93" s="136">
        <v>0</v>
      </c>
      <c r="DA93" s="136"/>
      <c r="DB93" s="136"/>
      <c r="DC93" s="136"/>
      <c r="DD93" s="136"/>
      <c r="DE93" s="136"/>
      <c r="DF93" s="136"/>
      <c r="DG93" s="136">
        <v>0</v>
      </c>
      <c r="DH93" s="136">
        <v>0</v>
      </c>
      <c r="DI93" s="136">
        <v>0</v>
      </c>
      <c r="DJ93" s="136">
        <v>0</v>
      </c>
      <c r="DK93" s="136">
        <v>0</v>
      </c>
      <c r="DL93" s="136">
        <v>0</v>
      </c>
      <c r="DM93" s="136">
        <v>0</v>
      </c>
      <c r="DN93" s="136">
        <v>0</v>
      </c>
      <c r="DO93" s="136">
        <v>0</v>
      </c>
      <c r="DP93" s="136">
        <v>0</v>
      </c>
      <c r="DQ93" s="136">
        <v>0</v>
      </c>
      <c r="DR93" s="136">
        <v>0</v>
      </c>
      <c r="DS93" s="136"/>
      <c r="DT93" s="136"/>
      <c r="DU93" s="136"/>
      <c r="DV93" s="136"/>
      <c r="DW93" s="136"/>
      <c r="DX93" s="136"/>
      <c r="DY93" s="136">
        <v>1834075</v>
      </c>
      <c r="DZ93" s="136">
        <v>0</v>
      </c>
      <c r="EA93" s="136">
        <v>0</v>
      </c>
      <c r="EB93" s="136">
        <v>0</v>
      </c>
      <c r="EC93" s="136">
        <v>102814</v>
      </c>
      <c r="ED93" s="136">
        <v>282</v>
      </c>
      <c r="EE93" s="136">
        <v>865600</v>
      </c>
      <c r="EF93" s="136">
        <v>0</v>
      </c>
      <c r="EG93" s="136">
        <v>0</v>
      </c>
      <c r="EH93" s="136">
        <v>0</v>
      </c>
      <c r="EI93" s="136">
        <v>0</v>
      </c>
      <c r="EJ93" s="136">
        <v>0</v>
      </c>
      <c r="EK93" s="136"/>
      <c r="EL93" s="136"/>
      <c r="EM93" s="136"/>
      <c r="EN93" s="136"/>
      <c r="EO93" s="136"/>
      <c r="EP93" s="136"/>
      <c r="EQ93" s="136">
        <v>3379032</v>
      </c>
      <c r="ER93" s="136">
        <v>0</v>
      </c>
      <c r="ES93" s="136">
        <v>0</v>
      </c>
      <c r="ET93" s="136">
        <v>0</v>
      </c>
      <c r="EU93" s="136">
        <v>74255</v>
      </c>
      <c r="EV93" s="136">
        <v>0</v>
      </c>
      <c r="EW93" s="136"/>
      <c r="EX93" s="136"/>
      <c r="EY93" s="136"/>
      <c r="EZ93" s="136"/>
      <c r="FA93" s="136"/>
      <c r="FB93" s="136"/>
      <c r="FC93" s="136">
        <v>0</v>
      </c>
      <c r="FD93" s="136">
        <v>4660686.3499999996</v>
      </c>
      <c r="FE93" s="136">
        <v>0</v>
      </c>
      <c r="FF93" s="136">
        <v>377241.65</v>
      </c>
      <c r="FG93" s="136">
        <v>0</v>
      </c>
      <c r="FH93" s="136">
        <v>0</v>
      </c>
      <c r="FI93" s="136"/>
      <c r="FJ93" s="136"/>
      <c r="FK93" s="136"/>
      <c r="FL93" s="136"/>
      <c r="FM93" s="136"/>
      <c r="FN93" s="136"/>
      <c r="FO93" s="136">
        <v>7460217</v>
      </c>
      <c r="FP93" s="136">
        <v>0</v>
      </c>
      <c r="FQ93" s="136">
        <v>0</v>
      </c>
      <c r="FR93" s="136">
        <v>0</v>
      </c>
      <c r="FS93" s="136">
        <v>307524</v>
      </c>
      <c r="FT93" s="136">
        <v>59831</v>
      </c>
      <c r="FU93" s="136">
        <v>0</v>
      </c>
      <c r="FV93" s="136">
        <v>0</v>
      </c>
      <c r="FW93" s="136">
        <v>0</v>
      </c>
      <c r="FX93" s="136">
        <v>0</v>
      </c>
      <c r="FY93" s="136">
        <v>0</v>
      </c>
      <c r="FZ93" s="136">
        <v>0</v>
      </c>
      <c r="GA93" s="136">
        <v>129013</v>
      </c>
      <c r="GB93" s="136">
        <v>0</v>
      </c>
      <c r="GC93" s="136">
        <v>20375</v>
      </c>
      <c r="GD93" s="136">
        <v>0</v>
      </c>
      <c r="GE93" s="136">
        <v>0</v>
      </c>
      <c r="GF93" s="136">
        <v>0</v>
      </c>
      <c r="GG93" s="136">
        <v>0</v>
      </c>
      <c r="GH93" s="136">
        <v>0</v>
      </c>
      <c r="GI93" s="136">
        <v>0</v>
      </c>
      <c r="GJ93" s="136">
        <v>0</v>
      </c>
      <c r="GK93" s="136">
        <v>0</v>
      </c>
      <c r="GL93" s="136">
        <v>0</v>
      </c>
      <c r="GM93" s="136">
        <v>0</v>
      </c>
      <c r="GN93" s="136">
        <v>0</v>
      </c>
      <c r="GO93" s="136">
        <v>0</v>
      </c>
      <c r="GP93" s="136">
        <v>0</v>
      </c>
      <c r="GQ93" s="136">
        <v>0</v>
      </c>
      <c r="GR93" s="136">
        <v>0</v>
      </c>
      <c r="GS93" s="136">
        <v>192758787</v>
      </c>
      <c r="GT93" s="136">
        <v>97108805</v>
      </c>
      <c r="GU93" s="136">
        <v>739636637</v>
      </c>
      <c r="GV93" s="35" t="s">
        <v>363</v>
      </c>
      <c r="GW93" s="137">
        <v>9403695095</v>
      </c>
      <c r="GX93" s="35" t="s">
        <v>364</v>
      </c>
      <c r="GY93" s="136">
        <v>89180220</v>
      </c>
      <c r="GZ93" s="136">
        <v>-60909012</v>
      </c>
      <c r="HA93" s="136">
        <v>3209361</v>
      </c>
      <c r="HB93" s="136">
        <v>0</v>
      </c>
      <c r="HC93" s="136">
        <v>0</v>
      </c>
      <c r="HD93" s="136">
        <v>-165322</v>
      </c>
      <c r="HE93" s="136">
        <v>-26657</v>
      </c>
      <c r="HF93" s="136">
        <v>0</v>
      </c>
      <c r="HG93" s="136">
        <v>0</v>
      </c>
      <c r="HH93" s="136">
        <v>0</v>
      </c>
      <c r="HI93" s="35" t="s">
        <v>439</v>
      </c>
      <c r="HJ93" s="35" t="s">
        <v>439</v>
      </c>
      <c r="HK93" s="35" t="s">
        <v>439</v>
      </c>
      <c r="HL93"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30839134</v>
      </c>
      <c r="HM93"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25989298</v>
      </c>
      <c r="HN93"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752515</v>
      </c>
      <c r="HO93"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41115678</v>
      </c>
      <c r="HP93"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2161742</v>
      </c>
      <c r="HQ93"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3949670</v>
      </c>
      <c r="HR93"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31288590</v>
      </c>
    </row>
    <row r="94" spans="1:226">
      <c r="A94" s="35" t="s">
        <v>833</v>
      </c>
      <c r="B94" s="37" t="s">
        <v>828</v>
      </c>
      <c r="C94" s="37" t="s">
        <v>657</v>
      </c>
      <c r="D94" s="37" t="s">
        <v>835</v>
      </c>
      <c r="E94" s="103">
        <v>103594</v>
      </c>
      <c r="F94" s="136">
        <v>2023474</v>
      </c>
      <c r="G94" s="136">
        <v>0</v>
      </c>
      <c r="H94" s="136">
        <v>0</v>
      </c>
      <c r="I94" s="136">
        <v>0</v>
      </c>
      <c r="J94" s="136">
        <v>0</v>
      </c>
      <c r="K94" s="136">
        <v>0</v>
      </c>
      <c r="L94" s="136">
        <v>0</v>
      </c>
      <c r="M94" s="136">
        <v>0</v>
      </c>
      <c r="N94" s="136">
        <v>0</v>
      </c>
      <c r="O94" s="136">
        <v>0</v>
      </c>
      <c r="P94" s="136">
        <v>0</v>
      </c>
      <c r="Q94" s="136">
        <v>0</v>
      </c>
      <c r="R94" s="136">
        <v>0</v>
      </c>
      <c r="S94" s="136">
        <v>0</v>
      </c>
      <c r="T94" s="136">
        <v>0</v>
      </c>
      <c r="U94" s="136">
        <v>0</v>
      </c>
      <c r="V94" s="136">
        <v>0</v>
      </c>
      <c r="W94" s="136">
        <v>0</v>
      </c>
      <c r="X94" s="136">
        <v>0</v>
      </c>
      <c r="Y94" s="136">
        <v>0</v>
      </c>
      <c r="Z94" s="136">
        <v>0</v>
      </c>
      <c r="AA94" s="136">
        <v>0</v>
      </c>
      <c r="AB94" s="136">
        <v>0</v>
      </c>
      <c r="AC94" s="136">
        <v>0</v>
      </c>
      <c r="AD94" s="136">
        <v>0</v>
      </c>
      <c r="AE94" s="136">
        <v>0</v>
      </c>
      <c r="AF94" s="136">
        <v>0</v>
      </c>
      <c r="AG94" s="136">
        <v>0</v>
      </c>
      <c r="AH94" s="136">
        <v>0</v>
      </c>
      <c r="AI94" s="136">
        <v>0</v>
      </c>
      <c r="AJ94" s="136">
        <v>0</v>
      </c>
      <c r="AK94" s="136">
        <v>0</v>
      </c>
      <c r="AL94" s="136">
        <v>0</v>
      </c>
      <c r="AM94" s="136">
        <v>0</v>
      </c>
      <c r="AN94" s="136">
        <v>0</v>
      </c>
      <c r="AO94" s="136">
        <v>0</v>
      </c>
      <c r="AP94" s="136">
        <v>0</v>
      </c>
      <c r="AQ94" s="136">
        <v>0</v>
      </c>
      <c r="AR94" s="136">
        <v>0</v>
      </c>
      <c r="AS94" s="136">
        <v>0</v>
      </c>
      <c r="AT94" s="136">
        <v>0</v>
      </c>
      <c r="AU94" s="136">
        <v>0</v>
      </c>
      <c r="AV94" s="136">
        <v>0</v>
      </c>
      <c r="AW94" s="136">
        <v>0</v>
      </c>
      <c r="AX94" s="136">
        <v>0</v>
      </c>
      <c r="AY94" s="136">
        <v>0</v>
      </c>
      <c r="AZ94" s="136">
        <v>0</v>
      </c>
      <c r="BA94" s="136">
        <v>0</v>
      </c>
      <c r="BB94" s="136">
        <v>0</v>
      </c>
      <c r="BC94" s="136">
        <v>0</v>
      </c>
      <c r="BD94" s="136">
        <v>0</v>
      </c>
      <c r="BE94" s="136">
        <v>0</v>
      </c>
      <c r="BF94" s="136">
        <v>0</v>
      </c>
      <c r="BG94" s="136">
        <v>0</v>
      </c>
      <c r="BH94" s="136">
        <v>0</v>
      </c>
      <c r="BI94" s="136">
        <v>0</v>
      </c>
      <c r="BJ94" s="136">
        <v>0</v>
      </c>
      <c r="BK94" s="136">
        <v>0</v>
      </c>
      <c r="BL94" s="136">
        <v>0</v>
      </c>
      <c r="BM94" s="136">
        <v>0</v>
      </c>
      <c r="BN94" s="136">
        <v>0</v>
      </c>
      <c r="BO94" s="136">
        <v>0</v>
      </c>
      <c r="BP94" s="136">
        <v>0</v>
      </c>
      <c r="BQ94" s="136">
        <v>0</v>
      </c>
      <c r="BR94" s="136">
        <v>0</v>
      </c>
      <c r="BS94" s="136">
        <v>0</v>
      </c>
      <c r="BT94" s="136">
        <v>0</v>
      </c>
      <c r="BU94" s="136">
        <v>0</v>
      </c>
      <c r="BV94" s="136">
        <v>0</v>
      </c>
      <c r="BW94" s="136">
        <v>0</v>
      </c>
      <c r="BX94" s="136">
        <v>0</v>
      </c>
      <c r="BY94" s="136">
        <v>0</v>
      </c>
      <c r="BZ94" s="136">
        <v>0</v>
      </c>
      <c r="CA94" s="136">
        <v>0</v>
      </c>
      <c r="CB94" s="136">
        <v>0</v>
      </c>
      <c r="CC94" s="136">
        <v>0</v>
      </c>
      <c r="CD94" s="136">
        <v>0</v>
      </c>
      <c r="CE94" s="136">
        <v>0</v>
      </c>
      <c r="CF94" s="136">
        <v>0</v>
      </c>
      <c r="CG94" s="136">
        <v>0</v>
      </c>
      <c r="CH94" s="136">
        <v>0</v>
      </c>
      <c r="CI94" s="136">
        <v>0</v>
      </c>
      <c r="CJ94" s="136">
        <v>0</v>
      </c>
      <c r="CK94" s="136">
        <v>0</v>
      </c>
      <c r="CL94" s="136">
        <v>0</v>
      </c>
      <c r="CM94" s="136">
        <v>0</v>
      </c>
      <c r="CN94" s="136">
        <v>0</v>
      </c>
      <c r="CO94" s="136">
        <v>0</v>
      </c>
      <c r="CP94" s="136">
        <v>0</v>
      </c>
      <c r="CQ94" s="136">
        <v>0</v>
      </c>
      <c r="CR94" s="136">
        <v>0</v>
      </c>
      <c r="CS94" s="136">
        <v>0</v>
      </c>
      <c r="CT94" s="136">
        <v>0</v>
      </c>
      <c r="CU94" s="136">
        <v>0</v>
      </c>
      <c r="CV94" s="136">
        <v>0</v>
      </c>
      <c r="CW94" s="136">
        <v>0</v>
      </c>
      <c r="CX94" s="136">
        <v>0</v>
      </c>
      <c r="CY94" s="136">
        <v>0</v>
      </c>
      <c r="CZ94" s="136">
        <v>0</v>
      </c>
      <c r="DA94" s="136"/>
      <c r="DB94" s="136"/>
      <c r="DC94" s="136"/>
      <c r="DD94" s="136"/>
      <c r="DE94" s="136"/>
      <c r="DF94" s="136"/>
      <c r="DG94" s="136">
        <v>0</v>
      </c>
      <c r="DH94" s="136">
        <v>0</v>
      </c>
      <c r="DI94" s="136">
        <v>0</v>
      </c>
      <c r="DJ94" s="136">
        <v>0</v>
      </c>
      <c r="DK94" s="136">
        <v>0</v>
      </c>
      <c r="DL94" s="136">
        <v>0</v>
      </c>
      <c r="DM94" s="136">
        <v>0</v>
      </c>
      <c r="DN94" s="136">
        <v>0</v>
      </c>
      <c r="DO94" s="136">
        <v>0</v>
      </c>
      <c r="DP94" s="136">
        <v>0</v>
      </c>
      <c r="DQ94" s="136">
        <v>0</v>
      </c>
      <c r="DR94" s="136">
        <v>0</v>
      </c>
      <c r="DS94" s="136"/>
      <c r="DT94" s="136"/>
      <c r="DU94" s="136"/>
      <c r="DV94" s="136"/>
      <c r="DW94" s="136"/>
      <c r="DX94" s="136"/>
      <c r="DY94" s="136">
        <v>0</v>
      </c>
      <c r="DZ94" s="136">
        <v>0</v>
      </c>
      <c r="EA94" s="136">
        <v>0</v>
      </c>
      <c r="EB94" s="136">
        <v>0</v>
      </c>
      <c r="EC94" s="136">
        <v>0</v>
      </c>
      <c r="ED94" s="136">
        <v>0</v>
      </c>
      <c r="EE94" s="136">
        <v>0</v>
      </c>
      <c r="EF94" s="136">
        <v>0</v>
      </c>
      <c r="EG94" s="136">
        <v>0</v>
      </c>
      <c r="EH94" s="136">
        <v>0</v>
      </c>
      <c r="EI94" s="136">
        <v>0</v>
      </c>
      <c r="EJ94" s="136">
        <v>0</v>
      </c>
      <c r="EK94" s="136"/>
      <c r="EL94" s="136"/>
      <c r="EM94" s="136"/>
      <c r="EN94" s="136"/>
      <c r="EO94" s="136"/>
      <c r="EP94" s="136"/>
      <c r="EQ94" s="136">
        <v>0</v>
      </c>
      <c r="ER94" s="136">
        <v>0</v>
      </c>
      <c r="ES94" s="136">
        <v>0</v>
      </c>
      <c r="ET94" s="136">
        <v>0</v>
      </c>
      <c r="EU94" s="136">
        <v>0</v>
      </c>
      <c r="EV94" s="136">
        <v>0</v>
      </c>
      <c r="EW94" s="136"/>
      <c r="EX94" s="136"/>
      <c r="EY94" s="136"/>
      <c r="EZ94" s="136"/>
      <c r="FA94" s="136"/>
      <c r="FB94" s="136"/>
      <c r="FC94" s="136">
        <v>0</v>
      </c>
      <c r="FD94" s="136">
        <v>0</v>
      </c>
      <c r="FE94" s="136">
        <v>0</v>
      </c>
      <c r="FF94" s="136">
        <v>0</v>
      </c>
      <c r="FG94" s="136">
        <v>0</v>
      </c>
      <c r="FH94" s="136">
        <v>0</v>
      </c>
      <c r="FI94" s="136"/>
      <c r="FJ94" s="136"/>
      <c r="FK94" s="136"/>
      <c r="FL94" s="136"/>
      <c r="FM94" s="136"/>
      <c r="FN94" s="136"/>
      <c r="FO94" s="136">
        <v>0</v>
      </c>
      <c r="FP94" s="136">
        <v>0</v>
      </c>
      <c r="FQ94" s="136">
        <v>0</v>
      </c>
      <c r="FR94" s="136">
        <v>0</v>
      </c>
      <c r="FS94" s="136">
        <v>0</v>
      </c>
      <c r="FT94" s="136">
        <v>0</v>
      </c>
      <c r="FU94" s="136">
        <v>0</v>
      </c>
      <c r="FV94" s="136">
        <v>0</v>
      </c>
      <c r="FW94" s="136">
        <v>0</v>
      </c>
      <c r="FX94" s="136">
        <v>0</v>
      </c>
      <c r="FY94" s="136">
        <v>0</v>
      </c>
      <c r="FZ94" s="136">
        <v>0</v>
      </c>
      <c r="GA94" s="136">
        <v>0</v>
      </c>
      <c r="GB94" s="136">
        <v>0</v>
      </c>
      <c r="GC94" s="136">
        <v>0</v>
      </c>
      <c r="GD94" s="136">
        <v>0</v>
      </c>
      <c r="GE94" s="136">
        <v>0</v>
      </c>
      <c r="GF94" s="136">
        <v>0</v>
      </c>
      <c r="GG94" s="136">
        <v>0</v>
      </c>
      <c r="GH94" s="136">
        <v>0</v>
      </c>
      <c r="GI94" s="136">
        <v>0</v>
      </c>
      <c r="GJ94" s="136">
        <v>0</v>
      </c>
      <c r="GK94" s="136">
        <v>0</v>
      </c>
      <c r="GL94" s="136">
        <v>0</v>
      </c>
      <c r="GM94" s="136">
        <v>0</v>
      </c>
      <c r="GN94" s="136">
        <v>0</v>
      </c>
      <c r="GO94" s="136">
        <v>0</v>
      </c>
      <c r="GP94" s="136">
        <v>0</v>
      </c>
      <c r="GQ94" s="136">
        <v>0</v>
      </c>
      <c r="GR94" s="136">
        <v>0</v>
      </c>
      <c r="GS94" s="136">
        <v>8086940</v>
      </c>
      <c r="GT94" s="136">
        <v>2023474</v>
      </c>
      <c r="GU94" s="136">
        <v>125849657</v>
      </c>
      <c r="GW94" s="137"/>
      <c r="GY94" s="141">
        <v>0</v>
      </c>
      <c r="GZ94" s="141">
        <v>0</v>
      </c>
      <c r="HA94" s="136">
        <v>0</v>
      </c>
      <c r="HB94" s="136">
        <v>0</v>
      </c>
      <c r="HC94" s="136">
        <v>0</v>
      </c>
      <c r="HD94" s="136">
        <v>0</v>
      </c>
      <c r="HE94" s="136">
        <v>0</v>
      </c>
      <c r="HF94" s="136">
        <v>0</v>
      </c>
      <c r="HG94" s="136">
        <v>0</v>
      </c>
      <c r="HH94" s="136">
        <v>0</v>
      </c>
      <c r="HI94" s="35">
        <v>0</v>
      </c>
      <c r="HJ94" s="35">
        <v>0</v>
      </c>
      <c r="HK94" s="35">
        <v>0</v>
      </c>
      <c r="HL94"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0</v>
      </c>
      <c r="HM94"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94"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94"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0</v>
      </c>
      <c r="HP94"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94"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0</v>
      </c>
      <c r="HR94"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0</v>
      </c>
    </row>
    <row r="95" spans="1:226">
      <c r="A95" s="35" t="s">
        <v>49</v>
      </c>
      <c r="B95" s="37" t="s">
        <v>19</v>
      </c>
      <c r="C95" s="37">
        <v>333</v>
      </c>
      <c r="D95" s="37" t="s">
        <v>835</v>
      </c>
      <c r="E95" s="103">
        <v>42421</v>
      </c>
      <c r="F95" s="136">
        <v>179469</v>
      </c>
      <c r="G95" s="136">
        <v>0</v>
      </c>
      <c r="H95" s="136">
        <v>1286309</v>
      </c>
      <c r="I95" s="136">
        <v>66879</v>
      </c>
      <c r="J95" s="136">
        <v>0</v>
      </c>
      <c r="K95" s="136">
        <v>0</v>
      </c>
      <c r="L95" s="136">
        <v>0</v>
      </c>
      <c r="M95" s="136">
        <v>196643</v>
      </c>
      <c r="N95" s="136">
        <v>0</v>
      </c>
      <c r="O95" s="136">
        <v>0</v>
      </c>
      <c r="P95" s="136">
        <v>0</v>
      </c>
      <c r="Q95" s="136">
        <v>0</v>
      </c>
      <c r="R95" s="136">
        <v>0</v>
      </c>
      <c r="S95" s="136">
        <v>0</v>
      </c>
      <c r="T95" s="136">
        <v>0</v>
      </c>
      <c r="U95" s="136">
        <v>7863</v>
      </c>
      <c r="V95" s="136">
        <v>0</v>
      </c>
      <c r="W95" s="136">
        <v>0</v>
      </c>
      <c r="X95" s="136">
        <v>0</v>
      </c>
      <c r="Y95" s="136">
        <v>0</v>
      </c>
      <c r="Z95" s="136">
        <v>0</v>
      </c>
      <c r="AA95" s="136">
        <v>0</v>
      </c>
      <c r="AB95" s="136">
        <v>0</v>
      </c>
      <c r="AC95" s="136">
        <v>0</v>
      </c>
      <c r="AD95" s="136">
        <v>0</v>
      </c>
      <c r="AE95" s="136">
        <v>0</v>
      </c>
      <c r="AF95" s="136">
        <v>0</v>
      </c>
      <c r="AG95" s="136">
        <v>0</v>
      </c>
      <c r="AH95" s="136">
        <v>0</v>
      </c>
      <c r="AI95" s="136">
        <v>0</v>
      </c>
      <c r="AJ95" s="136">
        <v>0</v>
      </c>
      <c r="AK95" s="136">
        <v>0</v>
      </c>
      <c r="AL95" s="136">
        <v>0</v>
      </c>
      <c r="AM95" s="136">
        <v>0</v>
      </c>
      <c r="AN95" s="136">
        <v>0</v>
      </c>
      <c r="AO95" s="136">
        <v>0</v>
      </c>
      <c r="AP95" s="136">
        <v>0</v>
      </c>
      <c r="AQ95" s="136">
        <v>0</v>
      </c>
      <c r="AR95" s="136">
        <v>0</v>
      </c>
      <c r="AS95" s="136">
        <v>0</v>
      </c>
      <c r="AT95" s="136">
        <v>0</v>
      </c>
      <c r="AU95" s="136">
        <v>0</v>
      </c>
      <c r="AV95" s="136">
        <v>0</v>
      </c>
      <c r="AW95" s="136">
        <v>0</v>
      </c>
      <c r="AX95" s="136">
        <v>0</v>
      </c>
      <c r="AY95" s="136">
        <v>0</v>
      </c>
      <c r="AZ95" s="136">
        <v>0</v>
      </c>
      <c r="BA95" s="136">
        <v>0</v>
      </c>
      <c r="BB95" s="136">
        <v>0</v>
      </c>
      <c r="BC95" s="136">
        <v>0</v>
      </c>
      <c r="BD95" s="136">
        <v>0</v>
      </c>
      <c r="BE95" s="136">
        <v>0</v>
      </c>
      <c r="BF95" s="136">
        <v>0</v>
      </c>
      <c r="BG95" s="136">
        <v>0</v>
      </c>
      <c r="BH95" s="136">
        <v>0</v>
      </c>
      <c r="BI95" s="136">
        <v>0</v>
      </c>
      <c r="BJ95" s="136">
        <v>0</v>
      </c>
      <c r="BK95" s="136">
        <v>24502</v>
      </c>
      <c r="BL95" s="136">
        <v>0</v>
      </c>
      <c r="BM95" s="136">
        <v>0</v>
      </c>
      <c r="BN95" s="136">
        <v>0</v>
      </c>
      <c r="BO95" s="136">
        <v>0</v>
      </c>
      <c r="BP95" s="136">
        <v>0</v>
      </c>
      <c r="BQ95" s="136">
        <v>17481</v>
      </c>
      <c r="BR95" s="136">
        <v>0</v>
      </c>
      <c r="BS95" s="136">
        <v>0</v>
      </c>
      <c r="BT95" s="136">
        <v>852186</v>
      </c>
      <c r="BU95" s="136">
        <v>0</v>
      </c>
      <c r="BV95" s="136">
        <v>193775</v>
      </c>
      <c r="BW95" s="136">
        <v>146431</v>
      </c>
      <c r="BX95" s="136">
        <v>0</v>
      </c>
      <c r="BY95" s="136">
        <v>0</v>
      </c>
      <c r="BZ95" s="136">
        <v>0</v>
      </c>
      <c r="CA95" s="136">
        <v>0</v>
      </c>
      <c r="CB95" s="136">
        <v>0</v>
      </c>
      <c r="CC95" s="136">
        <v>0</v>
      </c>
      <c r="CD95" s="136">
        <v>0</v>
      </c>
      <c r="CE95" s="136">
        <v>0</v>
      </c>
      <c r="CF95" s="136">
        <v>0</v>
      </c>
      <c r="CG95" s="136">
        <v>0</v>
      </c>
      <c r="CH95" s="136">
        <v>0</v>
      </c>
      <c r="CI95" s="136">
        <v>0</v>
      </c>
      <c r="CJ95" s="136">
        <v>0</v>
      </c>
      <c r="CK95" s="136">
        <v>0</v>
      </c>
      <c r="CL95" s="136">
        <v>0</v>
      </c>
      <c r="CM95" s="136">
        <v>0</v>
      </c>
      <c r="CN95" s="136">
        <v>0</v>
      </c>
      <c r="CO95" s="136">
        <v>0</v>
      </c>
      <c r="CP95" s="136">
        <v>0</v>
      </c>
      <c r="CQ95" s="136">
        <v>0</v>
      </c>
      <c r="CR95" s="136">
        <v>0</v>
      </c>
      <c r="CS95" s="136">
        <v>0</v>
      </c>
      <c r="CT95" s="136">
        <v>0</v>
      </c>
      <c r="CU95" s="136">
        <v>0</v>
      </c>
      <c r="CV95" s="136">
        <v>0</v>
      </c>
      <c r="CW95" s="136">
        <v>0</v>
      </c>
      <c r="CX95" s="136">
        <v>110950</v>
      </c>
      <c r="CY95" s="136">
        <v>0</v>
      </c>
      <c r="CZ95" s="136">
        <v>0</v>
      </c>
      <c r="DA95" s="136"/>
      <c r="DB95" s="136"/>
      <c r="DC95" s="136"/>
      <c r="DD95" s="136"/>
      <c r="DE95" s="136"/>
      <c r="DF95" s="136"/>
      <c r="DG95" s="136">
        <v>0</v>
      </c>
      <c r="DH95" s="136">
        <v>0</v>
      </c>
      <c r="DI95" s="136">
        <v>0</v>
      </c>
      <c r="DJ95" s="136">
        <v>0</v>
      </c>
      <c r="DK95" s="136">
        <v>0</v>
      </c>
      <c r="DL95" s="136">
        <v>0</v>
      </c>
      <c r="DM95" s="136">
        <v>0</v>
      </c>
      <c r="DN95" s="136">
        <v>0</v>
      </c>
      <c r="DO95" s="136">
        <v>0</v>
      </c>
      <c r="DP95" s="136">
        <v>0</v>
      </c>
      <c r="DQ95" s="136">
        <v>0</v>
      </c>
      <c r="DR95" s="136">
        <v>0</v>
      </c>
      <c r="DS95" s="136"/>
      <c r="DT95" s="136"/>
      <c r="DU95" s="136"/>
      <c r="DV95" s="136"/>
      <c r="DW95" s="136"/>
      <c r="DX95" s="136"/>
      <c r="DY95" s="136">
        <v>0</v>
      </c>
      <c r="DZ95" s="136">
        <v>0</v>
      </c>
      <c r="EA95" s="136">
        <v>0</v>
      </c>
      <c r="EB95" s="136">
        <v>0</v>
      </c>
      <c r="EC95" s="136">
        <v>0</v>
      </c>
      <c r="ED95" s="136">
        <v>0</v>
      </c>
      <c r="EE95" s="136">
        <v>0</v>
      </c>
      <c r="EF95" s="136">
        <v>0</v>
      </c>
      <c r="EG95" s="136">
        <v>0</v>
      </c>
      <c r="EH95" s="136">
        <v>0</v>
      </c>
      <c r="EI95" s="136">
        <v>0</v>
      </c>
      <c r="EJ95" s="136">
        <v>0</v>
      </c>
      <c r="EK95" s="136"/>
      <c r="EL95" s="136"/>
      <c r="EM95" s="136"/>
      <c r="EN95" s="136"/>
      <c r="EO95" s="136"/>
      <c r="EP95" s="136"/>
      <c r="EQ95" s="136">
        <v>0</v>
      </c>
      <c r="ER95" s="136">
        <v>0</v>
      </c>
      <c r="ES95" s="136">
        <v>0</v>
      </c>
      <c r="ET95" s="136">
        <v>0</v>
      </c>
      <c r="EU95" s="136">
        <v>0</v>
      </c>
      <c r="EV95" s="136">
        <v>0</v>
      </c>
      <c r="EW95" s="136"/>
      <c r="EX95" s="136"/>
      <c r="EY95" s="136"/>
      <c r="EZ95" s="136"/>
      <c r="FA95" s="136"/>
      <c r="FB95" s="136"/>
      <c r="FC95" s="136">
        <v>0</v>
      </c>
      <c r="FD95" s="136">
        <v>0</v>
      </c>
      <c r="FE95" s="136">
        <v>0</v>
      </c>
      <c r="FF95" s="136">
        <v>0</v>
      </c>
      <c r="FG95" s="136">
        <v>0</v>
      </c>
      <c r="FH95" s="136">
        <v>0</v>
      </c>
      <c r="FI95" s="136"/>
      <c r="FJ95" s="136"/>
      <c r="FK95" s="136"/>
      <c r="FL95" s="136"/>
      <c r="FM95" s="136"/>
      <c r="FN95" s="136"/>
      <c r="FO95" s="136">
        <v>0</v>
      </c>
      <c r="FP95" s="136">
        <v>0</v>
      </c>
      <c r="FQ95" s="136">
        <v>0</v>
      </c>
      <c r="FR95" s="136">
        <v>0</v>
      </c>
      <c r="FS95" s="136">
        <v>0</v>
      </c>
      <c r="FT95" s="136">
        <v>0</v>
      </c>
      <c r="FU95" s="136">
        <v>0</v>
      </c>
      <c r="FV95" s="136">
        <v>0</v>
      </c>
      <c r="FW95" s="136">
        <v>0</v>
      </c>
      <c r="FX95" s="136">
        <v>0</v>
      </c>
      <c r="FY95" s="136">
        <v>0</v>
      </c>
      <c r="FZ95" s="136">
        <v>0</v>
      </c>
      <c r="GA95" s="136">
        <v>0</v>
      </c>
      <c r="GB95" s="136">
        <v>0</v>
      </c>
      <c r="GC95" s="136">
        <v>0</v>
      </c>
      <c r="GD95" s="136">
        <v>0</v>
      </c>
      <c r="GE95" s="136">
        <v>0</v>
      </c>
      <c r="GF95" s="136">
        <v>0</v>
      </c>
      <c r="GG95" s="136">
        <v>0</v>
      </c>
      <c r="GH95" s="136">
        <v>0</v>
      </c>
      <c r="GI95" s="136">
        <v>0</v>
      </c>
      <c r="GJ95" s="136">
        <v>0</v>
      </c>
      <c r="GK95" s="136">
        <v>0</v>
      </c>
      <c r="GL95" s="136">
        <v>0</v>
      </c>
      <c r="GM95" s="136">
        <v>0</v>
      </c>
      <c r="GN95" s="136">
        <v>0</v>
      </c>
      <c r="GO95" s="136">
        <v>0</v>
      </c>
      <c r="GP95" s="136">
        <v>0</v>
      </c>
      <c r="GQ95" s="136">
        <v>0</v>
      </c>
      <c r="GR95" s="136">
        <v>0</v>
      </c>
      <c r="GS95" s="136">
        <v>36933310</v>
      </c>
      <c r="GT95" s="136">
        <v>1465778</v>
      </c>
      <c r="GU95" s="136">
        <v>72999146</v>
      </c>
      <c r="GV95" s="35" t="s">
        <v>365</v>
      </c>
      <c r="GW95" s="137"/>
      <c r="GX95" s="35" t="s">
        <v>366</v>
      </c>
      <c r="GY95" s="136">
        <v>1465778</v>
      </c>
      <c r="GZ95" s="136">
        <v>-1124303</v>
      </c>
      <c r="HA95" s="136">
        <v>171474</v>
      </c>
      <c r="HB95" s="136">
        <v>0</v>
      </c>
      <c r="HC95" s="136">
        <v>0</v>
      </c>
      <c r="HD95" s="136">
        <v>0</v>
      </c>
      <c r="HE95" s="136">
        <v>0</v>
      </c>
      <c r="HF95" s="136">
        <v>0</v>
      </c>
      <c r="HG95" s="136">
        <v>0</v>
      </c>
      <c r="HH95" s="136">
        <v>0</v>
      </c>
      <c r="HI95" s="35" t="s">
        <v>439</v>
      </c>
      <c r="HJ95" s="35" t="s">
        <v>439</v>
      </c>
      <c r="HK95" s="35" t="s">
        <v>439</v>
      </c>
      <c r="HL95"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196277</v>
      </c>
      <c r="HM95"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95"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95"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963136</v>
      </c>
      <c r="HP95"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0</v>
      </c>
      <c r="HQ95"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193775</v>
      </c>
      <c r="HR95"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512949</v>
      </c>
    </row>
    <row r="96" spans="1:226">
      <c r="A96" s="35" t="s">
        <v>392</v>
      </c>
      <c r="B96" s="37" t="s">
        <v>384</v>
      </c>
      <c r="C96" s="37">
        <v>461</v>
      </c>
      <c r="D96" s="37" t="s">
        <v>835</v>
      </c>
      <c r="E96" s="103">
        <v>130</v>
      </c>
      <c r="F96" s="136">
        <v>2950629</v>
      </c>
      <c r="G96" s="136">
        <v>0</v>
      </c>
      <c r="H96" s="136">
        <v>67547894</v>
      </c>
      <c r="I96" s="136">
        <v>14533915</v>
      </c>
      <c r="J96" s="136">
        <v>706894</v>
      </c>
      <c r="K96" s="136">
        <v>0</v>
      </c>
      <c r="L96" s="136">
        <v>0</v>
      </c>
      <c r="M96" s="136">
        <v>2950629</v>
      </c>
      <c r="N96" s="136">
        <v>2950629</v>
      </c>
      <c r="O96" s="136">
        <v>0</v>
      </c>
      <c r="P96" s="136">
        <v>0</v>
      </c>
      <c r="Q96" s="136">
        <v>0</v>
      </c>
      <c r="R96" s="136">
        <v>0</v>
      </c>
      <c r="S96" s="136">
        <v>0</v>
      </c>
      <c r="T96" s="136">
        <v>0</v>
      </c>
      <c r="U96" s="136">
        <v>2793269</v>
      </c>
      <c r="V96" s="136">
        <v>1358634</v>
      </c>
      <c r="W96" s="136">
        <v>0</v>
      </c>
      <c r="X96" s="136">
        <v>1651631</v>
      </c>
      <c r="Y96" s="136">
        <v>485795</v>
      </c>
      <c r="Z96" s="136">
        <v>174820</v>
      </c>
      <c r="AA96" s="136">
        <v>0</v>
      </c>
      <c r="AB96" s="136">
        <v>0</v>
      </c>
      <c r="AC96" s="136">
        <v>0</v>
      </c>
      <c r="AD96" s="136">
        <v>0</v>
      </c>
      <c r="AE96" s="136">
        <v>0</v>
      </c>
      <c r="AF96" s="136">
        <v>0</v>
      </c>
      <c r="AG96" s="136">
        <v>0</v>
      </c>
      <c r="AH96" s="136">
        <v>0</v>
      </c>
      <c r="AI96" s="136">
        <v>0</v>
      </c>
      <c r="AJ96" s="136">
        <v>0</v>
      </c>
      <c r="AK96" s="136">
        <v>0</v>
      </c>
      <c r="AL96" s="136">
        <v>0</v>
      </c>
      <c r="AM96" s="136">
        <v>0</v>
      </c>
      <c r="AN96" s="136">
        <v>0</v>
      </c>
      <c r="AO96" s="136">
        <v>0</v>
      </c>
      <c r="AP96" s="136">
        <v>0</v>
      </c>
      <c r="AQ96" s="136">
        <v>0</v>
      </c>
      <c r="AR96" s="136">
        <v>0</v>
      </c>
      <c r="AS96" s="136">
        <v>0</v>
      </c>
      <c r="AT96" s="136">
        <v>0</v>
      </c>
      <c r="AU96" s="136">
        <v>0</v>
      </c>
      <c r="AV96" s="136">
        <v>0</v>
      </c>
      <c r="AW96" s="136">
        <v>0</v>
      </c>
      <c r="AX96" s="136">
        <v>0</v>
      </c>
      <c r="AY96" s="136">
        <v>67468322</v>
      </c>
      <c r="AZ96" s="136">
        <v>1348980</v>
      </c>
      <c r="BA96" s="136">
        <v>494790</v>
      </c>
      <c r="BB96" s="136">
        <v>4786363</v>
      </c>
      <c r="BC96" s="136">
        <v>670016</v>
      </c>
      <c r="BD96" s="136">
        <v>704060</v>
      </c>
      <c r="BE96" s="136">
        <v>0</v>
      </c>
      <c r="BF96" s="136">
        <v>0</v>
      </c>
      <c r="BG96" s="136">
        <v>0</v>
      </c>
      <c r="BH96" s="136">
        <v>0</v>
      </c>
      <c r="BI96" s="136">
        <v>0</v>
      </c>
      <c r="BJ96" s="136">
        <v>0</v>
      </c>
      <c r="BK96" s="136">
        <v>0</v>
      </c>
      <c r="BL96" s="136">
        <v>0</v>
      </c>
      <c r="BM96" s="136">
        <v>0</v>
      </c>
      <c r="BN96" s="136">
        <v>0</v>
      </c>
      <c r="BO96" s="136">
        <v>0</v>
      </c>
      <c r="BP96" s="136">
        <v>0</v>
      </c>
      <c r="BQ96" s="136">
        <v>625137</v>
      </c>
      <c r="BR96" s="136">
        <v>0</v>
      </c>
      <c r="BS96" s="136">
        <v>0</v>
      </c>
      <c r="BT96" s="136">
        <v>0</v>
      </c>
      <c r="BU96" s="136">
        <v>226886</v>
      </c>
      <c r="BV96" s="136">
        <v>0</v>
      </c>
      <c r="BW96" s="136">
        <v>0</v>
      </c>
      <c r="BX96" s="136">
        <v>0</v>
      </c>
      <c r="BY96" s="136">
        <v>0</v>
      </c>
      <c r="BZ96" s="136">
        <v>0</v>
      </c>
      <c r="CA96" s="136">
        <v>0</v>
      </c>
      <c r="CB96" s="136">
        <v>0</v>
      </c>
      <c r="CC96" s="136">
        <v>0</v>
      </c>
      <c r="CD96" s="136">
        <v>0</v>
      </c>
      <c r="CE96" s="136">
        <v>0</v>
      </c>
      <c r="CF96" s="136">
        <v>0</v>
      </c>
      <c r="CG96" s="136">
        <v>0</v>
      </c>
      <c r="CH96" s="136">
        <v>0</v>
      </c>
      <c r="CI96" s="136">
        <v>0</v>
      </c>
      <c r="CJ96" s="136">
        <v>0</v>
      </c>
      <c r="CK96" s="136">
        <v>0</v>
      </c>
      <c r="CL96" s="136">
        <v>0</v>
      </c>
      <c r="CM96" s="136">
        <v>0</v>
      </c>
      <c r="CN96" s="136">
        <v>0</v>
      </c>
      <c r="CO96" s="136">
        <v>0</v>
      </c>
      <c r="CP96" s="136">
        <v>0</v>
      </c>
      <c r="CQ96" s="136">
        <v>0</v>
      </c>
      <c r="CR96" s="136">
        <v>0</v>
      </c>
      <c r="CS96" s="136">
        <v>0</v>
      </c>
      <c r="CT96" s="136">
        <v>0</v>
      </c>
      <c r="CU96" s="136">
        <v>0</v>
      </c>
      <c r="CV96" s="136">
        <v>0</v>
      </c>
      <c r="CW96" s="136">
        <v>0</v>
      </c>
      <c r="CX96" s="136">
        <v>0</v>
      </c>
      <c r="CY96" s="136">
        <v>0</v>
      </c>
      <c r="CZ96" s="136">
        <v>0</v>
      </c>
      <c r="DA96" s="136"/>
      <c r="DB96" s="136"/>
      <c r="DC96" s="136"/>
      <c r="DD96" s="136"/>
      <c r="DE96" s="136"/>
      <c r="DF96" s="136"/>
      <c r="DG96" s="136">
        <v>0</v>
      </c>
      <c r="DH96" s="136">
        <v>0</v>
      </c>
      <c r="DI96" s="136">
        <v>0</v>
      </c>
      <c r="DJ96" s="136">
        <v>0</v>
      </c>
      <c r="DK96" s="136">
        <v>0</v>
      </c>
      <c r="DL96" s="136">
        <v>0</v>
      </c>
      <c r="DM96" s="136"/>
      <c r="DN96" s="136"/>
      <c r="DO96" s="136"/>
      <c r="DP96" s="136"/>
      <c r="DQ96" s="136"/>
      <c r="DR96" s="136"/>
      <c r="DS96" s="136">
        <v>27490011</v>
      </c>
      <c r="DT96" s="136">
        <v>0</v>
      </c>
      <c r="DU96" s="136">
        <v>141171</v>
      </c>
      <c r="DV96" s="136">
        <v>0</v>
      </c>
      <c r="DW96" s="136">
        <v>58905</v>
      </c>
      <c r="DX96" s="136">
        <v>87723</v>
      </c>
      <c r="DY96" s="136"/>
      <c r="DZ96" s="136"/>
      <c r="EA96" s="136"/>
      <c r="EB96" s="136"/>
      <c r="EC96" s="136"/>
      <c r="ED96" s="136"/>
      <c r="EE96" s="136">
        <v>953669</v>
      </c>
      <c r="EF96" s="136">
        <v>0</v>
      </c>
      <c r="EG96" s="136">
        <v>359355</v>
      </c>
      <c r="EH96" s="136">
        <v>110669</v>
      </c>
      <c r="EI96" s="136">
        <v>0</v>
      </c>
      <c r="EJ96" s="136">
        <v>0</v>
      </c>
      <c r="EK96" s="136">
        <v>1403834</v>
      </c>
      <c r="EL96" s="136">
        <v>0</v>
      </c>
      <c r="EM96" s="136">
        <v>0</v>
      </c>
      <c r="EN96" s="136">
        <v>0</v>
      </c>
      <c r="EO96" s="136">
        <v>0</v>
      </c>
      <c r="EP96" s="136">
        <v>243124</v>
      </c>
      <c r="EQ96" s="136"/>
      <c r="ER96" s="136"/>
      <c r="ES96" s="136"/>
      <c r="ET96" s="136"/>
      <c r="EU96" s="136"/>
      <c r="EV96" s="136"/>
      <c r="EW96" s="136">
        <v>1333441</v>
      </c>
      <c r="EX96" s="136">
        <v>0</v>
      </c>
      <c r="EY96" s="136">
        <v>200572</v>
      </c>
      <c r="EZ96" s="136">
        <v>0</v>
      </c>
      <c r="FA96" s="136">
        <v>0</v>
      </c>
      <c r="FB96" s="136">
        <v>14515</v>
      </c>
      <c r="FC96" s="136"/>
      <c r="FD96" s="136"/>
      <c r="FE96" s="136"/>
      <c r="FF96" s="136"/>
      <c r="FG96" s="136"/>
      <c r="FH96" s="136"/>
      <c r="FI96" s="136">
        <v>66718</v>
      </c>
      <c r="FJ96" s="136">
        <v>0</v>
      </c>
      <c r="FK96" s="136">
        <v>0</v>
      </c>
      <c r="FL96" s="136">
        <v>0</v>
      </c>
      <c r="FM96" s="136">
        <v>35980</v>
      </c>
      <c r="FN96" s="136">
        <v>29809</v>
      </c>
      <c r="FO96" s="136"/>
      <c r="FP96" s="136"/>
      <c r="FQ96" s="136"/>
      <c r="FR96" s="136"/>
      <c r="FS96" s="136"/>
      <c r="FT96" s="136"/>
      <c r="FU96" s="136"/>
      <c r="FV96" s="136"/>
      <c r="FW96" s="136"/>
      <c r="FX96" s="136"/>
      <c r="FY96" s="136"/>
      <c r="FZ96" s="136"/>
      <c r="GA96" s="136"/>
      <c r="GB96" s="136"/>
      <c r="GC96" s="136"/>
      <c r="GD96" s="136"/>
      <c r="GE96" s="136"/>
      <c r="GF96" s="136"/>
      <c r="GG96" s="136">
        <v>246551</v>
      </c>
      <c r="GH96" s="136">
        <v>0</v>
      </c>
      <c r="GI96" s="136">
        <v>0</v>
      </c>
      <c r="GJ96" s="136">
        <v>0</v>
      </c>
      <c r="GK96" s="136">
        <v>0</v>
      </c>
      <c r="GL96" s="136">
        <v>139207</v>
      </c>
      <c r="GM96" s="136">
        <v>0</v>
      </c>
      <c r="GN96" s="136">
        <v>0</v>
      </c>
      <c r="GO96" s="136">
        <v>0</v>
      </c>
      <c r="GP96" s="136">
        <v>0</v>
      </c>
      <c r="GQ96" s="136">
        <v>0</v>
      </c>
      <c r="GR96" s="136">
        <v>0</v>
      </c>
      <c r="GS96" s="136">
        <v>113807052</v>
      </c>
      <c r="GT96" s="136">
        <v>68254788</v>
      </c>
      <c r="GU96" s="136">
        <v>287791774</v>
      </c>
      <c r="GV96" s="35" t="s">
        <v>433</v>
      </c>
      <c r="GW96" s="137">
        <v>8177352609</v>
      </c>
      <c r="GX96" s="35" t="s">
        <v>434</v>
      </c>
      <c r="GY96" s="136">
        <v>70498523</v>
      </c>
      <c r="GZ96" s="136" t="s">
        <v>439</v>
      </c>
      <c r="HA96" s="136" t="s">
        <v>439</v>
      </c>
      <c r="HB96" s="136" t="s">
        <v>439</v>
      </c>
      <c r="HC96" s="136" t="s">
        <v>439</v>
      </c>
      <c r="HD96" s="136" t="s">
        <v>439</v>
      </c>
      <c r="HE96" s="136" t="s">
        <v>439</v>
      </c>
      <c r="HF96" s="136" t="s">
        <v>439</v>
      </c>
      <c r="HG96" s="136" t="s">
        <v>439</v>
      </c>
      <c r="HH96" s="136" t="s">
        <v>439</v>
      </c>
      <c r="HI96" s="35" t="s">
        <v>439</v>
      </c>
      <c r="HJ96" s="35" t="s">
        <v>439</v>
      </c>
      <c r="HK96" s="35" t="s">
        <v>439</v>
      </c>
      <c r="HL96"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70886728</v>
      </c>
      <c r="HM96"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2707614</v>
      </c>
      <c r="HN96"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494790</v>
      </c>
      <c r="HO96"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6437994</v>
      </c>
      <c r="HP96"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1382697</v>
      </c>
      <c r="HQ96"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878880</v>
      </c>
      <c r="HR96"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70498523</v>
      </c>
    </row>
    <row r="97" spans="1:226">
      <c r="A97" s="35" t="s">
        <v>695</v>
      </c>
      <c r="B97" s="37" t="s">
        <v>703</v>
      </c>
      <c r="D97" s="37" t="s">
        <v>835</v>
      </c>
      <c r="E97" s="103">
        <v>3663</v>
      </c>
      <c r="F97" s="136">
        <v>0</v>
      </c>
      <c r="G97" s="136">
        <v>0</v>
      </c>
      <c r="H97" s="136">
        <v>41717</v>
      </c>
      <c r="I97" s="136">
        <v>0</v>
      </c>
      <c r="J97" s="136">
        <v>0</v>
      </c>
      <c r="K97" s="136">
        <v>0</v>
      </c>
      <c r="L97" s="136">
        <v>0</v>
      </c>
      <c r="M97" s="136">
        <v>0</v>
      </c>
      <c r="N97" s="136">
        <v>0</v>
      </c>
      <c r="O97" s="136">
        <v>0</v>
      </c>
      <c r="P97" s="136">
        <v>0</v>
      </c>
      <c r="Q97" s="136">
        <v>0</v>
      </c>
      <c r="R97" s="136">
        <v>0</v>
      </c>
      <c r="S97" s="136">
        <v>0</v>
      </c>
      <c r="T97" s="136">
        <v>0</v>
      </c>
      <c r="U97" s="136">
        <v>0</v>
      </c>
      <c r="V97" s="136">
        <v>0</v>
      </c>
      <c r="W97" s="136">
        <v>0</v>
      </c>
      <c r="X97" s="136">
        <v>386</v>
      </c>
      <c r="Y97" s="136">
        <v>0</v>
      </c>
      <c r="Z97" s="136">
        <v>0</v>
      </c>
      <c r="AA97" s="136">
        <v>0</v>
      </c>
      <c r="AB97" s="136">
        <v>0</v>
      </c>
      <c r="AC97" s="136">
        <v>0</v>
      </c>
      <c r="AD97" s="136">
        <v>0</v>
      </c>
      <c r="AE97" s="136">
        <v>5000</v>
      </c>
      <c r="AF97" s="136">
        <v>0</v>
      </c>
      <c r="AG97" s="136">
        <v>0</v>
      </c>
      <c r="AH97" s="136">
        <v>0</v>
      </c>
      <c r="AI97" s="136">
        <v>0</v>
      </c>
      <c r="AJ97" s="136">
        <v>0</v>
      </c>
      <c r="AK97" s="136">
        <v>0</v>
      </c>
      <c r="AL97" s="136">
        <v>0</v>
      </c>
      <c r="AM97" s="136">
        <v>0</v>
      </c>
      <c r="AN97" s="136">
        <v>0</v>
      </c>
      <c r="AO97" s="136">
        <v>0</v>
      </c>
      <c r="AP97" s="136">
        <v>0</v>
      </c>
      <c r="AQ97" s="136">
        <v>0</v>
      </c>
      <c r="AR97" s="136">
        <v>0</v>
      </c>
      <c r="AS97" s="136">
        <v>0</v>
      </c>
      <c r="AT97" s="136">
        <v>0</v>
      </c>
      <c r="AU97" s="136">
        <v>0</v>
      </c>
      <c r="AV97" s="136">
        <v>0</v>
      </c>
      <c r="AW97" s="136">
        <v>0</v>
      </c>
      <c r="AX97" s="136">
        <v>0</v>
      </c>
      <c r="AY97" s="136">
        <v>0</v>
      </c>
      <c r="AZ97" s="136">
        <v>0</v>
      </c>
      <c r="BA97" s="136">
        <v>0</v>
      </c>
      <c r="BB97" s="136">
        <v>0</v>
      </c>
      <c r="BC97" s="136">
        <v>0</v>
      </c>
      <c r="BD97" s="136">
        <v>0</v>
      </c>
      <c r="BE97" s="136">
        <v>0</v>
      </c>
      <c r="BF97" s="136">
        <v>0</v>
      </c>
      <c r="BG97" s="136">
        <v>0</v>
      </c>
      <c r="BH97" s="136">
        <v>2231</v>
      </c>
      <c r="BI97" s="136">
        <v>0</v>
      </c>
      <c r="BJ97" s="136">
        <v>28000</v>
      </c>
      <c r="BK97" s="136">
        <v>0</v>
      </c>
      <c r="BL97" s="136">
        <v>0</v>
      </c>
      <c r="BM97" s="136">
        <v>0</v>
      </c>
      <c r="BN97" s="136">
        <v>0</v>
      </c>
      <c r="BO97" s="136">
        <v>0</v>
      </c>
      <c r="BP97" s="136">
        <v>0</v>
      </c>
      <c r="BQ97" s="136">
        <v>0</v>
      </c>
      <c r="BR97" s="136">
        <v>0</v>
      </c>
      <c r="BS97" s="136">
        <v>0</v>
      </c>
      <c r="BT97" s="136">
        <v>0</v>
      </c>
      <c r="BU97" s="136">
        <v>0</v>
      </c>
      <c r="BV97" s="136">
        <v>0</v>
      </c>
      <c r="BW97" s="136">
        <v>0</v>
      </c>
      <c r="BX97" s="136">
        <v>0</v>
      </c>
      <c r="BY97" s="136">
        <v>0</v>
      </c>
      <c r="BZ97" s="136">
        <v>0</v>
      </c>
      <c r="CA97" s="136">
        <v>0</v>
      </c>
      <c r="CB97" s="136">
        <v>0</v>
      </c>
      <c r="CC97" s="136">
        <v>0</v>
      </c>
      <c r="CD97" s="136">
        <v>0</v>
      </c>
      <c r="CE97" s="136">
        <v>0</v>
      </c>
      <c r="CF97" s="136">
        <v>0</v>
      </c>
      <c r="CG97" s="136">
        <v>0</v>
      </c>
      <c r="CH97" s="136">
        <v>0</v>
      </c>
      <c r="CI97" s="136">
        <v>0</v>
      </c>
      <c r="CJ97" s="136">
        <v>0</v>
      </c>
      <c r="CK97" s="136">
        <v>0</v>
      </c>
      <c r="CL97" s="136">
        <v>0</v>
      </c>
      <c r="CM97" s="136">
        <v>0</v>
      </c>
      <c r="CN97" s="136">
        <v>0</v>
      </c>
      <c r="CO97" s="136">
        <v>6100</v>
      </c>
      <c r="CP97" s="136">
        <v>0</v>
      </c>
      <c r="CQ97" s="136">
        <v>0</v>
      </c>
      <c r="CR97" s="136">
        <v>0</v>
      </c>
      <c r="CS97" s="136">
        <v>0</v>
      </c>
      <c r="CT97" s="136">
        <v>0</v>
      </c>
      <c r="CU97" s="136">
        <v>0</v>
      </c>
      <c r="CV97" s="136">
        <v>0</v>
      </c>
      <c r="CW97" s="136">
        <v>0</v>
      </c>
      <c r="CX97" s="136">
        <v>0</v>
      </c>
      <c r="CY97" s="136">
        <v>0</v>
      </c>
      <c r="CZ97" s="136">
        <v>0</v>
      </c>
      <c r="DA97" s="136"/>
      <c r="DB97" s="136"/>
      <c r="DC97" s="136"/>
      <c r="DD97" s="136"/>
      <c r="DE97" s="136"/>
      <c r="DF97" s="136"/>
      <c r="DG97" s="136">
        <v>0</v>
      </c>
      <c r="DH97" s="136">
        <v>0</v>
      </c>
      <c r="DI97" s="136">
        <v>0</v>
      </c>
      <c r="DJ97" s="136">
        <v>0</v>
      </c>
      <c r="DK97" s="136">
        <v>0</v>
      </c>
      <c r="DL97" s="136">
        <v>0</v>
      </c>
      <c r="DM97" s="136">
        <v>0</v>
      </c>
      <c r="DN97" s="136">
        <v>0</v>
      </c>
      <c r="DO97" s="136">
        <v>0</v>
      </c>
      <c r="DP97" s="136">
        <v>0</v>
      </c>
      <c r="DQ97" s="136">
        <v>0</v>
      </c>
      <c r="DR97" s="136">
        <v>0</v>
      </c>
      <c r="DS97" s="136"/>
      <c r="DT97" s="136"/>
      <c r="DU97" s="136"/>
      <c r="DV97" s="136"/>
      <c r="DW97" s="136"/>
      <c r="DX97" s="136"/>
      <c r="DY97" s="136">
        <v>0</v>
      </c>
      <c r="DZ97" s="136">
        <v>0</v>
      </c>
      <c r="EA97" s="136">
        <v>0</v>
      </c>
      <c r="EB97" s="136">
        <v>0</v>
      </c>
      <c r="EC97" s="136">
        <v>0</v>
      </c>
      <c r="ED97" s="136">
        <v>22000</v>
      </c>
      <c r="EE97" s="136">
        <v>0</v>
      </c>
      <c r="EF97" s="136">
        <v>0</v>
      </c>
      <c r="EG97" s="136">
        <v>0</v>
      </c>
      <c r="EH97" s="136">
        <v>0</v>
      </c>
      <c r="EI97" s="136">
        <v>0</v>
      </c>
      <c r="EJ97" s="136">
        <v>6000</v>
      </c>
      <c r="EK97" s="136"/>
      <c r="EL97" s="136"/>
      <c r="EM97" s="136"/>
      <c r="EN97" s="136"/>
      <c r="EO97" s="136"/>
      <c r="EP97" s="136"/>
      <c r="EQ97" s="136">
        <v>0</v>
      </c>
      <c r="ER97" s="136">
        <v>0</v>
      </c>
      <c r="ES97" s="136">
        <v>0</v>
      </c>
      <c r="ET97" s="136">
        <v>0</v>
      </c>
      <c r="EU97" s="136">
        <v>0</v>
      </c>
      <c r="EV97" s="136">
        <v>0</v>
      </c>
      <c r="EW97" s="136"/>
      <c r="EX97" s="136"/>
      <c r="EY97" s="136"/>
      <c r="EZ97" s="136"/>
      <c r="FA97" s="136"/>
      <c r="FB97" s="136"/>
      <c r="FC97" s="136">
        <v>0</v>
      </c>
      <c r="FD97" s="136">
        <v>0</v>
      </c>
      <c r="FE97" s="136">
        <v>0</v>
      </c>
      <c r="FF97" s="136">
        <v>0</v>
      </c>
      <c r="FG97" s="136">
        <v>0</v>
      </c>
      <c r="FH97" s="136">
        <v>0</v>
      </c>
      <c r="FI97" s="136"/>
      <c r="FJ97" s="136"/>
      <c r="FK97" s="136"/>
      <c r="FL97" s="136"/>
      <c r="FM97" s="136"/>
      <c r="FN97" s="136"/>
      <c r="FO97" s="136">
        <v>0</v>
      </c>
      <c r="FP97" s="136">
        <v>0</v>
      </c>
      <c r="FQ97" s="136">
        <v>0</v>
      </c>
      <c r="FR97" s="136">
        <v>0</v>
      </c>
      <c r="FS97" s="136">
        <v>0</v>
      </c>
      <c r="FT97" s="136">
        <v>0</v>
      </c>
      <c r="FU97" s="136">
        <v>0</v>
      </c>
      <c r="FV97" s="136">
        <v>0</v>
      </c>
      <c r="FW97" s="136">
        <v>0</v>
      </c>
      <c r="FX97" s="136">
        <v>0</v>
      </c>
      <c r="FY97" s="136">
        <v>0</v>
      </c>
      <c r="FZ97" s="136">
        <v>0</v>
      </c>
      <c r="GA97" s="136">
        <v>0</v>
      </c>
      <c r="GB97" s="136">
        <v>0</v>
      </c>
      <c r="GC97" s="136">
        <v>0</v>
      </c>
      <c r="GD97" s="136">
        <v>0</v>
      </c>
      <c r="GE97" s="136">
        <v>0</v>
      </c>
      <c r="GF97" s="136">
        <v>0</v>
      </c>
      <c r="GG97" s="136">
        <v>0</v>
      </c>
      <c r="GH97" s="136">
        <v>0</v>
      </c>
      <c r="GI97" s="136">
        <v>0</v>
      </c>
      <c r="GJ97" s="136">
        <v>0</v>
      </c>
      <c r="GK97" s="136">
        <v>0</v>
      </c>
      <c r="GL97" s="136">
        <v>0</v>
      </c>
      <c r="GM97" s="136">
        <v>0</v>
      </c>
      <c r="GN97" s="136">
        <v>0</v>
      </c>
      <c r="GO97" s="136">
        <v>0</v>
      </c>
      <c r="GP97" s="136">
        <v>0</v>
      </c>
      <c r="GQ97" s="136">
        <v>0</v>
      </c>
      <c r="GR97" s="136">
        <v>0</v>
      </c>
      <c r="GS97" s="136">
        <v>0</v>
      </c>
      <c r="GT97" s="136">
        <v>0</v>
      </c>
      <c r="GU97" s="136">
        <v>0</v>
      </c>
      <c r="GW97" s="137"/>
      <c r="GY97" s="136">
        <v>41717</v>
      </c>
      <c r="GZ97" s="136" t="s">
        <v>439</v>
      </c>
      <c r="HA97" s="136" t="s">
        <v>439</v>
      </c>
      <c r="HB97" s="136" t="s">
        <v>439</v>
      </c>
      <c r="HC97" s="136" t="s">
        <v>439</v>
      </c>
      <c r="HD97" s="136" t="s">
        <v>439</v>
      </c>
      <c r="HE97" s="136" t="s">
        <v>439</v>
      </c>
      <c r="HF97" s="136" t="s">
        <v>439</v>
      </c>
      <c r="HG97" s="136" t="s">
        <v>439</v>
      </c>
      <c r="HH97" s="136" t="s">
        <v>439</v>
      </c>
      <c r="HI97" s="35" t="s">
        <v>439</v>
      </c>
      <c r="HJ97" s="35" t="s">
        <v>439</v>
      </c>
      <c r="HK97" s="35" t="s">
        <v>439</v>
      </c>
      <c r="HL97"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6100</v>
      </c>
      <c r="HM97"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0</v>
      </c>
      <c r="HN97"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0</v>
      </c>
      <c r="HO97"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2617</v>
      </c>
      <c r="HP97"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5000</v>
      </c>
      <c r="HQ97"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28000</v>
      </c>
      <c r="HR97"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41717</v>
      </c>
    </row>
    <row r="98" spans="1:226" ht="22.5" customHeight="1">
      <c r="A98" s="35" t="s">
        <v>34</v>
      </c>
      <c r="B98" s="37" t="s">
        <v>19</v>
      </c>
      <c r="C98" s="37">
        <v>200</v>
      </c>
      <c r="D98" s="37" t="s">
        <v>835</v>
      </c>
      <c r="E98" s="103">
        <v>3665</v>
      </c>
      <c r="F98" s="136">
        <v>0</v>
      </c>
      <c r="G98" s="136">
        <v>0</v>
      </c>
      <c r="H98" s="136">
        <v>8899507</v>
      </c>
      <c r="I98" s="136">
        <v>438966</v>
      </c>
      <c r="J98" s="136">
        <v>472860</v>
      </c>
      <c r="K98" s="136">
        <v>0</v>
      </c>
      <c r="L98" s="136">
        <v>132741</v>
      </c>
      <c r="M98" s="136">
        <v>233809</v>
      </c>
      <c r="N98" s="136">
        <v>0</v>
      </c>
      <c r="O98" s="136">
        <v>421180</v>
      </c>
      <c r="P98" s="136">
        <v>4239402</v>
      </c>
      <c r="Q98" s="136">
        <v>76918</v>
      </c>
      <c r="R98" s="136">
        <v>1242172</v>
      </c>
      <c r="S98" s="136">
        <v>522702</v>
      </c>
      <c r="T98" s="136">
        <v>0</v>
      </c>
      <c r="U98" s="136">
        <v>0</v>
      </c>
      <c r="V98" s="136">
        <v>0</v>
      </c>
      <c r="W98" s="136">
        <v>0</v>
      </c>
      <c r="X98" s="136">
        <v>20124</v>
      </c>
      <c r="Y98" s="136">
        <v>12187</v>
      </c>
      <c r="Z98" s="136">
        <v>0</v>
      </c>
      <c r="AA98" s="136">
        <v>856</v>
      </c>
      <c r="AB98" s="136">
        <v>0</v>
      </c>
      <c r="AC98" s="136">
        <v>0</v>
      </c>
      <c r="AD98" s="136">
        <v>0</v>
      </c>
      <c r="AE98" s="136">
        <v>0</v>
      </c>
      <c r="AF98" s="136">
        <v>0</v>
      </c>
      <c r="AG98" s="136">
        <v>649284</v>
      </c>
      <c r="AH98" s="136">
        <v>0</v>
      </c>
      <c r="AI98" s="136">
        <v>142549</v>
      </c>
      <c r="AJ98" s="136">
        <v>192742</v>
      </c>
      <c r="AK98" s="136">
        <v>582918</v>
      </c>
      <c r="AL98" s="136">
        <v>0</v>
      </c>
      <c r="AM98" s="136">
        <v>406200</v>
      </c>
      <c r="AN98" s="136">
        <v>0</v>
      </c>
      <c r="AO98" s="136">
        <v>73328</v>
      </c>
      <c r="AP98" s="136">
        <v>0</v>
      </c>
      <c r="AQ98" s="136">
        <v>1238</v>
      </c>
      <c r="AR98" s="136">
        <v>0</v>
      </c>
      <c r="AS98" s="136">
        <v>0</v>
      </c>
      <c r="AT98" s="136">
        <v>0</v>
      </c>
      <c r="AU98" s="136">
        <v>0</v>
      </c>
      <c r="AV98" s="136">
        <v>2036</v>
      </c>
      <c r="AW98" s="136">
        <v>0</v>
      </c>
      <c r="AX98" s="136">
        <v>0</v>
      </c>
      <c r="AY98" s="136">
        <v>0</v>
      </c>
      <c r="AZ98" s="136">
        <v>0</v>
      </c>
      <c r="BA98" s="136">
        <v>0</v>
      </c>
      <c r="BB98" s="136">
        <v>0</v>
      </c>
      <c r="BC98" s="136">
        <v>0</v>
      </c>
      <c r="BD98" s="136">
        <v>0</v>
      </c>
      <c r="BE98" s="136">
        <v>0</v>
      </c>
      <c r="BF98" s="136">
        <v>0</v>
      </c>
      <c r="BG98" s="136">
        <v>0</v>
      </c>
      <c r="BH98" s="136">
        <v>0</v>
      </c>
      <c r="BI98" s="136">
        <v>0</v>
      </c>
      <c r="BJ98" s="136">
        <v>34724</v>
      </c>
      <c r="BK98" s="136">
        <v>0</v>
      </c>
      <c r="BL98" s="136">
        <v>0</v>
      </c>
      <c r="BM98" s="136">
        <v>0</v>
      </c>
      <c r="BN98" s="136">
        <v>0</v>
      </c>
      <c r="BO98" s="136">
        <v>0</v>
      </c>
      <c r="BP98" s="136">
        <v>0</v>
      </c>
      <c r="BQ98" s="136">
        <v>0</v>
      </c>
      <c r="BR98" s="136">
        <v>0</v>
      </c>
      <c r="BS98" s="136">
        <v>0</v>
      </c>
      <c r="BT98" s="136">
        <v>1500</v>
      </c>
      <c r="BU98" s="136">
        <v>0</v>
      </c>
      <c r="BV98" s="136">
        <v>0</v>
      </c>
      <c r="BW98" s="136">
        <v>0</v>
      </c>
      <c r="BX98" s="136">
        <v>137755</v>
      </c>
      <c r="BY98" s="136">
        <v>4101</v>
      </c>
      <c r="BZ98" s="136">
        <v>96574</v>
      </c>
      <c r="CA98" s="136">
        <v>11997</v>
      </c>
      <c r="CB98" s="136">
        <v>0</v>
      </c>
      <c r="CC98" s="136">
        <v>0</v>
      </c>
      <c r="CD98" s="136">
        <v>0</v>
      </c>
      <c r="CE98" s="136">
        <v>0</v>
      </c>
      <c r="CF98" s="136">
        <v>0</v>
      </c>
      <c r="CG98" s="136">
        <v>0</v>
      </c>
      <c r="CH98" s="136">
        <v>0</v>
      </c>
      <c r="CI98" s="136">
        <v>0</v>
      </c>
      <c r="CJ98" s="136">
        <v>0</v>
      </c>
      <c r="CK98" s="136">
        <v>0</v>
      </c>
      <c r="CL98" s="136">
        <v>0</v>
      </c>
      <c r="CM98" s="136">
        <v>0</v>
      </c>
      <c r="CN98" s="136">
        <v>0</v>
      </c>
      <c r="CO98" s="136">
        <v>661262</v>
      </c>
      <c r="CP98" s="136">
        <v>50565</v>
      </c>
      <c r="CQ98" s="136">
        <v>0</v>
      </c>
      <c r="CR98" s="136">
        <v>16328</v>
      </c>
      <c r="CS98" s="136">
        <v>225264</v>
      </c>
      <c r="CT98" s="136">
        <v>0</v>
      </c>
      <c r="CU98" s="136">
        <v>0</v>
      </c>
      <c r="CV98" s="136">
        <v>0</v>
      </c>
      <c r="CW98" s="136">
        <v>0</v>
      </c>
      <c r="CX98" s="136">
        <v>0</v>
      </c>
      <c r="CY98" s="136">
        <v>0</v>
      </c>
      <c r="CZ98" s="136">
        <v>0</v>
      </c>
      <c r="DA98" s="136"/>
      <c r="DB98" s="136"/>
      <c r="DC98" s="136"/>
      <c r="DD98" s="136"/>
      <c r="DE98" s="136"/>
      <c r="DF98" s="136"/>
      <c r="DG98" s="136">
        <v>0</v>
      </c>
      <c r="DH98" s="136">
        <v>47088</v>
      </c>
      <c r="DI98" s="136">
        <v>0</v>
      </c>
      <c r="DJ98" s="136">
        <v>71080</v>
      </c>
      <c r="DK98" s="136">
        <v>0</v>
      </c>
      <c r="DL98" s="136">
        <v>0</v>
      </c>
      <c r="DM98" s="136">
        <v>0</v>
      </c>
      <c r="DN98" s="136">
        <v>0</v>
      </c>
      <c r="DO98" s="136">
        <v>0</v>
      </c>
      <c r="DP98" s="136">
        <v>0</v>
      </c>
      <c r="DQ98" s="136">
        <v>0</v>
      </c>
      <c r="DR98" s="136">
        <v>0</v>
      </c>
      <c r="DS98" s="136"/>
      <c r="DT98" s="136"/>
      <c r="DU98" s="136"/>
      <c r="DV98" s="136"/>
      <c r="DW98" s="136"/>
      <c r="DX98" s="136"/>
      <c r="DY98" s="136">
        <v>0</v>
      </c>
      <c r="DZ98" s="136">
        <v>0</v>
      </c>
      <c r="EA98" s="136">
        <v>0</v>
      </c>
      <c r="EB98" s="136">
        <v>0</v>
      </c>
      <c r="EC98" s="136">
        <v>0</v>
      </c>
      <c r="ED98" s="136">
        <v>0</v>
      </c>
      <c r="EE98" s="136">
        <v>0</v>
      </c>
      <c r="EF98" s="136">
        <v>0</v>
      </c>
      <c r="EG98" s="136">
        <v>0</v>
      </c>
      <c r="EH98" s="136">
        <v>0</v>
      </c>
      <c r="EI98" s="136">
        <v>0</v>
      </c>
      <c r="EJ98" s="136">
        <v>0</v>
      </c>
      <c r="EK98" s="136"/>
      <c r="EL98" s="136"/>
      <c r="EM98" s="136"/>
      <c r="EN98" s="136"/>
      <c r="EO98" s="136"/>
      <c r="EP98" s="136"/>
      <c r="EQ98" s="136">
        <v>0</v>
      </c>
      <c r="ER98" s="136">
        <v>0</v>
      </c>
      <c r="ES98" s="136">
        <v>0</v>
      </c>
      <c r="ET98" s="136">
        <v>0</v>
      </c>
      <c r="EU98" s="136">
        <v>0</v>
      </c>
      <c r="EV98" s="136">
        <v>0</v>
      </c>
      <c r="EW98" s="136"/>
      <c r="EX98" s="136"/>
      <c r="EY98" s="136"/>
      <c r="EZ98" s="136"/>
      <c r="FA98" s="136"/>
      <c r="FB98" s="136"/>
      <c r="FC98" s="136">
        <v>69714</v>
      </c>
      <c r="FD98" s="136">
        <v>0</v>
      </c>
      <c r="FE98" s="136">
        <v>0</v>
      </c>
      <c r="FF98" s="136">
        <v>0</v>
      </c>
      <c r="FG98" s="136">
        <v>0</v>
      </c>
      <c r="FH98" s="136">
        <v>0</v>
      </c>
      <c r="FI98" s="136"/>
      <c r="FJ98" s="136"/>
      <c r="FK98" s="136"/>
      <c r="FL98" s="136"/>
      <c r="FM98" s="136"/>
      <c r="FN98" s="136"/>
      <c r="FO98" s="136">
        <v>0</v>
      </c>
      <c r="FP98" s="136">
        <v>0</v>
      </c>
      <c r="FQ98" s="136">
        <v>0</v>
      </c>
      <c r="FR98" s="136">
        <v>0</v>
      </c>
      <c r="FS98" s="136">
        <v>0</v>
      </c>
      <c r="FT98" s="136">
        <v>0</v>
      </c>
      <c r="FU98" s="136">
        <v>0</v>
      </c>
      <c r="FV98" s="136">
        <v>0</v>
      </c>
      <c r="FW98" s="136">
        <v>0</v>
      </c>
      <c r="FX98" s="136">
        <v>0</v>
      </c>
      <c r="FY98" s="136">
        <v>0</v>
      </c>
      <c r="FZ98" s="136">
        <v>0</v>
      </c>
      <c r="GA98" s="136">
        <v>0</v>
      </c>
      <c r="GB98" s="136">
        <v>0</v>
      </c>
      <c r="GC98" s="136">
        <v>0</v>
      </c>
      <c r="GD98" s="136">
        <v>0</v>
      </c>
      <c r="GE98" s="136">
        <v>0</v>
      </c>
      <c r="GF98" s="136">
        <v>0</v>
      </c>
      <c r="GG98" s="136">
        <v>0</v>
      </c>
      <c r="GH98" s="136">
        <v>0</v>
      </c>
      <c r="GI98" s="136">
        <v>0</v>
      </c>
      <c r="GJ98" s="136">
        <v>0</v>
      </c>
      <c r="GK98" s="136">
        <v>0</v>
      </c>
      <c r="GL98" s="136">
        <v>0</v>
      </c>
      <c r="GM98" s="136">
        <v>0</v>
      </c>
      <c r="GN98" s="136">
        <v>0</v>
      </c>
      <c r="GO98" s="136">
        <v>0</v>
      </c>
      <c r="GP98" s="136">
        <v>0</v>
      </c>
      <c r="GQ98" s="136">
        <v>0</v>
      </c>
      <c r="GR98" s="136">
        <v>0</v>
      </c>
      <c r="GS98" s="136">
        <v>50082491</v>
      </c>
      <c r="GT98" s="136">
        <v>9372367</v>
      </c>
      <c r="GU98" s="136">
        <v>145111291</v>
      </c>
      <c r="GV98" s="35" t="s">
        <v>340</v>
      </c>
      <c r="GW98" s="137">
        <v>9794586077</v>
      </c>
      <c r="GX98" s="35" t="s">
        <v>341</v>
      </c>
      <c r="GY98" s="136">
        <v>8899507</v>
      </c>
      <c r="GZ98" s="136">
        <v>-5835664</v>
      </c>
      <c r="HA98" s="136">
        <v>193396</v>
      </c>
      <c r="HB98" s="136">
        <v>0</v>
      </c>
      <c r="HC98" s="136">
        <v>0</v>
      </c>
      <c r="HD98" s="136">
        <v>0</v>
      </c>
      <c r="HE98" s="136">
        <v>0</v>
      </c>
      <c r="HF98" s="136">
        <v>0</v>
      </c>
      <c r="HG98" s="136">
        <v>0</v>
      </c>
      <c r="HH98" s="136">
        <v>0</v>
      </c>
      <c r="HI98" s="35" t="s">
        <v>439</v>
      </c>
      <c r="HJ98" s="35" t="s">
        <v>439</v>
      </c>
      <c r="HK98" s="35" t="s">
        <v>439</v>
      </c>
      <c r="HL98" s="134">
        <f>SUM(InputResearch[[#This Row],[Agricultural Sci. Fed]], InputResearch[[#This Row],[Biological &amp; Other Life Sci. Fed]], InputResearch[[#This Row],[Comp. Sci. Fed]], InputResearch[[#This Row],[Engineering Fed]], InputResearch[[#This Row],[Env Sci. Fed]], InputResearch[[#This Row],[Math Fed]], InputResearch[[#This Row],[Medical Fed]], InputResearch[[#This Row],[Physical Sci. Fed]], InputResearch[[#This Row],[Psychology Fed]], InputResearch[[#This Row],[Social Sci. Fed]], InputResearch[[#This Row],[Other Sci. Fed]], InputResearch[[#This Row],[Arts &amp; Humanities Fed]], InputResearch[[#This Row],[Business Fed]], InputResearch[[#This Row],[Education Fed]], InputResearch[[#This Row],[Law Fed]], InputResearch[[#This Row],[Other Non-Sci. Fed]])</f>
        <v>2138782</v>
      </c>
      <c r="HM98" s="134">
        <f>SUM(InputResearch[[#This Row],[Agricultural Sci. St. Approp.]], InputResearch[[#This Row],[Biological &amp; Other Life Sci. St. Approp.]], InputResearch[[#This Row],[Comp. Sci. St. Approp.]], InputResearch[[#This Row],[Engineering St. Approp.]], InputResearch[[#This Row],[Env Sci. St. Approp.]], InputResearch[[#This Row],[Math St. Approp.]], InputResearch[[#This Row],[Medical St. Approp.]], InputResearch[[#This Row],[Physical Sci. St. Approp.]], InputResearch[[#This Row],[Psychology St. Approp.]], InputResearch[[#This Row],[Social Sci. St. Approp.]], InputResearch[[#This Row],[Other Sci. St. Approp.]], InputResearch[[#This Row],[Arts &amp; Humanities St. Approp.]], InputResearch[[#This Row],[Business St. Approp.]], InputResearch[[#This Row],[Education St. Approp.]], InputResearch[[#This Row],[Law St. Approp.]], InputResearch[[#This Row],[Other Non-Sci. St. Approp.]])</f>
        <v>4474810</v>
      </c>
      <c r="HN98" s="134">
        <f>SUM(InputResearch[[#This Row],[Agricultural Sci. St. C&amp;G]], InputResearch[[#This Row],[Biological &amp; Other Life Sci. St. C&amp;G]], InputResearch[[#This Row],[Comp. Sci. St. C&amp;G]], InputResearch[[#This Row],[Engineering St. C&amp;G]], InputResearch[[#This Row],[Env Sci. St. C&amp;G]], InputResearch[[#This Row],[Math St. C&amp;G]], InputResearch[[#This Row],[Medical St. C&amp;G]], InputResearch[[#This Row],[Physical Sci. St. C&amp;G]], InputResearch[[#This Row],[Psychology St. C&amp;G]], InputResearch[[#This Row],[Social Sci. St. C&amp;G]], InputResearch[[#This Row],[Other Sci. St. C&amp;G]], InputResearch[[#This Row],[Arts &amp; Humanities St. C&amp;G]], InputResearch[[#This Row],[Business St. C&amp;G]], InputResearch[[#This Row],[Education St. C&amp;G]], InputResearch[[#This Row],[Law St. C&amp;G]], InputResearch[[#This Row],[Other Non-Sci. St. C&amp;G]])</f>
        <v>296896</v>
      </c>
      <c r="HO98" s="134">
        <f>SUM(InputResearch[[#This Row],[Agricultural Sci. Inst Res]], InputResearch[[#This Row],[Biological &amp; Other Life Sci. Inst Res]], InputResearch[[#This Row],[Comp. Sci. Inst Res]], InputResearch[[#This Row],[Engineering Inst Res]], InputResearch[[#This Row],[Env Sci. Inst Res]], InputResearch[[#This Row],[Math Inst Res]], InputResearch[[#This Row],[Medical Inst Res]], InputResearch[[#This Row],[Physical Sci. Inst Res]], InputResearch[[#This Row],[Psychology Inst Res]], InputResearch[[#This Row],[Social Sci. Inst Res]], InputResearch[[#This Row],[Other Sci. Inst Res]], InputResearch[[#This Row],[Arts &amp; Humanities Inst Res]], InputResearch[[#This Row],[Business Inst Res]], InputResearch[[#This Row],[Education Inst Res]], InputResearch[[#This Row],[Law Inst Res]], InputResearch[[#This Row],[Other Non-Sci. Fed]])</f>
        <v>1571476</v>
      </c>
      <c r="HP98" s="134">
        <f>SUM(InputResearch[[#This Row],[Agricultural Sci. PFP]], InputResearch[[#This Row],[Biological &amp; Other Life Sci. PFP]], InputResearch[[#This Row],[Comp. Sci. PFP]], InputResearch[[#This Row],[Engineering PFP]], InputResearch[[#This Row],[Env Sci. PFP]], InputResearch[[#This Row],[Math PFP]], InputResearch[[#This Row],[Medical PFP]], InputResearch[[#This Row],[Physical Sci. PFP]], InputResearch[[#This Row],[Psychology PFP]], InputResearch[[#This Row],[Social Sci. PFP]], InputResearch[[#This Row],[Other Sci. PFP]], InputResearch[[#This Row],[Arts &amp; Humanities PFP]], InputResearch[[#This Row],[Business PFP]], InputResearch[[#This Row],[Education PFP]], InputResearch[[#This Row],[Law PFP]], InputResearch[[#This Row],[Other Non-Sci. PFP]])</f>
        <v>1356306</v>
      </c>
      <c r="HQ98" s="134">
        <f>SUM(InputResearch[[#This Row],[Agricultural Sci. PNP]], InputResearch[[#This Row],[Biological &amp; Other Life Sci. PNP]], InputResearch[[#This Row],[Comp. Sci. PNP]], InputResearch[[#This Row],[Engineering PNP]], InputResearch[[#This Row],[Env Sci. PNP]], InputResearch[[#This Row],[Math PNP]], InputResearch[[#This Row],[Medical PNP]], InputResearch[[#This Row],[Physical Sci. PNP]], InputResearch[[#This Row],[Psychology PNP]], InputResearch[[#This Row],[Social Sci. PNP]], InputResearch[[#This Row],[Other Sci. PNP]], InputResearch[[#This Row],[Arts &amp; Humanities PNP]], InputResearch[[#This Row],[Business PNP]], InputResearch[[#This Row],[Education PNP]], InputResearch[[#This Row],[Law PNP]], InputResearch[[#This Row],[Other Non-Sci. PNP]])</f>
        <v>34724</v>
      </c>
      <c r="HR98" s="135">
        <f>SUM(InputResearch[[#This Row],[SRECNP Res. Exp.]],InputResearch[[#This Row],[Res. Not From Rest. Res. Fnd Group]],InputResearch[[#This Row],[Cap Outlay]],InputResearch[[#This Row],[Exp. Not SAM]],InputResearch[[#This Row],[Hackerman]],InputResearch[[#This Row],[Federal PT]],InputResearch[[#This Row],[State PT]],InputResearch[[#This Row],[Adj1]],InputResearch[[#This Row],[Adj2]],InputResearch[[#This Row],[Adj3]])</f>
        <v>3257239</v>
      </c>
    </row>
    <row r="99" spans="1:226">
      <c r="A99" s="35"/>
    </row>
    <row r="100" spans="1:226">
      <c r="A100" s="35" t="s">
        <v>891</v>
      </c>
    </row>
    <row r="101" spans="1:226">
      <c r="A101" s="35"/>
    </row>
    <row r="102" spans="1:226">
      <c r="GY102" s="105"/>
      <c r="HI102" s="140"/>
    </row>
  </sheetData>
  <sheetProtection algorithmName="SHA-512" hashValue="+cPVyaCMy0qkS7Q+6lnYyDJA3W6IfSukAg5b81KqacPB3AzhrtBhe6KmXtE3SaR6Dm74H2KTknrCScwIzO/C0g==" saltValue="iO9ROPT6ocHAZhR/TNA6EQ==" spinCount="100000" sheet="1" objects="1" scenarios="1"/>
  <phoneticPr fontId="7" type="noConversion"/>
  <pageMargins left="0.7" right="0.7" top="0.75" bottom="0.75" header="0.3" footer="0.3"/>
  <pageSetup orientation="portrait" r:id="rId1"/>
  <legacyDrawing r:id="rId2"/>
  <tableParts count="1">
    <tablePart r:id="rId3"/>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39E56-F950-4958-96F6-4E9DE89811C0}">
  <sheetPr codeName="Sheet6">
    <tabColor theme="7" tint="0.79998168889431442"/>
    <pageSetUpPr fitToPage="1"/>
  </sheetPr>
  <dimension ref="A1:W142"/>
  <sheetViews>
    <sheetView zoomScale="85" zoomScaleNormal="85" workbookViewId="0">
      <pane ySplit="1" topLeftCell="A2" activePane="bottomLeft" state="frozen"/>
      <selection pane="bottomLeft" sqref="A1:K1"/>
    </sheetView>
  </sheetViews>
  <sheetFormatPr defaultColWidth="8.81640625" defaultRowHeight="13.8" outlineLevelCol="1"/>
  <cols>
    <col min="1" max="1" width="56.1796875" style="32" customWidth="1"/>
    <col min="2" max="2" width="8.81640625" style="101" hidden="1" customWidth="1" outlineLevel="1"/>
    <col min="3" max="3" width="10.81640625" style="32" hidden="1" customWidth="1" outlineLevel="1"/>
    <col min="4" max="4" width="16.81640625" style="32" customWidth="1" collapsed="1"/>
    <col min="5" max="7" width="16.81640625" style="32" customWidth="1"/>
    <col min="8" max="9" width="20.81640625" style="32" customWidth="1"/>
    <col min="10" max="11" width="16.81640625" style="32" customWidth="1"/>
    <col min="12" max="22" width="8.81640625" style="32"/>
    <col min="23" max="23" width="11" style="32" customWidth="1"/>
    <col min="24" max="16384" width="8.81640625" style="32"/>
  </cols>
  <sheetData>
    <row r="1" spans="1:23" ht="45" customHeight="1">
      <c r="A1" s="390" t="s">
        <v>811</v>
      </c>
      <c r="B1" s="390"/>
      <c r="C1" s="390"/>
      <c r="D1" s="390"/>
      <c r="E1" s="390"/>
      <c r="F1" s="390"/>
      <c r="G1" s="390"/>
      <c r="H1" s="390"/>
      <c r="I1" s="390"/>
      <c r="J1" s="390"/>
      <c r="K1" s="390"/>
      <c r="L1" s="5"/>
    </row>
    <row r="2" spans="1:23" ht="21">
      <c r="A2" s="440" t="s">
        <v>645</v>
      </c>
      <c r="B2" s="440"/>
      <c r="C2" s="440"/>
      <c r="D2" s="440"/>
      <c r="E2" s="440"/>
      <c r="F2" s="440"/>
      <c r="G2" s="440"/>
      <c r="H2" s="440"/>
      <c r="I2" s="440"/>
      <c r="J2" s="440"/>
      <c r="K2" s="440"/>
      <c r="L2" s="99"/>
      <c r="N2" s="2"/>
      <c r="O2" s="2"/>
      <c r="P2" s="2"/>
      <c r="Q2" s="2"/>
      <c r="R2" s="2"/>
      <c r="S2" s="2"/>
      <c r="T2" s="2"/>
      <c r="U2" s="2"/>
      <c r="V2" s="2"/>
      <c r="W2" s="2"/>
    </row>
    <row r="3" spans="1:23" ht="17.399999999999999">
      <c r="A3" s="438">
        <f>Hidden!$A$4</f>
        <v>45412</v>
      </c>
      <c r="B3" s="438"/>
      <c r="C3" s="438"/>
      <c r="D3" s="438"/>
      <c r="E3" s="438"/>
      <c r="F3" s="438"/>
      <c r="G3" s="438"/>
      <c r="H3" s="438"/>
      <c r="I3" s="438"/>
      <c r="J3" s="438"/>
      <c r="K3" s="438"/>
      <c r="L3" s="99"/>
      <c r="N3" s="2"/>
      <c r="O3" s="2"/>
      <c r="P3" s="2"/>
      <c r="Q3" s="2"/>
      <c r="R3" s="2"/>
      <c r="S3" s="2"/>
      <c r="T3" s="2"/>
      <c r="U3" s="2"/>
      <c r="V3" s="2"/>
      <c r="W3" s="2"/>
    </row>
    <row r="4" spans="1:23" ht="15">
      <c r="A4" s="100"/>
      <c r="B4" s="100"/>
      <c r="C4" s="100"/>
      <c r="D4" s="100"/>
      <c r="E4" s="100"/>
      <c r="F4" s="100"/>
      <c r="G4" s="100"/>
      <c r="H4" s="100"/>
      <c r="I4" s="100"/>
      <c r="J4" s="99"/>
      <c r="K4" s="99"/>
      <c r="L4" s="99"/>
      <c r="N4" s="2"/>
      <c r="O4" s="2"/>
      <c r="P4" s="2"/>
      <c r="Q4" s="2"/>
      <c r="R4" s="2"/>
      <c r="S4" s="2"/>
      <c r="T4" s="2"/>
      <c r="U4" s="2"/>
      <c r="V4" s="2"/>
      <c r="W4" s="2"/>
    </row>
    <row r="5" spans="1:23" s="35" customFormat="1" ht="35.4">
      <c r="A5" s="35" t="s">
        <v>644</v>
      </c>
      <c r="B5" s="148" t="s">
        <v>794</v>
      </c>
      <c r="C5" s="37" t="s">
        <v>2</v>
      </c>
      <c r="D5" s="37" t="s">
        <v>788</v>
      </c>
      <c r="E5" s="37" t="s">
        <v>959</v>
      </c>
      <c r="F5" s="37" t="s">
        <v>696</v>
      </c>
      <c r="G5" s="37" t="s">
        <v>603</v>
      </c>
      <c r="H5" s="102" t="s">
        <v>892</v>
      </c>
      <c r="I5" s="102" t="s">
        <v>958</v>
      </c>
      <c r="J5" s="102" t="s">
        <v>957</v>
      </c>
      <c r="K5" s="102" t="s">
        <v>956</v>
      </c>
      <c r="L5" s="40"/>
    </row>
    <row r="6" spans="1:23" s="35" customFormat="1" ht="27" customHeight="1">
      <c r="A6" s="149" t="s">
        <v>385</v>
      </c>
      <c r="B6" s="151">
        <v>390</v>
      </c>
      <c r="C6" s="150">
        <v>30</v>
      </c>
      <c r="D6" s="152"/>
      <c r="E6" s="152"/>
      <c r="F6" s="152"/>
      <c r="G6" s="152"/>
      <c r="H6" s="152"/>
      <c r="I6" s="152"/>
      <c r="J6" s="152"/>
      <c r="K6" s="152">
        <v>395</v>
      </c>
      <c r="L6" s="40"/>
    </row>
    <row r="7" spans="1:23" s="35" customFormat="1" ht="27" customHeight="1">
      <c r="A7" s="153" t="s">
        <v>754</v>
      </c>
      <c r="B7" s="155"/>
      <c r="C7" s="154">
        <v>101</v>
      </c>
      <c r="D7" s="156">
        <v>0</v>
      </c>
      <c r="E7" s="156">
        <v>4666</v>
      </c>
      <c r="F7" s="156">
        <v>12212</v>
      </c>
      <c r="G7" s="156">
        <v>16878</v>
      </c>
      <c r="H7" s="156">
        <v>0</v>
      </c>
      <c r="I7" s="324">
        <f>ROUND(SUM(FTSEHRI[[#This Row],[Prof &amp; Special-Prof Headcount]],FTSEHRI[[#This Row],[Undergraduate]]/30,FTSEHRI[[#This Row],[Master''s¹]]/24,FTSEHRI[[#This Row],[Doctoral]]/18,),2)</f>
        <v>872.86</v>
      </c>
      <c r="J7" s="156">
        <v>872.86</v>
      </c>
      <c r="K7" s="156"/>
      <c r="L7" s="40"/>
    </row>
    <row r="8" spans="1:23" s="35" customFormat="1" ht="27" customHeight="1">
      <c r="A8" s="153" t="s">
        <v>756</v>
      </c>
      <c r="B8" s="155"/>
      <c r="C8" s="154">
        <v>10019</v>
      </c>
      <c r="D8" s="156">
        <v>0</v>
      </c>
      <c r="E8" s="156">
        <v>12287</v>
      </c>
      <c r="F8" s="156">
        <v>331</v>
      </c>
      <c r="G8" s="156">
        <v>12618</v>
      </c>
      <c r="H8" s="156">
        <v>0</v>
      </c>
      <c r="I8" s="324">
        <f>ROUND(SUM(FTSEHRI[[#This Row],[Prof &amp; Special-Prof Headcount]],FTSEHRI[[#This Row],[Undergraduate]]/30,FTSEHRI[[#This Row],[Master''s¹]]/24,FTSEHRI[[#This Row],[Doctoral]]/18,),2)</f>
        <v>530.35</v>
      </c>
      <c r="J8" s="156">
        <v>530.35</v>
      </c>
      <c r="K8" s="156"/>
      <c r="L8" s="40"/>
    </row>
    <row r="9" spans="1:23" s="35" customFormat="1" ht="27" customHeight="1">
      <c r="A9" s="153" t="s">
        <v>777</v>
      </c>
      <c r="B9" s="155"/>
      <c r="C9" s="154">
        <v>3660</v>
      </c>
      <c r="D9" s="156">
        <v>0</v>
      </c>
      <c r="E9" s="156">
        <v>0</v>
      </c>
      <c r="F9" s="156">
        <v>0</v>
      </c>
      <c r="G9" s="156">
        <v>0</v>
      </c>
      <c r="H9" s="156">
        <v>923</v>
      </c>
      <c r="I9" s="324">
        <f>ROUND(SUM(FTSEHRI[[#This Row],[Prof &amp; Special-Prof Headcount]],FTSEHRI[[#This Row],[Undergraduate]]/30,FTSEHRI[[#This Row],[Master''s¹]]/24,FTSEHRI[[#This Row],[Doctoral]]/18,),2)</f>
        <v>923</v>
      </c>
      <c r="J9" s="156">
        <v>923</v>
      </c>
      <c r="K9" s="156"/>
      <c r="L9" s="40"/>
    </row>
    <row r="10" spans="1:23" s="35" customFormat="1" ht="27" customHeight="1">
      <c r="A10" s="153" t="s">
        <v>778</v>
      </c>
      <c r="B10" s="155"/>
      <c r="C10" s="154">
        <v>892</v>
      </c>
      <c r="D10" s="156">
        <v>0</v>
      </c>
      <c r="E10" s="156">
        <v>170</v>
      </c>
      <c r="F10" s="156">
        <v>0</v>
      </c>
      <c r="G10" s="156">
        <v>170</v>
      </c>
      <c r="H10" s="156">
        <v>0</v>
      </c>
      <c r="I10" s="324">
        <f>ROUND(SUM(FTSEHRI[[#This Row],[Prof &amp; Special-Prof Headcount]],FTSEHRI[[#This Row],[Undergraduate]]/30,FTSEHRI[[#This Row],[Master''s¹]]/24,FTSEHRI[[#This Row],[Doctoral]]/18,),2)</f>
        <v>7.08</v>
      </c>
      <c r="J10" s="156">
        <v>7.08</v>
      </c>
      <c r="K10" s="156"/>
      <c r="L10" s="40"/>
    </row>
    <row r="11" spans="1:23" s="35" customFormat="1" ht="27" customHeight="1">
      <c r="A11" s="149" t="s">
        <v>386</v>
      </c>
      <c r="B11" s="151">
        <v>400</v>
      </c>
      <c r="C11" s="150">
        <v>104952</v>
      </c>
      <c r="D11" s="152"/>
      <c r="E11" s="152"/>
      <c r="F11" s="152"/>
      <c r="G11" s="152"/>
      <c r="H11" s="152"/>
      <c r="I11" s="273"/>
      <c r="J11" s="152"/>
      <c r="K11" s="152">
        <v>228</v>
      </c>
      <c r="L11" s="40"/>
    </row>
    <row r="12" spans="1:23" s="35" customFormat="1" ht="27" customHeight="1">
      <c r="A12" s="153" t="s">
        <v>754</v>
      </c>
      <c r="B12" s="155"/>
      <c r="C12" s="154">
        <v>401</v>
      </c>
      <c r="D12" s="156">
        <v>0</v>
      </c>
      <c r="E12" s="156">
        <v>1171</v>
      </c>
      <c r="F12" s="156">
        <v>4030</v>
      </c>
      <c r="G12" s="156">
        <v>5201</v>
      </c>
      <c r="H12" s="156">
        <v>0</v>
      </c>
      <c r="I12" s="324">
        <f>ROUND(SUM(FTSEHRI[[#This Row],[Prof &amp; Special-Prof Headcount]],FTSEHRI[[#This Row],[Undergraduate]]/30,FTSEHRI[[#This Row],[Master''s¹]]/24,FTSEHRI[[#This Row],[Doctoral]]/18,),2)</f>
        <v>272.68</v>
      </c>
      <c r="J12" s="156">
        <v>261.24</v>
      </c>
      <c r="K12" s="156"/>
      <c r="L12" s="40"/>
    </row>
    <row r="13" spans="1:23" s="35" customFormat="1" ht="27" customHeight="1">
      <c r="A13" s="153" t="s">
        <v>755</v>
      </c>
      <c r="B13" s="155"/>
      <c r="C13" s="154">
        <v>4952</v>
      </c>
      <c r="D13" s="156">
        <v>0</v>
      </c>
      <c r="E13" s="156">
        <v>0</v>
      </c>
      <c r="F13" s="156">
        <v>0</v>
      </c>
      <c r="G13" s="156">
        <v>0</v>
      </c>
      <c r="H13" s="156">
        <v>943</v>
      </c>
      <c r="I13" s="324">
        <f>ROUND(SUM(FTSEHRI[[#This Row],[Prof &amp; Special-Prof Headcount]],FTSEHRI[[#This Row],[Undergraduate]]/30,FTSEHRI[[#This Row],[Master''s¹]]/24,FTSEHRI[[#This Row],[Doctoral]]/18,),2)</f>
        <v>943</v>
      </c>
      <c r="J13" s="156">
        <v>943</v>
      </c>
      <c r="K13" s="156"/>
      <c r="L13" s="40"/>
    </row>
    <row r="14" spans="1:23" s="35" customFormat="1" ht="27" customHeight="1">
      <c r="A14" s="153" t="s">
        <v>756</v>
      </c>
      <c r="B14" s="155"/>
      <c r="C14" s="154">
        <v>403</v>
      </c>
      <c r="D14" s="156">
        <v>1805</v>
      </c>
      <c r="E14" s="156">
        <v>22137</v>
      </c>
      <c r="F14" s="156">
        <v>6991</v>
      </c>
      <c r="G14" s="156">
        <v>30933</v>
      </c>
      <c r="H14" s="156">
        <v>0</v>
      </c>
      <c r="I14" s="324">
        <f>ROUND(SUM(FTSEHRI[[#This Row],[Prof &amp; Special-Prof Headcount]],FTSEHRI[[#This Row],[Undergraduate]]/30,FTSEHRI[[#This Row],[Master''s¹]]/24,FTSEHRI[[#This Row],[Doctoral]]/18,),2)</f>
        <v>1370.93</v>
      </c>
      <c r="J14" s="156">
        <v>1367.2</v>
      </c>
      <c r="K14" s="156"/>
      <c r="L14" s="40"/>
    </row>
    <row r="15" spans="1:23" s="35" customFormat="1" ht="27" customHeight="1">
      <c r="A15" s="153" t="s">
        <v>757</v>
      </c>
      <c r="B15" s="155"/>
      <c r="C15" s="154">
        <v>402</v>
      </c>
      <c r="D15" s="156">
        <v>20349</v>
      </c>
      <c r="E15" s="156">
        <v>6849</v>
      </c>
      <c r="F15" s="156">
        <v>1943</v>
      </c>
      <c r="G15" s="156">
        <v>29141</v>
      </c>
      <c r="H15" s="156">
        <v>0</v>
      </c>
      <c r="I15" s="324">
        <f>ROUND(SUM(FTSEHRI[[#This Row],[Prof &amp; Special-Prof Headcount]],FTSEHRI[[#This Row],[Undergraduate]]/30,FTSEHRI[[#This Row],[Master''s¹]]/24,FTSEHRI[[#This Row],[Doctoral]]/18,),2)</f>
        <v>1071.6199999999999</v>
      </c>
      <c r="J15" s="156">
        <v>1066.95</v>
      </c>
      <c r="K15" s="156"/>
      <c r="L15" s="40"/>
    </row>
    <row r="16" spans="1:23" s="35" customFormat="1" ht="27" customHeight="1">
      <c r="A16" s="153" t="s">
        <v>758</v>
      </c>
      <c r="B16" s="155"/>
      <c r="C16" s="154">
        <v>425</v>
      </c>
      <c r="D16" s="156">
        <v>0</v>
      </c>
      <c r="E16" s="156">
        <v>1009</v>
      </c>
      <c r="F16" s="156">
        <v>544</v>
      </c>
      <c r="G16" s="156">
        <v>1553</v>
      </c>
      <c r="H16" s="156">
        <v>0</v>
      </c>
      <c r="I16" s="324">
        <f>ROUND(SUM(FTSEHRI[[#This Row],[Prof &amp; Special-Prof Headcount]],FTSEHRI[[#This Row],[Undergraduate]]/30,FTSEHRI[[#This Row],[Master''s¹]]/24,FTSEHRI[[#This Row],[Doctoral]]/18,),2)</f>
        <v>72.260000000000005</v>
      </c>
      <c r="J16" s="156">
        <v>71.489999999999995</v>
      </c>
      <c r="K16" s="156"/>
      <c r="L16" s="40"/>
    </row>
    <row r="17" spans="1:12" s="35" customFormat="1" ht="27" customHeight="1">
      <c r="A17" s="149" t="s">
        <v>387</v>
      </c>
      <c r="B17" s="151">
        <v>410</v>
      </c>
      <c r="C17" s="150">
        <v>11618</v>
      </c>
      <c r="D17" s="152"/>
      <c r="E17" s="152"/>
      <c r="F17" s="152"/>
      <c r="G17" s="152"/>
      <c r="H17" s="152"/>
      <c r="I17" s="273"/>
      <c r="J17" s="152"/>
      <c r="K17" s="152">
        <v>327</v>
      </c>
      <c r="L17" s="40"/>
    </row>
    <row r="18" spans="1:12" s="35" customFormat="1" ht="27" customHeight="1">
      <c r="A18" s="153" t="s">
        <v>759</v>
      </c>
      <c r="B18" s="155"/>
      <c r="C18" s="154">
        <v>410</v>
      </c>
      <c r="D18" s="156">
        <v>1905</v>
      </c>
      <c r="E18" s="156">
        <v>129</v>
      </c>
      <c r="F18" s="156">
        <v>0</v>
      </c>
      <c r="G18" s="156">
        <v>2034</v>
      </c>
      <c r="H18" s="156">
        <v>0</v>
      </c>
      <c r="I18" s="324">
        <f>ROUND(SUM(FTSEHRI[[#This Row],[Prof &amp; Special-Prof Headcount]],FTSEHRI[[#This Row],[Undergraduate]]/30,FTSEHRI[[#This Row],[Master''s¹]]/24,FTSEHRI[[#This Row],[Doctoral]]/18,),2)</f>
        <v>68.88</v>
      </c>
      <c r="J18" s="156">
        <v>66.81</v>
      </c>
      <c r="K18" s="156"/>
      <c r="L18" s="40"/>
    </row>
    <row r="19" spans="1:12" s="35" customFormat="1" ht="27" customHeight="1">
      <c r="A19" s="153" t="s">
        <v>760</v>
      </c>
      <c r="B19" s="155"/>
      <c r="C19" s="154">
        <v>411</v>
      </c>
      <c r="D19" s="156">
        <v>0</v>
      </c>
      <c r="E19" s="156">
        <v>0</v>
      </c>
      <c r="F19" s="156">
        <v>0</v>
      </c>
      <c r="G19" s="156">
        <v>0</v>
      </c>
      <c r="H19" s="156">
        <v>85</v>
      </c>
      <c r="I19" s="324">
        <f>ROUND(SUM(FTSEHRI[[#This Row],[Prof &amp; Special-Prof Headcount]],FTSEHRI[[#This Row],[Undergraduate]]/30,FTSEHRI[[#This Row],[Master''s¹]]/24,FTSEHRI[[#This Row],[Doctoral]]/18,),2)</f>
        <v>85</v>
      </c>
      <c r="J19" s="156">
        <v>85</v>
      </c>
      <c r="K19" s="156"/>
      <c r="L19" s="40"/>
    </row>
    <row r="20" spans="1:12" s="35" customFormat="1" ht="27" customHeight="1">
      <c r="A20" s="153" t="s">
        <v>761</v>
      </c>
      <c r="B20" s="155"/>
      <c r="C20" s="154">
        <v>4951</v>
      </c>
      <c r="D20" s="156">
        <v>0</v>
      </c>
      <c r="E20" s="156">
        <v>0</v>
      </c>
      <c r="F20" s="156">
        <v>0</v>
      </c>
      <c r="G20" s="156">
        <v>0</v>
      </c>
      <c r="H20" s="156">
        <v>419</v>
      </c>
      <c r="I20" s="324">
        <f>ROUND(SUM(FTSEHRI[[#This Row],[Prof &amp; Special-Prof Headcount]],FTSEHRI[[#This Row],[Undergraduate]]/30,FTSEHRI[[#This Row],[Master''s¹]]/24,FTSEHRI[[#This Row],[Doctoral]]/18,),2)</f>
        <v>419</v>
      </c>
      <c r="J20" s="156">
        <v>419</v>
      </c>
      <c r="K20" s="156"/>
      <c r="L20" s="40"/>
    </row>
    <row r="21" spans="1:12" s="35" customFormat="1" ht="27" customHeight="1">
      <c r="A21" s="153" t="s">
        <v>754</v>
      </c>
      <c r="B21" s="155"/>
      <c r="C21" s="154">
        <v>4954</v>
      </c>
      <c r="D21" s="156">
        <v>0</v>
      </c>
      <c r="E21" s="156">
        <v>1756</v>
      </c>
      <c r="F21" s="156">
        <v>8809</v>
      </c>
      <c r="G21" s="156">
        <v>10565</v>
      </c>
      <c r="H21" s="156">
        <v>0</v>
      </c>
      <c r="I21" s="324">
        <f>ROUND(SUM(FTSEHRI[[#This Row],[Prof &amp; Special-Prof Headcount]],FTSEHRI[[#This Row],[Undergraduate]]/30,FTSEHRI[[#This Row],[Master''s¹]]/24,FTSEHRI[[#This Row],[Doctoral]]/18,),2)</f>
        <v>562.55999999999995</v>
      </c>
      <c r="J21" s="156">
        <v>535.33000000000004</v>
      </c>
      <c r="K21" s="156"/>
      <c r="L21" s="40"/>
    </row>
    <row r="22" spans="1:12" s="35" customFormat="1" ht="27" customHeight="1">
      <c r="A22" s="153" t="s">
        <v>755</v>
      </c>
      <c r="B22" s="155"/>
      <c r="C22" s="154">
        <v>9348</v>
      </c>
      <c r="D22" s="156">
        <v>0</v>
      </c>
      <c r="E22" s="156">
        <v>0</v>
      </c>
      <c r="F22" s="156">
        <v>0</v>
      </c>
      <c r="G22" s="156">
        <v>0</v>
      </c>
      <c r="H22" s="156">
        <v>972</v>
      </c>
      <c r="I22" s="324">
        <f>ROUND(SUM(FTSEHRI[[#This Row],[Prof &amp; Special-Prof Headcount]],FTSEHRI[[#This Row],[Undergraduate]]/30,FTSEHRI[[#This Row],[Master''s¹]]/24,FTSEHRI[[#This Row],[Doctoral]]/18,),2)</f>
        <v>972</v>
      </c>
      <c r="J22" s="156">
        <v>972</v>
      </c>
      <c r="K22" s="156"/>
      <c r="L22" s="40"/>
    </row>
    <row r="23" spans="1:12" s="35" customFormat="1" ht="27" customHeight="1">
      <c r="A23" s="153" t="s">
        <v>762</v>
      </c>
      <c r="B23" s="155"/>
      <c r="C23" s="154">
        <v>109348</v>
      </c>
      <c r="D23" s="156">
        <v>0</v>
      </c>
      <c r="E23" s="156">
        <v>891</v>
      </c>
      <c r="F23" s="156">
        <v>0</v>
      </c>
      <c r="G23" s="156">
        <v>891</v>
      </c>
      <c r="H23" s="156">
        <v>0</v>
      </c>
      <c r="I23" s="324">
        <f>ROUND(SUM(FTSEHRI[[#This Row],[Prof &amp; Special-Prof Headcount]],FTSEHRI[[#This Row],[Undergraduate]]/30,FTSEHRI[[#This Row],[Master''s¹]]/24,FTSEHRI[[#This Row],[Doctoral]]/18,),2)</f>
        <v>37.130000000000003</v>
      </c>
      <c r="J23" s="156">
        <v>37.130000000000003</v>
      </c>
      <c r="K23" s="156"/>
      <c r="L23" s="40"/>
    </row>
    <row r="24" spans="1:12" s="35" customFormat="1" ht="27" customHeight="1">
      <c r="A24" s="153" t="s">
        <v>763</v>
      </c>
      <c r="B24" s="155"/>
      <c r="C24" s="154">
        <v>203</v>
      </c>
      <c r="D24" s="156">
        <v>0</v>
      </c>
      <c r="E24" s="156">
        <v>3688</v>
      </c>
      <c r="F24" s="156">
        <v>979</v>
      </c>
      <c r="G24" s="156">
        <v>4667</v>
      </c>
      <c r="H24" s="156">
        <v>0</v>
      </c>
      <c r="I24" s="324">
        <f>ROUND(SUM(FTSEHRI[[#This Row],[Prof &amp; Special-Prof Headcount]],FTSEHRI[[#This Row],[Undergraduate]]/30,FTSEHRI[[#This Row],[Master''s¹]]/24,FTSEHRI[[#This Row],[Doctoral]]/18,),2)</f>
        <v>208.06</v>
      </c>
      <c r="J24" s="156">
        <v>207.94</v>
      </c>
      <c r="K24" s="156"/>
      <c r="L24" s="40"/>
    </row>
    <row r="25" spans="1:12" s="35" customFormat="1" ht="27" customHeight="1">
      <c r="A25" s="153" t="s">
        <v>757</v>
      </c>
      <c r="B25" s="155"/>
      <c r="C25" s="154">
        <v>201</v>
      </c>
      <c r="D25" s="156">
        <v>18853</v>
      </c>
      <c r="E25" s="156">
        <v>5766</v>
      </c>
      <c r="F25" s="156">
        <v>8554</v>
      </c>
      <c r="G25" s="156">
        <v>33173</v>
      </c>
      <c r="H25" s="156">
        <v>0</v>
      </c>
      <c r="I25" s="324">
        <f>ROUND(SUM(FTSEHRI[[#This Row],[Prof &amp; Special-Prof Headcount]],FTSEHRI[[#This Row],[Undergraduate]]/30,FTSEHRI[[#This Row],[Master''s¹]]/24,FTSEHRI[[#This Row],[Doctoral]]/18,),2)</f>
        <v>1343.91</v>
      </c>
      <c r="J25" s="156">
        <v>1334.41</v>
      </c>
      <c r="K25" s="156"/>
      <c r="L25" s="40"/>
    </row>
    <row r="26" spans="1:12" s="35" customFormat="1" ht="27" customHeight="1">
      <c r="A26" s="153" t="s">
        <v>758</v>
      </c>
      <c r="B26" s="155"/>
      <c r="C26" s="154">
        <v>6956</v>
      </c>
      <c r="D26" s="156">
        <v>0</v>
      </c>
      <c r="E26" s="156">
        <v>18872</v>
      </c>
      <c r="F26" s="156">
        <v>8263</v>
      </c>
      <c r="G26" s="156">
        <v>27135</v>
      </c>
      <c r="H26" s="156">
        <v>0</v>
      </c>
      <c r="I26" s="324">
        <f>ROUND(SUM(FTSEHRI[[#This Row],[Prof &amp; Special-Prof Headcount]],FTSEHRI[[#This Row],[Undergraduate]]/30,FTSEHRI[[#This Row],[Master''s¹]]/24,FTSEHRI[[#This Row],[Doctoral]]/18,),2)</f>
        <v>1245.3900000000001</v>
      </c>
      <c r="J26" s="156">
        <v>1244.72</v>
      </c>
      <c r="K26" s="156"/>
      <c r="L26" s="40"/>
    </row>
    <row r="27" spans="1:12" s="35" customFormat="1" ht="27" customHeight="1">
      <c r="A27" s="149" t="s">
        <v>388</v>
      </c>
      <c r="B27" s="151">
        <v>420</v>
      </c>
      <c r="C27" s="150">
        <v>40</v>
      </c>
      <c r="D27" s="152"/>
      <c r="E27" s="152"/>
      <c r="F27" s="152"/>
      <c r="G27" s="152"/>
      <c r="H27" s="152"/>
      <c r="I27" s="273"/>
      <c r="J27" s="152"/>
      <c r="K27" s="152">
        <v>295</v>
      </c>
      <c r="L27" s="40"/>
    </row>
    <row r="28" spans="1:12" s="35" customFormat="1" ht="27" customHeight="1">
      <c r="A28" s="153" t="s">
        <v>764</v>
      </c>
      <c r="B28" s="155"/>
      <c r="C28" s="154">
        <v>311</v>
      </c>
      <c r="D28" s="156">
        <v>1336</v>
      </c>
      <c r="E28" s="156">
        <v>0</v>
      </c>
      <c r="F28" s="156">
        <v>0</v>
      </c>
      <c r="G28" s="156">
        <v>1336</v>
      </c>
      <c r="H28" s="156">
        <v>0</v>
      </c>
      <c r="I28" s="324">
        <f>ROUND(SUM(FTSEHRI[[#This Row],[Prof &amp; Special-Prof Headcount]],FTSEHRI[[#This Row],[Undergraduate]]/30,FTSEHRI[[#This Row],[Master''s¹]]/24,FTSEHRI[[#This Row],[Doctoral]]/18,),2)</f>
        <v>44.53</v>
      </c>
      <c r="J28" s="156">
        <v>43.73</v>
      </c>
      <c r="K28" s="156"/>
      <c r="L28" s="40"/>
    </row>
    <row r="29" spans="1:12" s="35" customFormat="1" ht="27" customHeight="1">
      <c r="A29" s="153" t="s">
        <v>761</v>
      </c>
      <c r="B29" s="155"/>
      <c r="C29" s="154">
        <v>9799</v>
      </c>
      <c r="D29" s="156">
        <v>0</v>
      </c>
      <c r="E29" s="156">
        <v>0</v>
      </c>
      <c r="F29" s="156">
        <v>0</v>
      </c>
      <c r="G29" s="156">
        <v>0</v>
      </c>
      <c r="H29" s="156">
        <v>420</v>
      </c>
      <c r="I29" s="324">
        <f>ROUND(SUM(FTSEHRI[[#This Row],[Prof &amp; Special-Prof Headcount]],FTSEHRI[[#This Row],[Undergraduate]]/30,FTSEHRI[[#This Row],[Master''s¹]]/24,FTSEHRI[[#This Row],[Doctoral]]/18,),2)</f>
        <v>420</v>
      </c>
      <c r="J29" s="156">
        <v>420</v>
      </c>
      <c r="K29" s="156"/>
      <c r="L29" s="40"/>
    </row>
    <row r="30" spans="1:12" s="35" customFormat="1" ht="27" customHeight="1">
      <c r="A30" s="153" t="s">
        <v>765</v>
      </c>
      <c r="B30" s="155"/>
      <c r="C30" s="154">
        <v>304</v>
      </c>
      <c r="D30" s="156">
        <v>0</v>
      </c>
      <c r="E30" s="156">
        <v>0</v>
      </c>
      <c r="F30" s="156">
        <v>0</v>
      </c>
      <c r="G30" s="156">
        <v>0</v>
      </c>
      <c r="H30" s="156">
        <v>100</v>
      </c>
      <c r="I30" s="324">
        <f>ROUND(SUM(FTSEHRI[[#This Row],[Prof &amp; Special-Prof Headcount]],FTSEHRI[[#This Row],[Undergraduate]]/30,FTSEHRI[[#This Row],[Master''s¹]]/24,FTSEHRI[[#This Row],[Doctoral]]/18,),2)</f>
        <v>100</v>
      </c>
      <c r="J30" s="156">
        <v>100</v>
      </c>
      <c r="K30" s="156"/>
      <c r="L30" s="40"/>
    </row>
    <row r="31" spans="1:12" s="35" customFormat="1" ht="27" customHeight="1">
      <c r="A31" s="153" t="s">
        <v>754</v>
      </c>
      <c r="B31" s="155"/>
      <c r="C31" s="154">
        <v>301</v>
      </c>
      <c r="D31" s="156">
        <v>0</v>
      </c>
      <c r="E31" s="156">
        <v>1526</v>
      </c>
      <c r="F31" s="156">
        <v>4903</v>
      </c>
      <c r="G31" s="156">
        <v>6429</v>
      </c>
      <c r="H31" s="156">
        <v>0</v>
      </c>
      <c r="I31" s="324">
        <f>ROUND(SUM(FTSEHRI[[#This Row],[Prof &amp; Special-Prof Headcount]],FTSEHRI[[#This Row],[Undergraduate]]/30,FTSEHRI[[#This Row],[Master''s¹]]/24,FTSEHRI[[#This Row],[Doctoral]]/18,),2)</f>
        <v>335.97</v>
      </c>
      <c r="J31" s="156">
        <v>320.93</v>
      </c>
      <c r="K31" s="156"/>
      <c r="L31" s="40"/>
    </row>
    <row r="32" spans="1:12" s="35" customFormat="1" ht="27" customHeight="1">
      <c r="A32" s="153" t="s">
        <v>755</v>
      </c>
      <c r="B32" s="155"/>
      <c r="C32" s="154">
        <v>3659</v>
      </c>
      <c r="D32" s="156">
        <v>0</v>
      </c>
      <c r="E32" s="156">
        <v>0</v>
      </c>
      <c r="F32" s="156">
        <v>0</v>
      </c>
      <c r="G32" s="156">
        <v>0</v>
      </c>
      <c r="H32" s="156">
        <v>873</v>
      </c>
      <c r="I32" s="324">
        <f>ROUND(SUM(FTSEHRI[[#This Row],[Prof &amp; Special-Prof Headcount]],FTSEHRI[[#This Row],[Undergraduate]]/30,FTSEHRI[[#This Row],[Master''s¹]]/24,FTSEHRI[[#This Row],[Doctoral]]/18,),2)</f>
        <v>873</v>
      </c>
      <c r="J32" s="156">
        <v>873</v>
      </c>
      <c r="K32" s="156"/>
      <c r="L32" s="40"/>
    </row>
    <row r="33" spans="1:12" s="35" customFormat="1" ht="27" customHeight="1">
      <c r="A33" s="153" t="s">
        <v>762</v>
      </c>
      <c r="B33" s="155"/>
      <c r="C33" s="154">
        <v>305</v>
      </c>
      <c r="D33" s="156">
        <v>0</v>
      </c>
      <c r="E33" s="156">
        <v>327</v>
      </c>
      <c r="F33" s="156">
        <v>0</v>
      </c>
      <c r="G33" s="156">
        <v>327</v>
      </c>
      <c r="H33" s="156">
        <v>0</v>
      </c>
      <c r="I33" s="324">
        <f>ROUND(SUM(FTSEHRI[[#This Row],[Prof &amp; Special-Prof Headcount]],FTSEHRI[[#This Row],[Undergraduate]]/30,FTSEHRI[[#This Row],[Master''s¹]]/24,FTSEHRI[[#This Row],[Doctoral]]/18,),2)</f>
        <v>13.63</v>
      </c>
      <c r="J33" s="156">
        <v>13.63</v>
      </c>
      <c r="K33" s="156"/>
      <c r="L33" s="40"/>
    </row>
    <row r="34" spans="1:12" s="35" customFormat="1" ht="27" customHeight="1">
      <c r="A34" s="153" t="s">
        <v>756</v>
      </c>
      <c r="B34" s="155"/>
      <c r="C34" s="154">
        <v>303</v>
      </c>
      <c r="D34" s="156">
        <v>5801</v>
      </c>
      <c r="E34" s="156">
        <v>21128</v>
      </c>
      <c r="F34" s="156">
        <v>5954</v>
      </c>
      <c r="G34" s="156">
        <v>32883</v>
      </c>
      <c r="H34" s="156">
        <v>0</v>
      </c>
      <c r="I34" s="324">
        <f>ROUND(SUM(FTSEHRI[[#This Row],[Prof &amp; Special-Prof Headcount]],FTSEHRI[[#This Row],[Undergraduate]]/30,FTSEHRI[[#This Row],[Master''s¹]]/24,FTSEHRI[[#This Row],[Doctoral]]/18,),2)</f>
        <v>1404.48</v>
      </c>
      <c r="J34" s="156">
        <v>1399.14</v>
      </c>
      <c r="K34" s="156"/>
      <c r="L34" s="40"/>
    </row>
    <row r="35" spans="1:12" s="35" customFormat="1" ht="27" customHeight="1">
      <c r="A35" s="153" t="s">
        <v>757</v>
      </c>
      <c r="B35" s="155"/>
      <c r="C35" s="154">
        <v>302</v>
      </c>
      <c r="D35" s="156">
        <v>19231</v>
      </c>
      <c r="E35" s="156">
        <v>55</v>
      </c>
      <c r="F35" s="156">
        <v>4112</v>
      </c>
      <c r="G35" s="156">
        <v>23398</v>
      </c>
      <c r="H35" s="156">
        <v>0</v>
      </c>
      <c r="I35" s="324">
        <f>ROUND(SUM(FTSEHRI[[#This Row],[Prof &amp; Special-Prof Headcount]],FTSEHRI[[#This Row],[Undergraduate]]/30,FTSEHRI[[#This Row],[Master''s¹]]/24,FTSEHRI[[#This Row],[Doctoral]]/18,),2)</f>
        <v>871.77</v>
      </c>
      <c r="J35" s="156">
        <v>865.07</v>
      </c>
      <c r="K35" s="156"/>
      <c r="L35" s="40"/>
    </row>
    <row r="36" spans="1:12" s="35" customFormat="1" ht="27" customHeight="1">
      <c r="A36" s="149" t="s">
        <v>389</v>
      </c>
      <c r="B36" s="151">
        <v>430</v>
      </c>
      <c r="C36" s="150">
        <v>25554</v>
      </c>
      <c r="D36" s="152">
        <v>11215</v>
      </c>
      <c r="E36" s="152">
        <v>754</v>
      </c>
      <c r="F36" s="152">
        <v>0</v>
      </c>
      <c r="G36" s="152">
        <v>11969</v>
      </c>
      <c r="H36" s="152">
        <v>0</v>
      </c>
      <c r="I36" s="273">
        <f>ROUND(SUM(FTSEHRI[[#This Row],[Prof &amp; Special-Prof Headcount]],FTSEHRI[[#This Row],[Undergraduate]]/30,FTSEHRI[[#This Row],[Master''s¹]]/24,FTSEHRI[[#This Row],[Doctoral]]/18,),2)</f>
        <v>405.25</v>
      </c>
      <c r="J36" s="152">
        <v>398.05</v>
      </c>
      <c r="K36" s="152">
        <v>586</v>
      </c>
      <c r="L36" s="40"/>
    </row>
    <row r="37" spans="1:12" s="35" customFormat="1" ht="27" customHeight="1">
      <c r="A37" s="149" t="s">
        <v>390</v>
      </c>
      <c r="B37" s="151">
        <v>440</v>
      </c>
      <c r="C37" s="150">
        <v>42439</v>
      </c>
      <c r="D37" s="152"/>
      <c r="E37" s="152"/>
      <c r="F37" s="152"/>
      <c r="G37" s="152"/>
      <c r="H37" s="152"/>
      <c r="I37" s="273"/>
      <c r="J37" s="152"/>
      <c r="K37" s="336" t="s">
        <v>439</v>
      </c>
      <c r="L37" s="40"/>
    </row>
    <row r="38" spans="1:12" s="35" customFormat="1" ht="27" customHeight="1">
      <c r="A38" s="153" t="s">
        <v>766</v>
      </c>
      <c r="B38" s="155"/>
      <c r="C38" s="154">
        <v>427</v>
      </c>
      <c r="D38" s="156">
        <v>0</v>
      </c>
      <c r="E38" s="156">
        <v>384</v>
      </c>
      <c r="F38" s="156">
        <v>0</v>
      </c>
      <c r="G38" s="156">
        <v>384</v>
      </c>
      <c r="H38" s="156">
        <v>0</v>
      </c>
      <c r="I38" s="324">
        <f>ROUND(SUM(FTSEHRI[[#This Row],[Prof &amp; Special-Prof Headcount]],FTSEHRI[[#This Row],[Undergraduate]]/30,FTSEHRI[[#This Row],[Master''s¹]]/24,FTSEHRI[[#This Row],[Doctoral]]/18,),2)</f>
        <v>16</v>
      </c>
      <c r="J38" s="156">
        <v>16</v>
      </c>
      <c r="K38" s="156"/>
      <c r="L38" s="40"/>
    </row>
    <row r="39" spans="1:12" s="35" customFormat="1" ht="27" customHeight="1">
      <c r="A39" s="153" t="s">
        <v>767</v>
      </c>
      <c r="B39" s="155"/>
      <c r="C39" s="154">
        <v>429</v>
      </c>
      <c r="D39" s="156">
        <v>0</v>
      </c>
      <c r="E39" s="156">
        <v>1323</v>
      </c>
      <c r="F39" s="156">
        <v>0</v>
      </c>
      <c r="G39" s="156">
        <v>1323</v>
      </c>
      <c r="H39" s="156">
        <v>0</v>
      </c>
      <c r="I39" s="324">
        <f>ROUND(SUM(FTSEHRI[[#This Row],[Prof &amp; Special-Prof Headcount]],FTSEHRI[[#This Row],[Undergraduate]]/30,FTSEHRI[[#This Row],[Master''s¹]]/24,FTSEHRI[[#This Row],[Doctoral]]/18,),2)</f>
        <v>55.13</v>
      </c>
      <c r="J39" s="156">
        <v>55.13</v>
      </c>
      <c r="K39" s="156"/>
      <c r="L39" s="40"/>
    </row>
    <row r="40" spans="1:12" s="35" customFormat="1" ht="27" customHeight="1">
      <c r="A40" s="153" t="s">
        <v>768</v>
      </c>
      <c r="B40" s="155"/>
      <c r="C40" s="154">
        <v>431</v>
      </c>
      <c r="D40" s="156">
        <v>0</v>
      </c>
      <c r="E40" s="156">
        <v>44</v>
      </c>
      <c r="F40" s="156">
        <v>0</v>
      </c>
      <c r="G40" s="156">
        <v>44</v>
      </c>
      <c r="H40" s="156">
        <v>0</v>
      </c>
      <c r="I40" s="324">
        <f>ROUND(SUM(FTSEHRI[[#This Row],[Prof &amp; Special-Prof Headcount]],FTSEHRI[[#This Row],[Undergraduate]]/30,FTSEHRI[[#This Row],[Master''s¹]]/24,FTSEHRI[[#This Row],[Doctoral]]/18,),2)</f>
        <v>1.83</v>
      </c>
      <c r="J40" s="156">
        <v>1.83</v>
      </c>
      <c r="K40" s="156"/>
      <c r="L40" s="40"/>
    </row>
    <row r="41" spans="1:12" s="35" customFormat="1" ht="27" customHeight="1">
      <c r="A41" s="149" t="s">
        <v>391</v>
      </c>
      <c r="B41" s="151">
        <v>450</v>
      </c>
      <c r="C41" s="150">
        <v>89</v>
      </c>
      <c r="D41" s="152"/>
      <c r="E41" s="152"/>
      <c r="F41" s="152"/>
      <c r="G41" s="152"/>
      <c r="H41" s="152"/>
      <c r="I41" s="273"/>
      <c r="J41" s="152"/>
      <c r="K41" s="152">
        <v>184</v>
      </c>
      <c r="L41" s="40"/>
    </row>
    <row r="42" spans="1:12" s="35" customFormat="1" ht="27" customHeight="1">
      <c r="A42" s="153" t="s">
        <v>780</v>
      </c>
      <c r="B42" s="155"/>
      <c r="C42" s="154">
        <v>406</v>
      </c>
      <c r="D42" s="156">
        <v>0</v>
      </c>
      <c r="E42" s="156">
        <v>170</v>
      </c>
      <c r="F42" s="156">
        <v>222</v>
      </c>
      <c r="G42" s="156">
        <v>392</v>
      </c>
      <c r="H42" s="156">
        <v>93</v>
      </c>
      <c r="I42" s="324">
        <f>ROUND(SUM(FTSEHRI[[#This Row],[Prof &amp; Special-Prof Headcount]],FTSEHRI[[#This Row],[Undergraduate]]/30,FTSEHRI[[#This Row],[Master''s¹]]/24,FTSEHRI[[#This Row],[Doctoral]]/18,),2)</f>
        <v>112.42</v>
      </c>
      <c r="J42" s="156">
        <v>112.42</v>
      </c>
      <c r="K42" s="156"/>
      <c r="L42" s="40"/>
    </row>
    <row r="43" spans="1:12" s="35" customFormat="1" ht="27" customHeight="1">
      <c r="A43" s="153" t="s">
        <v>781</v>
      </c>
      <c r="B43" s="155"/>
      <c r="C43" s="154">
        <v>4948</v>
      </c>
      <c r="D43" s="156">
        <v>0</v>
      </c>
      <c r="E43" s="156">
        <v>0</v>
      </c>
      <c r="F43" s="156">
        <v>0</v>
      </c>
      <c r="G43" s="156">
        <v>0</v>
      </c>
      <c r="H43" s="156">
        <v>415</v>
      </c>
      <c r="I43" s="324">
        <f>ROUND(SUM(FTSEHRI[[#This Row],[Prof &amp; Special-Prof Headcount]],FTSEHRI[[#This Row],[Undergraduate]]/30,FTSEHRI[[#This Row],[Master''s¹]]/24,FTSEHRI[[#This Row],[Doctoral]]/18,),2)</f>
        <v>415</v>
      </c>
      <c r="J43" s="156">
        <v>415</v>
      </c>
      <c r="K43" s="156"/>
      <c r="L43" s="40"/>
    </row>
    <row r="44" spans="1:12" s="35" customFormat="1" ht="27" customHeight="1">
      <c r="A44" s="153" t="s">
        <v>782</v>
      </c>
      <c r="B44" s="155"/>
      <c r="C44" s="154">
        <v>405</v>
      </c>
      <c r="D44" s="156">
        <v>1968</v>
      </c>
      <c r="E44" s="156">
        <v>0</v>
      </c>
      <c r="F44" s="156">
        <v>0</v>
      </c>
      <c r="G44" s="156">
        <v>1968</v>
      </c>
      <c r="H44" s="156">
        <v>0</v>
      </c>
      <c r="I44" s="324">
        <f>ROUND(SUM(FTSEHRI[[#This Row],[Prof &amp; Special-Prof Headcount]],FTSEHRI[[#This Row],[Undergraduate]]/30,FTSEHRI[[#This Row],[Master''s¹]]/24,FTSEHRI[[#This Row],[Doctoral]]/18,),2)</f>
        <v>65.599999999999994</v>
      </c>
      <c r="J44" s="156">
        <v>65.599999999999994</v>
      </c>
      <c r="K44" s="156"/>
      <c r="L44" s="40"/>
    </row>
    <row r="45" spans="1:12" s="35" customFormat="1" ht="27" customHeight="1">
      <c r="A45" s="153" t="s">
        <v>783</v>
      </c>
      <c r="B45" s="155"/>
      <c r="C45" s="154">
        <v>80</v>
      </c>
      <c r="D45" s="156">
        <v>0</v>
      </c>
      <c r="E45" s="156">
        <v>0</v>
      </c>
      <c r="F45" s="156">
        <v>0</v>
      </c>
      <c r="G45" s="156">
        <v>0</v>
      </c>
      <c r="H45" s="156">
        <v>730</v>
      </c>
      <c r="I45" s="324">
        <f>ROUND(SUM(FTSEHRI[[#This Row],[Prof &amp; Special-Prof Headcount]],FTSEHRI[[#This Row],[Undergraduate]]/30,FTSEHRI[[#This Row],[Master''s¹]]/24,FTSEHRI[[#This Row],[Doctoral]]/18,),2)</f>
        <v>730</v>
      </c>
      <c r="J45" s="156">
        <v>730</v>
      </c>
      <c r="K45" s="156"/>
      <c r="L45" s="40"/>
    </row>
    <row r="46" spans="1:12" s="35" customFormat="1" ht="27" customHeight="1">
      <c r="A46" s="153" t="s">
        <v>784</v>
      </c>
      <c r="B46" s="155"/>
      <c r="C46" s="154">
        <v>180</v>
      </c>
      <c r="D46" s="156">
        <v>187</v>
      </c>
      <c r="E46" s="156">
        <v>1675</v>
      </c>
      <c r="F46" s="156">
        <v>1535</v>
      </c>
      <c r="G46" s="156">
        <v>3397</v>
      </c>
      <c r="H46" s="156">
        <v>0</v>
      </c>
      <c r="I46" s="324">
        <f>ROUND(SUM(FTSEHRI[[#This Row],[Prof &amp; Special-Prof Headcount]],FTSEHRI[[#This Row],[Undergraduate]]/30,FTSEHRI[[#This Row],[Master''s¹]]/24,FTSEHRI[[#This Row],[Doctoral]]/18,),2)</f>
        <v>161.30000000000001</v>
      </c>
      <c r="J46" s="156">
        <v>161.30000000000001</v>
      </c>
      <c r="K46" s="156"/>
      <c r="L46" s="40"/>
    </row>
    <row r="47" spans="1:12" s="35" customFormat="1" ht="27" customHeight="1">
      <c r="A47" s="153" t="s">
        <v>785</v>
      </c>
      <c r="B47" s="155"/>
      <c r="C47" s="154">
        <v>79</v>
      </c>
      <c r="D47" s="156">
        <v>14183</v>
      </c>
      <c r="E47" s="156">
        <v>1777</v>
      </c>
      <c r="F47" s="156">
        <v>249</v>
      </c>
      <c r="G47" s="156">
        <v>16209</v>
      </c>
      <c r="H47" s="156">
        <v>0</v>
      </c>
      <c r="I47" s="324">
        <f>ROUND(SUM(FTSEHRI[[#This Row],[Prof &amp; Special-Prof Headcount]],FTSEHRI[[#This Row],[Undergraduate]]/30,FTSEHRI[[#This Row],[Master''s¹]]/24,FTSEHRI[[#This Row],[Doctoral]]/18,),2)</f>
        <v>560.64</v>
      </c>
      <c r="J47" s="156">
        <v>553.94000000000005</v>
      </c>
      <c r="K47" s="156"/>
      <c r="L47" s="40"/>
    </row>
    <row r="48" spans="1:12" s="35" customFormat="1" ht="27" customHeight="1">
      <c r="A48" s="153" t="s">
        <v>786</v>
      </c>
      <c r="B48" s="155"/>
      <c r="C48" s="154">
        <v>88</v>
      </c>
      <c r="D48" s="156">
        <v>0</v>
      </c>
      <c r="E48" s="156">
        <v>16675</v>
      </c>
      <c r="F48" s="156">
        <v>498</v>
      </c>
      <c r="G48" s="156">
        <v>17173</v>
      </c>
      <c r="H48" s="156">
        <v>0</v>
      </c>
      <c r="I48" s="324">
        <f>ROUND(SUM(FTSEHRI[[#This Row],[Prof &amp; Special-Prof Headcount]],FTSEHRI[[#This Row],[Undergraduate]]/30,FTSEHRI[[#This Row],[Master''s¹]]/24,FTSEHRI[[#This Row],[Doctoral]]/18,),2)</f>
        <v>722.46</v>
      </c>
      <c r="J48" s="156">
        <v>722.46</v>
      </c>
      <c r="K48" s="156"/>
      <c r="L48" s="40"/>
    </row>
    <row r="49" spans="1:12" s="35" customFormat="1" ht="27" customHeight="1">
      <c r="A49" s="153" t="s">
        <v>787</v>
      </c>
      <c r="B49" s="155"/>
      <c r="C49" s="154">
        <v>87</v>
      </c>
      <c r="D49" s="156">
        <v>15868</v>
      </c>
      <c r="E49" s="156">
        <v>8334</v>
      </c>
      <c r="F49" s="156">
        <v>1039</v>
      </c>
      <c r="G49" s="156">
        <v>25241</v>
      </c>
      <c r="H49" s="156">
        <v>0</v>
      </c>
      <c r="I49" s="324">
        <f>ROUND(SUM(FTSEHRI[[#This Row],[Prof &amp; Special-Prof Headcount]],FTSEHRI[[#This Row],[Undergraduate]]/30,FTSEHRI[[#This Row],[Master''s¹]]/24,FTSEHRI[[#This Row],[Doctoral]]/18,),2)</f>
        <v>933.91</v>
      </c>
      <c r="J49" s="156">
        <v>931.77</v>
      </c>
      <c r="K49" s="156"/>
      <c r="L49" s="40"/>
    </row>
    <row r="50" spans="1:12" s="35" customFormat="1" ht="27" customHeight="1">
      <c r="A50" s="149" t="s">
        <v>392</v>
      </c>
      <c r="B50" s="151">
        <v>461</v>
      </c>
      <c r="C50" s="150">
        <v>130</v>
      </c>
      <c r="D50" s="152"/>
      <c r="E50" s="152"/>
      <c r="F50" s="152"/>
      <c r="G50" s="152"/>
      <c r="H50" s="152"/>
      <c r="I50" s="273"/>
      <c r="J50" s="152"/>
      <c r="K50" s="152">
        <v>56</v>
      </c>
      <c r="L50" s="40"/>
    </row>
    <row r="51" spans="1:12" s="35" customFormat="1" ht="27" customHeight="1">
      <c r="A51" s="153" t="s">
        <v>754</v>
      </c>
      <c r="B51" s="155"/>
      <c r="C51" s="154">
        <v>131</v>
      </c>
      <c r="D51" s="156">
        <v>198</v>
      </c>
      <c r="E51" s="156">
        <v>12479</v>
      </c>
      <c r="F51" s="156">
        <v>1866</v>
      </c>
      <c r="G51" s="156">
        <v>14543</v>
      </c>
      <c r="H51" s="156">
        <v>0</v>
      </c>
      <c r="I51" s="324">
        <f>ROUND(SUM(FTSEHRI[[#This Row],[Prof &amp; Special-Prof Headcount]],FTSEHRI[[#This Row],[Undergraduate]]/30,FTSEHRI[[#This Row],[Master''s¹]]/24,FTSEHRI[[#This Row],[Doctoral]]/18,),2)</f>
        <v>630.23</v>
      </c>
      <c r="J51" s="156">
        <v>630.23</v>
      </c>
      <c r="K51" s="156"/>
      <c r="L51" s="40"/>
    </row>
    <row r="52" spans="1:12" s="35" customFormat="1" ht="27" customHeight="1">
      <c r="A52" s="153" t="s">
        <v>756</v>
      </c>
      <c r="B52" s="155"/>
      <c r="C52" s="154">
        <v>133</v>
      </c>
      <c r="D52" s="156">
        <v>0</v>
      </c>
      <c r="E52" s="156">
        <v>13508</v>
      </c>
      <c r="F52" s="156">
        <v>0</v>
      </c>
      <c r="G52" s="156">
        <v>13508</v>
      </c>
      <c r="H52" s="156">
        <v>0</v>
      </c>
      <c r="I52" s="324">
        <f>ROUND(SUM(FTSEHRI[[#This Row],[Prof &amp; Special-Prof Headcount]],FTSEHRI[[#This Row],[Undergraduate]]/30,FTSEHRI[[#This Row],[Master''s¹]]/24,FTSEHRI[[#This Row],[Doctoral]]/18,),2)</f>
        <v>562.83000000000004</v>
      </c>
      <c r="J52" s="156">
        <v>562.83000000000004</v>
      </c>
      <c r="K52" s="156"/>
      <c r="L52" s="40"/>
    </row>
    <row r="53" spans="1:12" s="35" customFormat="1" ht="27" customHeight="1">
      <c r="A53" s="153" t="s">
        <v>776</v>
      </c>
      <c r="B53" s="155"/>
      <c r="C53" s="154">
        <v>136</v>
      </c>
      <c r="D53" s="156">
        <v>0</v>
      </c>
      <c r="E53" s="156">
        <v>12399</v>
      </c>
      <c r="F53" s="156">
        <v>0</v>
      </c>
      <c r="G53" s="156">
        <v>12399</v>
      </c>
      <c r="H53" s="156">
        <v>0</v>
      </c>
      <c r="I53" s="324">
        <f>ROUND(SUM(FTSEHRI[[#This Row],[Prof &amp; Special-Prof Headcount]],FTSEHRI[[#This Row],[Undergraduate]]/30,FTSEHRI[[#This Row],[Master''s¹]]/24,FTSEHRI[[#This Row],[Doctoral]]/18,),2)</f>
        <v>516.63</v>
      </c>
      <c r="J53" s="156">
        <v>516.63</v>
      </c>
      <c r="K53" s="156"/>
      <c r="L53" s="40"/>
    </row>
    <row r="54" spans="1:12" s="35" customFormat="1" ht="27" customHeight="1">
      <c r="A54" s="153" t="s">
        <v>758</v>
      </c>
      <c r="B54" s="155"/>
      <c r="C54" s="154">
        <v>134</v>
      </c>
      <c r="D54" s="156">
        <v>0</v>
      </c>
      <c r="E54" s="156">
        <v>2859</v>
      </c>
      <c r="F54" s="156">
        <v>223</v>
      </c>
      <c r="G54" s="156">
        <v>3082</v>
      </c>
      <c r="H54" s="156">
        <v>0</v>
      </c>
      <c r="I54" s="324">
        <f>ROUND(SUM(FTSEHRI[[#This Row],[Prof &amp; Special-Prof Headcount]],FTSEHRI[[#This Row],[Undergraduate]]/30,FTSEHRI[[#This Row],[Master''s¹]]/24,FTSEHRI[[#This Row],[Doctoral]]/18,),2)</f>
        <v>131.51</v>
      </c>
      <c r="J54" s="156">
        <v>131.51</v>
      </c>
      <c r="K54" s="156"/>
      <c r="L54" s="40"/>
    </row>
    <row r="55" spans="1:12" s="35" customFormat="1" ht="27" customHeight="1">
      <c r="A55" s="153" t="s">
        <v>779</v>
      </c>
      <c r="B55" s="155"/>
      <c r="C55" s="154">
        <v>9768</v>
      </c>
      <c r="D55" s="156">
        <v>0</v>
      </c>
      <c r="E55" s="156">
        <v>0</v>
      </c>
      <c r="F55" s="156">
        <v>0</v>
      </c>
      <c r="G55" s="156">
        <v>0</v>
      </c>
      <c r="H55" s="156">
        <v>935</v>
      </c>
      <c r="I55" s="324">
        <f>ROUND(SUM(FTSEHRI[[#This Row],[Prof &amp; Special-Prof Headcount]],FTSEHRI[[#This Row],[Undergraduate]]/30,FTSEHRI[[#This Row],[Master''s¹]]/24,FTSEHRI[[#This Row],[Doctoral]]/18,),2)</f>
        <v>935</v>
      </c>
      <c r="J55" s="156">
        <v>935</v>
      </c>
      <c r="K55" s="156"/>
      <c r="L55" s="40"/>
    </row>
    <row r="56" spans="1:12" s="35" customFormat="1" ht="27" customHeight="1">
      <c r="A56" s="149" t="s">
        <v>393</v>
      </c>
      <c r="B56" s="151">
        <v>470</v>
      </c>
      <c r="C56" s="150">
        <v>412</v>
      </c>
      <c r="D56" s="152"/>
      <c r="E56" s="152"/>
      <c r="F56" s="152"/>
      <c r="G56" s="152"/>
      <c r="H56" s="152"/>
      <c r="I56" s="273"/>
      <c r="J56" s="152"/>
      <c r="K56" s="152">
        <v>129</v>
      </c>
      <c r="L56" s="40"/>
    </row>
    <row r="57" spans="1:12" s="35" customFormat="1" ht="27" customHeight="1">
      <c r="A57" s="153" t="s">
        <v>773</v>
      </c>
      <c r="B57" s="155"/>
      <c r="C57" s="154">
        <v>419</v>
      </c>
      <c r="D57" s="156">
        <v>0</v>
      </c>
      <c r="E57" s="156">
        <v>3271</v>
      </c>
      <c r="F57" s="156">
        <v>0</v>
      </c>
      <c r="G57" s="156">
        <v>3271</v>
      </c>
      <c r="H57" s="156">
        <v>0</v>
      </c>
      <c r="I57" s="324">
        <f>ROUND(SUM(FTSEHRI[[#This Row],[Prof &amp; Special-Prof Headcount]],FTSEHRI[[#This Row],[Undergraduate]]/30,FTSEHRI[[#This Row],[Master''s¹]]/24,FTSEHRI[[#This Row],[Doctoral]]/18,),2)</f>
        <v>136.29</v>
      </c>
      <c r="J57" s="156">
        <v>136.29</v>
      </c>
      <c r="K57" s="156"/>
      <c r="L57" s="40"/>
    </row>
    <row r="58" spans="1:12" s="35" customFormat="1" ht="27" customHeight="1">
      <c r="A58" s="153" t="s">
        <v>754</v>
      </c>
      <c r="B58" s="155"/>
      <c r="C58" s="154">
        <v>210674</v>
      </c>
      <c r="D58" s="156">
        <v>0</v>
      </c>
      <c r="E58" s="156">
        <v>1212</v>
      </c>
      <c r="F58" s="156">
        <v>2227</v>
      </c>
      <c r="G58" s="156">
        <v>3439</v>
      </c>
      <c r="H58" s="156">
        <v>0</v>
      </c>
      <c r="I58" s="324">
        <f>ROUND(SUM(FTSEHRI[[#This Row],[Prof &amp; Special-Prof Headcount]],FTSEHRI[[#This Row],[Undergraduate]]/30,FTSEHRI[[#This Row],[Master''s¹]]/24,FTSEHRI[[#This Row],[Doctoral]]/18,),2)</f>
        <v>174.22</v>
      </c>
      <c r="J58" s="156">
        <v>170.72</v>
      </c>
      <c r="K58" s="156"/>
      <c r="L58" s="40"/>
    </row>
    <row r="59" spans="1:12" s="35" customFormat="1" ht="27" customHeight="1">
      <c r="A59" s="153" t="s">
        <v>774</v>
      </c>
      <c r="B59" s="155"/>
      <c r="C59" s="154">
        <v>413</v>
      </c>
      <c r="D59" s="156">
        <v>7992</v>
      </c>
      <c r="E59" s="156">
        <v>31259</v>
      </c>
      <c r="F59" s="156">
        <v>6149</v>
      </c>
      <c r="G59" s="156">
        <v>45400</v>
      </c>
      <c r="H59" s="156">
        <v>0</v>
      </c>
      <c r="I59" s="324">
        <f>ROUND(SUM(FTSEHRI[[#This Row],[Prof &amp; Special-Prof Headcount]],FTSEHRI[[#This Row],[Undergraduate]]/30,FTSEHRI[[#This Row],[Master''s¹]]/24,FTSEHRI[[#This Row],[Doctoral]]/18,),2)</f>
        <v>1910.47</v>
      </c>
      <c r="J59" s="156">
        <v>1902.88</v>
      </c>
      <c r="K59" s="156"/>
      <c r="L59" s="40"/>
    </row>
    <row r="60" spans="1:12" s="35" customFormat="1" ht="27" customHeight="1">
      <c r="A60" s="153" t="s">
        <v>775</v>
      </c>
      <c r="B60" s="155"/>
      <c r="C60" s="154">
        <v>10674</v>
      </c>
      <c r="D60" s="156">
        <v>0</v>
      </c>
      <c r="E60" s="156">
        <v>0</v>
      </c>
      <c r="F60" s="156">
        <v>0</v>
      </c>
      <c r="G60" s="156">
        <v>0</v>
      </c>
      <c r="H60" s="156">
        <v>714</v>
      </c>
      <c r="I60" s="324">
        <f>ROUND(SUM(FTSEHRI[[#This Row],[Prof &amp; Special-Prof Headcount]],FTSEHRI[[#This Row],[Undergraduate]]/30,FTSEHRI[[#This Row],[Master''s¹]]/24,FTSEHRI[[#This Row],[Doctoral]]/18,),2)</f>
        <v>714</v>
      </c>
      <c r="J60" s="156">
        <v>714</v>
      </c>
      <c r="K60" s="156"/>
      <c r="L60" s="40"/>
    </row>
    <row r="61" spans="1:12" s="35" customFormat="1" ht="27" customHeight="1">
      <c r="A61" s="153" t="s">
        <v>757</v>
      </c>
      <c r="B61" s="155"/>
      <c r="C61" s="154">
        <v>110674</v>
      </c>
      <c r="D61" s="156">
        <v>49004</v>
      </c>
      <c r="E61" s="156">
        <v>9425</v>
      </c>
      <c r="F61" s="156">
        <v>1974</v>
      </c>
      <c r="G61" s="156">
        <v>60403</v>
      </c>
      <c r="H61" s="156">
        <v>0</v>
      </c>
      <c r="I61" s="324">
        <f>ROUND(SUM(FTSEHRI[[#This Row],[Prof &amp; Special-Prof Headcount]],FTSEHRI[[#This Row],[Undergraduate]]/30,FTSEHRI[[#This Row],[Master''s¹]]/24,FTSEHRI[[#This Row],[Doctoral]]/18,),2)</f>
        <v>2135.84</v>
      </c>
      <c r="J61" s="156">
        <v>2118.0100000000002</v>
      </c>
      <c r="K61" s="156"/>
      <c r="L61" s="40"/>
    </row>
    <row r="62" spans="1:12" s="35" customFormat="1" ht="27" customHeight="1">
      <c r="A62" s="153" t="s">
        <v>776</v>
      </c>
      <c r="B62" s="155"/>
      <c r="C62" s="154">
        <v>416</v>
      </c>
      <c r="D62" s="156">
        <v>0</v>
      </c>
      <c r="E62" s="156">
        <v>18383</v>
      </c>
      <c r="F62" s="156">
        <v>0</v>
      </c>
      <c r="G62" s="156">
        <v>18383</v>
      </c>
      <c r="H62" s="156">
        <v>0</v>
      </c>
      <c r="I62" s="324">
        <f>ROUND(SUM(FTSEHRI[[#This Row],[Prof &amp; Special-Prof Headcount]],FTSEHRI[[#This Row],[Undergraduate]]/30,FTSEHRI[[#This Row],[Master''s¹]]/24,FTSEHRI[[#This Row],[Doctoral]]/18,),2)</f>
        <v>765.96</v>
      </c>
      <c r="J62" s="156">
        <v>765.96</v>
      </c>
      <c r="K62" s="156"/>
      <c r="L62" s="40"/>
    </row>
    <row r="63" spans="1:12" s="35" customFormat="1" ht="27" customHeight="1">
      <c r="A63" s="149" t="s">
        <v>394</v>
      </c>
      <c r="B63" s="151">
        <v>480</v>
      </c>
      <c r="C63" s="150">
        <v>862</v>
      </c>
      <c r="D63" s="152"/>
      <c r="E63" s="152"/>
      <c r="F63" s="152"/>
      <c r="G63" s="152"/>
      <c r="H63" s="152"/>
      <c r="I63" s="273"/>
      <c r="J63" s="152"/>
      <c r="K63" s="152">
        <v>18</v>
      </c>
      <c r="L63" s="40"/>
    </row>
    <row r="64" spans="1:12" s="35" customFormat="1" ht="27" customHeight="1">
      <c r="A64" s="153" t="s">
        <v>770</v>
      </c>
      <c r="B64" s="155"/>
      <c r="C64" s="154">
        <v>420</v>
      </c>
      <c r="D64" s="156">
        <v>9836</v>
      </c>
      <c r="E64" s="156">
        <v>28</v>
      </c>
      <c r="F64" s="156">
        <v>0</v>
      </c>
      <c r="G64" s="156">
        <v>9864</v>
      </c>
      <c r="H64" s="156">
        <v>0</v>
      </c>
      <c r="I64" s="324">
        <f>ROUND(SUM(FTSEHRI[[#This Row],[Prof &amp; Special-Prof Headcount]],FTSEHRI[[#This Row],[Undergraduate]]/30,FTSEHRI[[#This Row],[Master''s¹]]/24,FTSEHRI[[#This Row],[Doctoral]]/18,),2)</f>
        <v>329.03</v>
      </c>
      <c r="J64" s="156">
        <v>320</v>
      </c>
      <c r="K64" s="156"/>
      <c r="L64" s="40"/>
    </row>
    <row r="65" spans="1:12" s="35" customFormat="1" ht="27" customHeight="1">
      <c r="A65" s="153" t="s">
        <v>754</v>
      </c>
      <c r="B65" s="155"/>
      <c r="C65" s="154">
        <v>422</v>
      </c>
      <c r="D65" s="156">
        <v>0</v>
      </c>
      <c r="E65" s="156">
        <v>819</v>
      </c>
      <c r="F65" s="156">
        <v>0</v>
      </c>
      <c r="G65" s="156">
        <v>819</v>
      </c>
      <c r="H65" s="156">
        <v>0</v>
      </c>
      <c r="I65" s="324">
        <f>ROUND(SUM(FTSEHRI[[#This Row],[Prof &amp; Special-Prof Headcount]],FTSEHRI[[#This Row],[Undergraduate]]/30,FTSEHRI[[#This Row],[Master''s¹]]/24,FTSEHRI[[#This Row],[Doctoral]]/18,),2)</f>
        <v>34.130000000000003</v>
      </c>
      <c r="J65" s="156">
        <v>34.130000000000003</v>
      </c>
      <c r="K65" s="156"/>
      <c r="L65" s="40"/>
    </row>
    <row r="66" spans="1:12" s="35" customFormat="1" ht="27" customHeight="1">
      <c r="A66" s="153" t="s">
        <v>771</v>
      </c>
      <c r="B66" s="155"/>
      <c r="C66" s="154">
        <v>418</v>
      </c>
      <c r="D66" s="156">
        <v>0</v>
      </c>
      <c r="E66" s="156">
        <v>0</v>
      </c>
      <c r="F66" s="156">
        <v>0</v>
      </c>
      <c r="G66" s="156">
        <v>0</v>
      </c>
      <c r="H66" s="156">
        <v>449</v>
      </c>
      <c r="I66" s="324">
        <f>ROUND(SUM(FTSEHRI[[#This Row],[Prof &amp; Special-Prof Headcount]],FTSEHRI[[#This Row],[Undergraduate]]/30,FTSEHRI[[#This Row],[Master''s¹]]/24,FTSEHRI[[#This Row],[Doctoral]]/18,),2)</f>
        <v>449</v>
      </c>
      <c r="J66" s="156">
        <v>449</v>
      </c>
      <c r="K66" s="156"/>
      <c r="L66" s="40"/>
    </row>
    <row r="67" spans="1:12" s="35" customFormat="1" ht="27" customHeight="1">
      <c r="A67" s="153" t="s">
        <v>772</v>
      </c>
      <c r="B67" s="155"/>
      <c r="C67" s="154">
        <v>421</v>
      </c>
      <c r="D67" s="156">
        <v>0</v>
      </c>
      <c r="E67" s="156">
        <v>0</v>
      </c>
      <c r="F67" s="156">
        <v>0</v>
      </c>
      <c r="G67" s="156">
        <v>0</v>
      </c>
      <c r="H67" s="156">
        <v>101</v>
      </c>
      <c r="I67" s="324">
        <f>ROUND(SUM(FTSEHRI[[#This Row],[Prof &amp; Special-Prof Headcount]],FTSEHRI[[#This Row],[Undergraduate]]/30,FTSEHRI[[#This Row],[Master''s¹]]/24,FTSEHRI[[#This Row],[Doctoral]]/18,),2)</f>
        <v>101</v>
      </c>
      <c r="J67" s="156">
        <v>101</v>
      </c>
      <c r="K67" s="156"/>
      <c r="L67" s="40"/>
    </row>
    <row r="68" spans="1:12" s="35" customFormat="1" ht="27" customHeight="1">
      <c r="A68" s="149" t="s">
        <v>839</v>
      </c>
      <c r="B68" s="151">
        <v>500</v>
      </c>
      <c r="C68" s="150">
        <v>203599</v>
      </c>
      <c r="D68" s="152"/>
      <c r="E68" s="152"/>
      <c r="F68" s="152"/>
      <c r="G68" s="152"/>
      <c r="H68" s="152"/>
      <c r="I68" s="273"/>
      <c r="J68" s="152"/>
      <c r="K68" s="152">
        <v>35</v>
      </c>
      <c r="L68" s="40"/>
    </row>
    <row r="69" spans="1:12" s="35" customFormat="1" ht="27" customHeight="1">
      <c r="A69" s="153" t="s">
        <v>790</v>
      </c>
      <c r="B69" s="155"/>
      <c r="C69" s="154">
        <v>203599</v>
      </c>
      <c r="D69" s="156">
        <v>0</v>
      </c>
      <c r="E69" s="156">
        <v>0</v>
      </c>
      <c r="F69" s="156">
        <v>0</v>
      </c>
      <c r="G69" s="156">
        <v>0</v>
      </c>
      <c r="H69" s="156">
        <v>215</v>
      </c>
      <c r="I69" s="324">
        <f>ROUND(SUM(FTSEHRI[[#This Row],[Prof &amp; Special-Prof Headcount]],FTSEHRI[[#This Row],[Undergraduate]]/30,FTSEHRI[[#This Row],[Master''s¹]]/24,FTSEHRI[[#This Row],[Doctoral]]/18,),2)</f>
        <v>215</v>
      </c>
      <c r="J69" s="156">
        <v>215</v>
      </c>
      <c r="K69" s="156"/>
      <c r="L69" s="40"/>
    </row>
    <row r="70" spans="1:12" s="35" customFormat="1" ht="27" customHeight="1">
      <c r="A70" s="153" t="s">
        <v>769</v>
      </c>
      <c r="B70" s="155"/>
      <c r="C70" s="154">
        <v>303599</v>
      </c>
      <c r="D70" s="156">
        <v>0</v>
      </c>
      <c r="E70" s="156">
        <v>0</v>
      </c>
      <c r="F70" s="156">
        <v>0</v>
      </c>
      <c r="G70" s="156">
        <v>0</v>
      </c>
      <c r="H70" s="156">
        <v>27</v>
      </c>
      <c r="I70" s="324">
        <f>ROUND(SUM(FTSEHRI[[#This Row],[Prof &amp; Special-Prof Headcount]],FTSEHRI[[#This Row],[Undergraduate]]/30,FTSEHRI[[#This Row],[Master''s¹]]/24,FTSEHRI[[#This Row],[Doctoral]]/18,),2)</f>
        <v>27</v>
      </c>
      <c r="J70" s="156">
        <v>27</v>
      </c>
      <c r="K70" s="156"/>
      <c r="L70" s="40"/>
    </row>
    <row r="71" spans="1:12" s="35" customFormat="1" ht="27" customHeight="1">
      <c r="A71" s="149" t="s">
        <v>837</v>
      </c>
      <c r="B71" s="151">
        <v>510</v>
      </c>
      <c r="C71" s="150">
        <v>203658</v>
      </c>
      <c r="D71" s="152">
        <v>0</v>
      </c>
      <c r="E71" s="152">
        <v>0</v>
      </c>
      <c r="F71" s="152">
        <v>0</v>
      </c>
      <c r="G71" s="152">
        <v>0</v>
      </c>
      <c r="H71" s="152">
        <v>199</v>
      </c>
      <c r="I71" s="273">
        <f>ROUND(SUM(FTSEHRI[[#This Row],[Prof &amp; Special-Prof Headcount]],FTSEHRI[[#This Row],[Undergraduate]]/30,FTSEHRI[[#This Row],[Master''s¹]]/24,FTSEHRI[[#This Row],[Doctoral]]/18,),2)</f>
        <v>199</v>
      </c>
      <c r="J71" s="152">
        <v>199</v>
      </c>
      <c r="K71" s="152">
        <v>40</v>
      </c>
      <c r="L71" s="40"/>
    </row>
    <row r="72" spans="1:12" s="35" customFormat="1" ht="27" customHeight="1">
      <c r="A72" s="149" t="s">
        <v>838</v>
      </c>
      <c r="B72" s="151">
        <v>520</v>
      </c>
      <c r="C72" s="150">
        <v>203652</v>
      </c>
      <c r="D72" s="152">
        <v>0</v>
      </c>
      <c r="E72" s="152">
        <v>0</v>
      </c>
      <c r="F72" s="152">
        <v>0</v>
      </c>
      <c r="G72" s="152">
        <v>0</v>
      </c>
      <c r="H72" s="152">
        <v>120</v>
      </c>
      <c r="I72" s="273">
        <f>ROUND(SUM(FTSEHRI[[#This Row],[Prof &amp; Special-Prof Headcount]],FTSEHRI[[#This Row],[Undergraduate]]/30,FTSEHRI[[#This Row],[Master''s¹]]/24,FTSEHRI[[#This Row],[Doctoral]]/18,),2)</f>
        <v>120</v>
      </c>
      <c r="J72" s="152">
        <v>120</v>
      </c>
      <c r="K72" s="336" t="s">
        <v>439</v>
      </c>
      <c r="L72" s="40"/>
    </row>
    <row r="73" spans="1:12" s="35" customFormat="1" ht="27" customHeight="1">
      <c r="A73" s="149" t="s">
        <v>398</v>
      </c>
      <c r="B73" s="151">
        <v>530</v>
      </c>
      <c r="C73" s="150">
        <v>103606</v>
      </c>
      <c r="D73" s="152">
        <v>0</v>
      </c>
      <c r="E73" s="152">
        <v>0</v>
      </c>
      <c r="F73" s="152">
        <v>0</v>
      </c>
      <c r="G73" s="152">
        <v>0</v>
      </c>
      <c r="H73" s="152">
        <v>330</v>
      </c>
      <c r="I73" s="273">
        <f>ROUND(SUM(FTSEHRI[[#This Row],[Prof &amp; Special-Prof Headcount]],FTSEHRI[[#This Row],[Undergraduate]]/30,FTSEHRI[[#This Row],[Master''s¹]]/24,FTSEHRI[[#This Row],[Doctoral]]/18,),2)</f>
        <v>330</v>
      </c>
      <c r="J73" s="152">
        <v>330</v>
      </c>
      <c r="K73" s="152">
        <v>18</v>
      </c>
      <c r="L73" s="40"/>
    </row>
    <row r="74" spans="1:12" s="35" customFormat="1" ht="27" customHeight="1">
      <c r="A74" s="221"/>
      <c r="B74" s="222"/>
      <c r="C74" s="223"/>
      <c r="D74" s="325">
        <f>SUBTOTAL(109,FTSEHRI[Undergraduate])</f>
        <v>179731</v>
      </c>
      <c r="E74" s="325">
        <f>SUBTOTAL(109,FTSEHRI[Master''s¹])</f>
        <v>239205</v>
      </c>
      <c r="F74" s="325">
        <f>SUBTOTAL(109,FTSEHRI[Doctoral])</f>
        <v>83607</v>
      </c>
      <c r="G74" s="325">
        <f>SUBTOTAL(109,FTSEHRI[Total])</f>
        <v>502543</v>
      </c>
      <c r="H74" s="325">
        <f>SUBTOTAL(109,FTSEHRI[Prof &amp; Special-Prof Headcount])</f>
        <v>9063</v>
      </c>
      <c r="I74" s="325">
        <f>SUBTOTAL(109,FTSEHRI[Full-Time Student
Equivalents²])</f>
        <v>29665.769999999997</v>
      </c>
      <c r="J74" s="325">
        <f>SUBTOTAL(109,FTSEHRI[State Funded 
FTSE³])</f>
        <v>29523.699999999993</v>
      </c>
      <c r="K74" s="326"/>
      <c r="L74" s="40"/>
    </row>
    <row r="75" spans="1:12" s="35" customFormat="1" ht="27" customHeight="1">
      <c r="A75" s="466" t="s">
        <v>789</v>
      </c>
      <c r="B75" s="466"/>
      <c r="C75" s="466"/>
      <c r="D75" s="466"/>
      <c r="E75" s="466"/>
      <c r="F75" s="466"/>
      <c r="G75" s="466"/>
      <c r="H75" s="466"/>
      <c r="I75" s="466"/>
      <c r="J75" s="466"/>
      <c r="K75" s="466"/>
      <c r="L75" s="40"/>
    </row>
    <row r="76" spans="1:12" s="35" customFormat="1" ht="75" customHeight="1">
      <c r="A76" s="474" t="s">
        <v>1005</v>
      </c>
      <c r="B76" s="474"/>
      <c r="C76" s="474"/>
      <c r="D76" s="474"/>
      <c r="E76" s="474"/>
      <c r="F76" s="474"/>
      <c r="G76" s="474"/>
      <c r="H76" s="474"/>
      <c r="I76" s="474"/>
      <c r="J76" s="474"/>
      <c r="K76" s="474"/>
      <c r="L76" s="40"/>
    </row>
    <row r="77" spans="1:12" s="35" customFormat="1" ht="27" customHeight="1">
      <c r="A77" s="466" t="s">
        <v>955</v>
      </c>
      <c r="B77" s="466"/>
      <c r="C77" s="466"/>
      <c r="D77" s="466"/>
      <c r="E77" s="466"/>
      <c r="F77" s="466"/>
      <c r="G77" s="466"/>
      <c r="H77" s="466"/>
      <c r="I77" s="466"/>
      <c r="J77" s="466"/>
      <c r="K77" s="466"/>
      <c r="L77" s="40"/>
    </row>
    <row r="78" spans="1:12" s="35" customFormat="1" ht="27" customHeight="1">
      <c r="A78" s="466" t="s">
        <v>986</v>
      </c>
      <c r="B78" s="466"/>
      <c r="C78" s="466"/>
      <c r="D78" s="466"/>
      <c r="E78" s="466"/>
      <c r="F78" s="466"/>
      <c r="G78" s="466"/>
      <c r="H78" s="466"/>
      <c r="I78" s="466"/>
      <c r="J78" s="466"/>
      <c r="K78" s="466"/>
      <c r="L78" s="40"/>
    </row>
    <row r="79" spans="1:12" s="35" customFormat="1" ht="27" customHeight="1">
      <c r="A79" s="157"/>
      <c r="B79" s="157"/>
      <c r="C79" s="157"/>
      <c r="D79" s="157"/>
      <c r="E79" s="157"/>
      <c r="F79" s="157"/>
      <c r="G79" s="157"/>
      <c r="H79" s="157"/>
      <c r="I79" s="157"/>
      <c r="J79" s="40"/>
      <c r="K79" s="40"/>
      <c r="L79" s="40"/>
    </row>
    <row r="80" spans="1:12" s="35" customFormat="1" ht="21">
      <c r="A80" s="440" t="s">
        <v>992</v>
      </c>
      <c r="B80" s="440"/>
      <c r="C80" s="440"/>
      <c r="D80" s="440"/>
      <c r="E80" s="440"/>
      <c r="F80" s="440"/>
      <c r="G80" s="440"/>
      <c r="H80" s="440"/>
      <c r="I80" s="440"/>
      <c r="J80" s="440"/>
      <c r="K80" s="40"/>
      <c r="L80" s="40"/>
    </row>
    <row r="81" spans="1:12" s="35" customFormat="1" ht="17.399999999999999">
      <c r="A81" s="438">
        <f>Hidden!$A$4</f>
        <v>45412</v>
      </c>
      <c r="B81" s="438"/>
      <c r="C81" s="438"/>
      <c r="D81" s="438"/>
      <c r="E81" s="438"/>
      <c r="F81" s="438"/>
      <c r="G81" s="438"/>
      <c r="H81" s="438"/>
      <c r="I81" s="438"/>
      <c r="J81" s="438"/>
      <c r="K81" s="40"/>
      <c r="L81" s="40"/>
    </row>
    <row r="82" spans="1:12" s="35" customFormat="1" ht="15">
      <c r="A82" s="100"/>
      <c r="B82" s="100"/>
      <c r="C82" s="100"/>
      <c r="D82" s="100"/>
      <c r="E82" s="100"/>
      <c r="F82" s="100"/>
      <c r="G82" s="100"/>
      <c r="H82" s="100"/>
      <c r="I82" s="100"/>
      <c r="J82" s="40"/>
      <c r="K82" s="40"/>
      <c r="L82" s="40"/>
    </row>
    <row r="83" spans="1:12" s="35" customFormat="1" ht="32.4">
      <c r="A83" s="35" t="s">
        <v>644</v>
      </c>
      <c r="B83" s="158" t="s">
        <v>794</v>
      </c>
      <c r="C83" s="37" t="s">
        <v>2</v>
      </c>
      <c r="D83" s="102" t="s">
        <v>792</v>
      </c>
      <c r="E83" s="102" t="s">
        <v>793</v>
      </c>
      <c r="F83" s="37" t="s">
        <v>752</v>
      </c>
      <c r="G83" s="102" t="s">
        <v>753</v>
      </c>
      <c r="H83" s="102" t="s">
        <v>893</v>
      </c>
      <c r="I83" s="102" t="s">
        <v>795</v>
      </c>
      <c r="J83" s="335" t="s">
        <v>960</v>
      </c>
      <c r="K83" s="40"/>
      <c r="L83" s="40"/>
    </row>
    <row r="84" spans="1:12" s="35" customFormat="1" ht="27" customHeight="1">
      <c r="A84" s="35" t="s">
        <v>63</v>
      </c>
      <c r="B84" s="148">
        <v>490</v>
      </c>
      <c r="C84" s="159">
        <v>36273</v>
      </c>
      <c r="D84" s="160">
        <v>43648</v>
      </c>
      <c r="E84" s="160">
        <v>38879</v>
      </c>
      <c r="F84" s="160">
        <v>0</v>
      </c>
      <c r="G84" s="160">
        <v>276269</v>
      </c>
      <c r="H84" s="327">
        <f>ROUND(SUM(FTSETSTC[[#This Row],[Academic
 SCH]],FTSETSTC[[#This Row],[Technical
 SCH]],FTSETSTC[[#This Row],[BAT SCH]])/30,2)+ROUND(FTSETSTC[[#This Row],[Continuing Ed. SCH]]/900,2)</f>
        <v>3057.87</v>
      </c>
      <c r="I84" s="160">
        <v>3014.07</v>
      </c>
      <c r="J84" s="134">
        <v>125</v>
      </c>
      <c r="K84" s="40"/>
      <c r="L84" s="40"/>
    </row>
    <row r="85" spans="1:12" s="35" customFormat="1" ht="27" customHeight="1">
      <c r="A85" s="35" t="s">
        <v>64</v>
      </c>
      <c r="B85" s="148">
        <v>500</v>
      </c>
      <c r="C85" s="159">
        <v>23582</v>
      </c>
      <c r="D85" s="160">
        <v>29896</v>
      </c>
      <c r="E85" s="160">
        <v>17235</v>
      </c>
      <c r="F85" s="160">
        <v>0</v>
      </c>
      <c r="G85" s="160">
        <v>49145</v>
      </c>
      <c r="H85" s="327">
        <f>ROUND(SUM(FTSETSTC[[#This Row],[Academic
 SCH]],FTSETSTC[[#This Row],[Technical
 SCH]],FTSETSTC[[#This Row],[BAT SCH]])/30,2)+ROUND(FTSETSTC[[#This Row],[Continuing Ed. SCH]]/900,2)</f>
        <v>1625.6399999999999</v>
      </c>
      <c r="I85" s="160">
        <v>1603.27</v>
      </c>
      <c r="J85" s="134">
        <v>82</v>
      </c>
      <c r="K85" s="40"/>
      <c r="L85" s="40"/>
    </row>
    <row r="86" spans="1:12" s="35" customFormat="1" ht="27" customHeight="1">
      <c r="A86" s="35" t="s">
        <v>65</v>
      </c>
      <c r="B86" s="148">
        <v>510</v>
      </c>
      <c r="C86" s="159">
        <v>23485</v>
      </c>
      <c r="D86" s="160">
        <v>31310</v>
      </c>
      <c r="E86" s="160">
        <v>17571</v>
      </c>
      <c r="F86" s="160">
        <v>0</v>
      </c>
      <c r="G86" s="160">
        <v>183668</v>
      </c>
      <c r="H86" s="327">
        <f>ROUND(SUM(FTSETSTC[[#This Row],[Academic
 SCH]],FTSETSTC[[#This Row],[Technical
 SCH]],FTSETSTC[[#This Row],[BAT SCH]])/30,2)+ROUND(FTSETSTC[[#This Row],[Continuing Ed. SCH]]/900,2)</f>
        <v>1833.4499999999998</v>
      </c>
      <c r="I86" s="160">
        <v>1811.55</v>
      </c>
      <c r="J86" s="134">
        <v>82</v>
      </c>
      <c r="K86" s="40"/>
      <c r="L86" s="40"/>
    </row>
    <row r="87" spans="1:12" s="35" customFormat="1" ht="27" customHeight="1">
      <c r="A87" s="35" t="s">
        <v>66</v>
      </c>
      <c r="B87" s="148">
        <v>520</v>
      </c>
      <c r="C87" s="159">
        <v>9225</v>
      </c>
      <c r="D87" s="160">
        <v>35137</v>
      </c>
      <c r="E87" s="160">
        <v>31234</v>
      </c>
      <c r="F87" s="160">
        <v>0</v>
      </c>
      <c r="G87" s="160">
        <v>44910</v>
      </c>
      <c r="H87" s="327">
        <f>ROUND(SUM(FTSETSTC[[#This Row],[Academic
 SCH]],FTSETSTC[[#This Row],[Technical
 SCH]],FTSETSTC[[#This Row],[BAT SCH]])/30,2)+ROUND(FTSETSTC[[#This Row],[Continuing Ed. SCH]]/900,2)</f>
        <v>2262.27</v>
      </c>
      <c r="I87" s="160">
        <v>2219.33</v>
      </c>
      <c r="J87" s="134">
        <v>129</v>
      </c>
      <c r="K87" s="40"/>
      <c r="L87" s="40"/>
    </row>
    <row r="88" spans="1:12" s="35" customFormat="1" ht="27" customHeight="1">
      <c r="A88" s="35" t="s">
        <v>67</v>
      </c>
      <c r="B88" s="148">
        <v>530</v>
      </c>
      <c r="C88" s="159">
        <v>9932</v>
      </c>
      <c r="D88" s="160">
        <v>7394.5</v>
      </c>
      <c r="E88" s="160">
        <v>14739</v>
      </c>
      <c r="F88" s="160">
        <v>0</v>
      </c>
      <c r="G88" s="160">
        <v>11240</v>
      </c>
      <c r="H88" s="327">
        <f>ROUND(SUM(FTSETSTC[[#This Row],[Academic
 SCH]],FTSETSTC[[#This Row],[Technical
 SCH]],FTSETSTC[[#This Row],[BAT SCH]])/30,2)+ROUND(FTSETSTC[[#This Row],[Continuing Ed. SCH]]/900,2)</f>
        <v>750.27</v>
      </c>
      <c r="I88" s="160">
        <v>742.21</v>
      </c>
      <c r="J88" s="134">
        <v>52</v>
      </c>
      <c r="K88" s="40"/>
      <c r="L88" s="40"/>
    </row>
    <row r="89" spans="1:12" s="35" customFormat="1" ht="27" customHeight="1">
      <c r="A89" s="35" t="s">
        <v>68</v>
      </c>
      <c r="B89" s="148">
        <v>540</v>
      </c>
      <c r="C89" s="159">
        <v>33965</v>
      </c>
      <c r="D89" s="160">
        <v>2163</v>
      </c>
      <c r="E89" s="160">
        <v>10474</v>
      </c>
      <c r="F89" s="160">
        <v>0</v>
      </c>
      <c r="G89" s="160">
        <v>5776</v>
      </c>
      <c r="H89" s="327">
        <f>ROUND(SUM(FTSETSTC[[#This Row],[Academic
 SCH]],FTSETSTC[[#This Row],[Technical
 SCH]],FTSETSTC[[#This Row],[BAT SCH]])/30,2)+ROUND(FTSETSTC[[#This Row],[Continuing Ed. SCH]]/900,2)</f>
        <v>427.65000000000003</v>
      </c>
      <c r="I89" s="160">
        <v>425.25</v>
      </c>
      <c r="J89" s="134">
        <v>28</v>
      </c>
      <c r="K89" s="40"/>
      <c r="L89" s="40"/>
    </row>
    <row r="90" spans="1:12" s="35" customFormat="1" ht="27" customHeight="1">
      <c r="A90" s="35" t="s">
        <v>69</v>
      </c>
      <c r="B90" s="148">
        <v>550</v>
      </c>
      <c r="C90" s="159">
        <v>3634</v>
      </c>
      <c r="D90" s="160">
        <v>14208.5</v>
      </c>
      <c r="E90" s="160">
        <v>110593</v>
      </c>
      <c r="F90" s="160">
        <v>0</v>
      </c>
      <c r="G90" s="160">
        <v>176</v>
      </c>
      <c r="H90" s="327">
        <f>ROUND(SUM(FTSETSTC[[#This Row],[Academic
 SCH]],FTSETSTC[[#This Row],[Technical
 SCH]],FTSETSTC[[#This Row],[BAT SCH]])/30,2)+ROUND(FTSETSTC[[#This Row],[Continuing Ed. SCH]]/900,2)</f>
        <v>4160.25</v>
      </c>
      <c r="I90" s="160">
        <v>4062.78</v>
      </c>
      <c r="J90" s="134">
        <v>170</v>
      </c>
      <c r="K90" s="40"/>
      <c r="L90" s="40"/>
    </row>
    <row r="91" spans="1:12" s="35" customFormat="1" ht="27" customHeight="1">
      <c r="A91" s="35" t="s">
        <v>70</v>
      </c>
      <c r="B91" s="148">
        <v>552</v>
      </c>
      <c r="C91" s="159">
        <v>133965</v>
      </c>
      <c r="D91" s="160">
        <v>77</v>
      </c>
      <c r="E91" s="160">
        <v>6562</v>
      </c>
      <c r="F91" s="160">
        <v>0</v>
      </c>
      <c r="G91" s="160">
        <v>7200</v>
      </c>
      <c r="H91" s="327">
        <f>ROUND(SUM(FTSETSTC[[#This Row],[Academic
 SCH]],FTSETSTC[[#This Row],[Technical
 SCH]],FTSETSTC[[#This Row],[BAT SCH]])/30,2)+ROUND(FTSETSTC[[#This Row],[Continuing Ed. SCH]]/900,2)</f>
        <v>229.3</v>
      </c>
      <c r="I91" s="160">
        <v>228.47</v>
      </c>
      <c r="J91" s="134">
        <v>90</v>
      </c>
      <c r="K91" s="40"/>
      <c r="L91" s="40"/>
    </row>
    <row r="92" spans="1:12" s="35" customFormat="1" ht="27" customHeight="1">
      <c r="A92" s="35" t="s">
        <v>71</v>
      </c>
      <c r="B92" s="148">
        <v>553</v>
      </c>
      <c r="C92" s="159">
        <v>203634</v>
      </c>
      <c r="D92" s="160">
        <v>0</v>
      </c>
      <c r="E92" s="160">
        <v>15194</v>
      </c>
      <c r="F92" s="160">
        <v>0</v>
      </c>
      <c r="G92" s="160">
        <v>5240</v>
      </c>
      <c r="H92" s="327">
        <f>ROUND(SUM(FTSETSTC[[#This Row],[Academic
 SCH]],FTSETSTC[[#This Row],[Technical
 SCH]],FTSETSTC[[#This Row],[BAT SCH]])/30,2)+ROUND(FTSETSTC[[#This Row],[Continuing Ed. SCH]]/900,2)</f>
        <v>512.29000000000008</v>
      </c>
      <c r="I92" s="160">
        <v>506.22</v>
      </c>
      <c r="J92" s="134">
        <v>28</v>
      </c>
      <c r="K92" s="40"/>
      <c r="L92" s="40"/>
    </row>
    <row r="93" spans="1:12" s="35" customFormat="1" ht="27" customHeight="1">
      <c r="A93" s="221"/>
      <c r="B93" s="222"/>
      <c r="C93" s="223"/>
      <c r="D93" s="328">
        <f>SUBTOTAL(109,FTSETSTC[Academic
 SCH])</f>
        <v>163834</v>
      </c>
      <c r="E93" s="328">
        <f>SUBTOTAL(109,FTSETSTC[Technical
 SCH])</f>
        <v>262481</v>
      </c>
      <c r="F93" s="328">
        <f>SUBTOTAL(109,FTSETSTC[BAT SCH])</f>
        <v>0</v>
      </c>
      <c r="G93" s="328">
        <f>SUBTOTAL(109,FTSETSTC[Continuing Ed. SCH])</f>
        <v>583624</v>
      </c>
      <c r="H93" s="328">
        <f>SUBTOTAL(109,FTSETSTC[Full-Time Student
Equivalents1])</f>
        <v>14858.99</v>
      </c>
      <c r="I93" s="328">
        <f>SUBTOTAL(109,FTSETSTC[State Funded 
FTSE²])</f>
        <v>14613.15</v>
      </c>
      <c r="J93" s="329">
        <f>SUBTOTAL(109,FTSETSTC[Fall 
Faculty FTE])</f>
        <v>786</v>
      </c>
      <c r="K93" s="40"/>
      <c r="L93" s="40"/>
    </row>
    <row r="94" spans="1:12" s="35" customFormat="1" ht="27" customHeight="1">
      <c r="A94" s="466" t="s">
        <v>985</v>
      </c>
      <c r="B94" s="466"/>
      <c r="C94" s="466"/>
      <c r="D94" s="466"/>
      <c r="E94" s="466"/>
      <c r="F94" s="466"/>
      <c r="G94" s="466"/>
      <c r="H94" s="466"/>
      <c r="I94" s="466"/>
      <c r="J94" s="466"/>
      <c r="K94" s="40"/>
      <c r="L94" s="40"/>
    </row>
    <row r="95" spans="1:12" s="35" customFormat="1" ht="27" customHeight="1">
      <c r="A95" s="466" t="s">
        <v>984</v>
      </c>
      <c r="B95" s="466"/>
      <c r="C95" s="466"/>
      <c r="D95" s="466"/>
      <c r="E95" s="466"/>
      <c r="F95" s="466"/>
      <c r="G95" s="466"/>
      <c r="H95" s="466"/>
      <c r="I95" s="466"/>
      <c r="J95" s="466"/>
      <c r="K95" s="40"/>
      <c r="L95" s="40"/>
    </row>
    <row r="96" spans="1:12" s="35" customFormat="1" ht="27" customHeight="1">
      <c r="A96" s="466" t="s">
        <v>987</v>
      </c>
      <c r="B96" s="466"/>
      <c r="C96" s="466"/>
      <c r="D96" s="466"/>
      <c r="E96" s="466"/>
      <c r="F96" s="466"/>
      <c r="G96" s="466"/>
      <c r="H96" s="466"/>
      <c r="I96" s="466"/>
      <c r="J96" s="466"/>
      <c r="K96" s="40"/>
      <c r="L96" s="40"/>
    </row>
    <row r="97" spans="1:12" s="35" customFormat="1" ht="27" customHeight="1">
      <c r="A97" s="40"/>
      <c r="B97" s="40"/>
      <c r="C97" s="40"/>
      <c r="D97" s="40"/>
      <c r="E97" s="40"/>
      <c r="F97" s="40"/>
      <c r="G97" s="40"/>
      <c r="H97" s="40"/>
      <c r="I97" s="40"/>
      <c r="J97" s="40"/>
      <c r="K97" s="40"/>
      <c r="L97" s="40"/>
    </row>
    <row r="98" spans="1:12" s="163" customFormat="1" ht="21">
      <c r="A98" s="440" t="s">
        <v>0</v>
      </c>
      <c r="B98" s="440"/>
      <c r="C98" s="440"/>
      <c r="D98" s="440"/>
      <c r="E98" s="440"/>
      <c r="F98" s="440"/>
      <c r="G98" s="440"/>
      <c r="H98" s="440"/>
      <c r="I98" s="440"/>
      <c r="J98" s="440"/>
      <c r="K98" s="124"/>
      <c r="L98" s="162"/>
    </row>
    <row r="99" spans="1:12" s="163" customFormat="1" ht="17.399999999999999">
      <c r="A99" s="438">
        <f>Hidden!$A$4</f>
        <v>45412</v>
      </c>
      <c r="B99" s="438"/>
      <c r="C99" s="438"/>
      <c r="D99" s="438"/>
      <c r="E99" s="438"/>
      <c r="F99" s="438"/>
      <c r="G99" s="438"/>
      <c r="H99" s="438"/>
      <c r="I99" s="438"/>
      <c r="J99" s="438"/>
      <c r="K99" s="123"/>
      <c r="L99" s="162"/>
    </row>
    <row r="100" spans="1:12" s="35" customFormat="1" ht="15">
      <c r="A100" s="40"/>
      <c r="B100" s="161"/>
      <c r="C100" s="40"/>
      <c r="D100" s="40"/>
      <c r="E100" s="40"/>
      <c r="F100" s="40"/>
      <c r="G100" s="40"/>
      <c r="H100" s="40"/>
      <c r="I100" s="40"/>
      <c r="J100" s="40"/>
      <c r="K100" s="40"/>
      <c r="L100" s="40"/>
    </row>
    <row r="101" spans="1:12" s="35" customFormat="1" ht="35.4">
      <c r="A101" s="35" t="s">
        <v>644</v>
      </c>
      <c r="B101" s="158" t="s">
        <v>794</v>
      </c>
      <c r="C101" s="37" t="s">
        <v>2</v>
      </c>
      <c r="D101" s="37" t="s">
        <v>788</v>
      </c>
      <c r="E101" s="37" t="s">
        <v>697</v>
      </c>
      <c r="F101" s="37" t="s">
        <v>696</v>
      </c>
      <c r="G101" s="102" t="s">
        <v>791</v>
      </c>
      <c r="H101" s="37" t="s">
        <v>701</v>
      </c>
      <c r="I101" s="102" t="s">
        <v>963</v>
      </c>
      <c r="J101" s="102" t="s">
        <v>962</v>
      </c>
      <c r="K101" s="102" t="s">
        <v>961</v>
      </c>
      <c r="L101" s="40"/>
    </row>
    <row r="102" spans="1:12" s="35" customFormat="1" ht="27" customHeight="1">
      <c r="A102" s="35" t="s">
        <v>20</v>
      </c>
      <c r="B102" s="148">
        <v>40</v>
      </c>
      <c r="C102" s="159">
        <v>3656</v>
      </c>
      <c r="D102" s="104">
        <v>743630</v>
      </c>
      <c r="E102" s="104">
        <v>201776</v>
      </c>
      <c r="F102" s="104">
        <v>16054</v>
      </c>
      <c r="G102" s="104">
        <v>0</v>
      </c>
      <c r="H102" s="104">
        <v>0</v>
      </c>
      <c r="I102" s="272">
        <f>ROUND(SUM(FTSEUNIV[[#This Row],[Undergraduate]]/30,FTSEUNIV[[#This Row],[Master''s]]/24,FTSEUNIV[[#This Row],[Doctoral]]/18,FTSEUNIV[[#This Row],[Professional &amp; Special-Prof]]/24,FTSEUNIV[[#This Row],[Optometry]]/34),2)</f>
        <v>34086.89</v>
      </c>
      <c r="J102" s="104">
        <v>31775.11</v>
      </c>
      <c r="K102" s="104">
        <v>2216</v>
      </c>
      <c r="L102" s="40"/>
    </row>
    <row r="103" spans="1:12" s="35" customFormat="1" ht="27" customHeight="1">
      <c r="A103" s="35" t="s">
        <v>714</v>
      </c>
      <c r="B103" s="148">
        <v>51</v>
      </c>
      <c r="C103" s="159">
        <v>3658</v>
      </c>
      <c r="D103" s="104">
        <v>1143921</v>
      </c>
      <c r="E103" s="104">
        <v>105137</v>
      </c>
      <c r="F103" s="104">
        <v>79191</v>
      </c>
      <c r="G103" s="104">
        <v>47404</v>
      </c>
      <c r="H103" s="104">
        <v>0</v>
      </c>
      <c r="I103" s="272">
        <f>ROUND(SUM(FTSEUNIV[[#This Row],[Undergraduate]]/30,FTSEUNIV[[#This Row],[Master''s]]/24,FTSEUNIV[[#This Row],[Doctoral]]/18,FTSEUNIV[[#This Row],[Professional &amp; Special-Prof]]/24,FTSEUNIV[[#This Row],[Optometry]]/34),2)</f>
        <v>48886.080000000002</v>
      </c>
      <c r="J103" s="104">
        <v>48577.599999999999</v>
      </c>
      <c r="K103" s="104">
        <v>11434</v>
      </c>
      <c r="L103" s="40"/>
    </row>
    <row r="104" spans="1:12" s="35" customFormat="1" ht="27" customHeight="1">
      <c r="A104" s="35" t="s">
        <v>21</v>
      </c>
      <c r="B104" s="148">
        <v>60</v>
      </c>
      <c r="C104" s="159">
        <v>9741</v>
      </c>
      <c r="D104" s="104">
        <v>572434</v>
      </c>
      <c r="E104" s="104">
        <v>162328</v>
      </c>
      <c r="F104" s="104">
        <v>26029</v>
      </c>
      <c r="G104" s="104">
        <v>949</v>
      </c>
      <c r="H104" s="104">
        <v>0</v>
      </c>
      <c r="I104" s="272">
        <f>ROUND(SUM(FTSEUNIV[[#This Row],[Undergraduate]]/30,FTSEUNIV[[#This Row],[Master''s]]/24,FTSEUNIV[[#This Row],[Doctoral]]/18,FTSEUNIV[[#This Row],[Professional &amp; Special-Prof]]/24,FTSEUNIV[[#This Row],[Optometry]]/34),2)</f>
        <v>27330.400000000001</v>
      </c>
      <c r="J104" s="104">
        <v>26449.279999999999</v>
      </c>
      <c r="K104" s="104">
        <v>2015</v>
      </c>
      <c r="L104" s="40"/>
    </row>
    <row r="105" spans="1:12" s="35" customFormat="1" ht="27" customHeight="1">
      <c r="A105" s="35" t="s">
        <v>22</v>
      </c>
      <c r="B105" s="148">
        <v>70</v>
      </c>
      <c r="C105" s="159">
        <v>3661</v>
      </c>
      <c r="D105" s="104">
        <v>495410.62999999692</v>
      </c>
      <c r="E105" s="104">
        <v>46923.5</v>
      </c>
      <c r="F105" s="104">
        <v>11505</v>
      </c>
      <c r="G105" s="104">
        <v>10574</v>
      </c>
      <c r="H105" s="104">
        <v>0</v>
      </c>
      <c r="I105" s="272">
        <f>ROUND(SUM(FTSEUNIV[[#This Row],[Undergraduate]]/30,FTSEUNIV[[#This Row],[Master''s]]/24,FTSEUNIV[[#This Row],[Doctoral]]/18,FTSEUNIV[[#This Row],[Professional &amp; Special-Prof]]/24,FTSEUNIV[[#This Row],[Optometry]]/34),2)</f>
        <v>19548.580000000002</v>
      </c>
      <c r="J105" s="104">
        <v>18970.060000000001</v>
      </c>
      <c r="K105" s="104">
        <v>2379</v>
      </c>
      <c r="L105" s="40"/>
    </row>
    <row r="106" spans="1:12" s="35" customFormat="1" ht="27" customHeight="1">
      <c r="A106" s="35" t="s">
        <v>715</v>
      </c>
      <c r="B106" s="148">
        <v>91</v>
      </c>
      <c r="C106" s="159">
        <v>3599</v>
      </c>
      <c r="D106" s="104">
        <v>706015</v>
      </c>
      <c r="E106" s="104">
        <v>82220</v>
      </c>
      <c r="F106" s="104">
        <v>7348</v>
      </c>
      <c r="G106" s="104">
        <v>0</v>
      </c>
      <c r="H106" s="104">
        <v>0</v>
      </c>
      <c r="I106" s="272">
        <f>ROUND(SUM(FTSEUNIV[[#This Row],[Undergraduate]]/30,FTSEUNIV[[#This Row],[Master''s]]/24,FTSEUNIV[[#This Row],[Doctoral]]/18,FTSEUNIV[[#This Row],[Professional &amp; Special-Prof]]/24,FTSEUNIV[[#This Row],[Optometry]]/34),2)</f>
        <v>27367.89</v>
      </c>
      <c r="J106" s="104">
        <v>26545.72</v>
      </c>
      <c r="K106" s="104">
        <v>2429</v>
      </c>
      <c r="L106" s="40"/>
    </row>
    <row r="107" spans="1:12" s="35" customFormat="1" ht="27" customHeight="1">
      <c r="A107" s="35" t="s">
        <v>23</v>
      </c>
      <c r="B107" s="148">
        <v>100</v>
      </c>
      <c r="C107" s="159">
        <v>9930</v>
      </c>
      <c r="D107" s="104">
        <v>107212</v>
      </c>
      <c r="E107" s="104">
        <v>15623</v>
      </c>
      <c r="F107" s="104">
        <v>0</v>
      </c>
      <c r="G107" s="104">
        <v>0</v>
      </c>
      <c r="H107" s="104">
        <v>0</v>
      </c>
      <c r="I107" s="272">
        <f>ROUND(SUM(FTSEUNIV[[#This Row],[Undergraduate]]/30,FTSEUNIV[[#This Row],[Master''s]]/24,FTSEUNIV[[#This Row],[Doctoral]]/18,FTSEUNIV[[#This Row],[Professional &amp; Special-Prof]]/24,FTSEUNIV[[#This Row],[Optometry]]/34),2)</f>
        <v>4224.6899999999996</v>
      </c>
      <c r="J107" s="104">
        <v>3941.33</v>
      </c>
      <c r="K107" s="104">
        <v>383</v>
      </c>
      <c r="L107" s="40"/>
    </row>
    <row r="108" spans="1:12" s="35" customFormat="1" ht="27" customHeight="1">
      <c r="A108" s="35" t="s">
        <v>24</v>
      </c>
      <c r="B108" s="148">
        <v>110</v>
      </c>
      <c r="C108" s="159">
        <v>10115</v>
      </c>
      <c r="D108" s="104">
        <v>753146</v>
      </c>
      <c r="E108" s="104">
        <v>58943</v>
      </c>
      <c r="F108" s="104">
        <v>14280</v>
      </c>
      <c r="G108" s="104">
        <v>0</v>
      </c>
      <c r="H108" s="104">
        <v>0</v>
      </c>
      <c r="I108" s="272">
        <f>ROUND(SUM(FTSEUNIV[[#This Row],[Undergraduate]]/30,FTSEUNIV[[#This Row],[Master''s]]/24,FTSEUNIV[[#This Row],[Doctoral]]/18,FTSEUNIV[[#This Row],[Professional &amp; Special-Prof]]/24,FTSEUNIV[[#This Row],[Optometry]]/34),2)</f>
        <v>28354.16</v>
      </c>
      <c r="J108" s="104">
        <v>27250.09</v>
      </c>
      <c r="K108" s="104">
        <v>2336</v>
      </c>
      <c r="L108" s="40"/>
    </row>
    <row r="109" spans="1:12" s="35" customFormat="1" ht="27" customHeight="1">
      <c r="A109" s="35" t="s">
        <v>25</v>
      </c>
      <c r="B109" s="148">
        <v>120</v>
      </c>
      <c r="C109" s="159">
        <v>11163</v>
      </c>
      <c r="D109" s="104">
        <v>178486</v>
      </c>
      <c r="E109" s="104">
        <v>34127</v>
      </c>
      <c r="F109" s="104">
        <v>2594</v>
      </c>
      <c r="G109" s="104">
        <v>474</v>
      </c>
      <c r="H109" s="104">
        <v>0</v>
      </c>
      <c r="I109" s="272">
        <f>ROUND(SUM(FTSEUNIV[[#This Row],[Undergraduate]]/30,FTSEUNIV[[#This Row],[Master''s]]/24,FTSEUNIV[[#This Row],[Doctoral]]/18,FTSEUNIV[[#This Row],[Professional &amp; Special-Prof]]/24,FTSEUNIV[[#This Row],[Optometry]]/34),2)</f>
        <v>7535.35</v>
      </c>
      <c r="J109" s="104">
        <v>7359.26</v>
      </c>
      <c r="K109" s="104">
        <v>831</v>
      </c>
      <c r="L109" s="40"/>
    </row>
    <row r="110" spans="1:12" s="35" customFormat="1" ht="27" customHeight="1">
      <c r="A110" s="35" t="s">
        <v>26</v>
      </c>
      <c r="B110" s="148">
        <v>350</v>
      </c>
      <c r="C110" s="159">
        <v>3624</v>
      </c>
      <c r="D110" s="104">
        <v>254804</v>
      </c>
      <c r="E110" s="104">
        <v>22728</v>
      </c>
      <c r="F110" s="104">
        <v>1563</v>
      </c>
      <c r="G110" s="104">
        <v>0</v>
      </c>
      <c r="H110" s="104">
        <v>0</v>
      </c>
      <c r="I110" s="272">
        <f>ROUND(SUM(FTSEUNIV[[#This Row],[Undergraduate]]/30,FTSEUNIV[[#This Row],[Master''s]]/24,FTSEUNIV[[#This Row],[Doctoral]]/18,FTSEUNIV[[#This Row],[Professional &amp; Special-Prof]]/24,FTSEUNIV[[#This Row],[Optometry]]/34),2)</f>
        <v>9527.2999999999993</v>
      </c>
      <c r="J110" s="104">
        <v>9057.67</v>
      </c>
      <c r="K110" s="104">
        <v>1769</v>
      </c>
      <c r="L110" s="40"/>
    </row>
    <row r="111" spans="1:12" s="35" customFormat="1" ht="27" customHeight="1">
      <c r="A111" s="35" t="s">
        <v>27</v>
      </c>
      <c r="B111" s="148">
        <v>130</v>
      </c>
      <c r="C111" s="159">
        <v>3632</v>
      </c>
      <c r="D111" s="104">
        <v>1459154</v>
      </c>
      <c r="E111" s="104">
        <v>143416.5</v>
      </c>
      <c r="F111" s="104">
        <v>78332</v>
      </c>
      <c r="G111" s="104">
        <v>43855.300000001851</v>
      </c>
      <c r="H111" s="104">
        <v>0</v>
      </c>
      <c r="I111" s="272">
        <f>ROUND(SUM(FTSEUNIV[[#This Row],[Undergraduate]]/30,FTSEUNIV[[#This Row],[Master''s]]/24,FTSEUNIV[[#This Row],[Doctoral]]/18,FTSEUNIV[[#This Row],[Professional &amp; Special-Prof]]/24,FTSEUNIV[[#This Row],[Optometry]]/34),2)</f>
        <v>60793.24</v>
      </c>
      <c r="J111" s="104">
        <v>59910.12</v>
      </c>
      <c r="K111" s="104">
        <v>5670</v>
      </c>
      <c r="L111" s="40"/>
    </row>
    <row r="112" spans="1:12" s="35" customFormat="1" ht="27" customHeight="1">
      <c r="A112" s="35" t="s">
        <v>28</v>
      </c>
      <c r="B112" s="148">
        <v>140</v>
      </c>
      <c r="C112" s="159">
        <v>10298</v>
      </c>
      <c r="D112" s="104">
        <v>55093</v>
      </c>
      <c r="E112" s="104">
        <v>2195</v>
      </c>
      <c r="F112" s="104">
        <v>1164</v>
      </c>
      <c r="G112" s="104">
        <v>0</v>
      </c>
      <c r="H112" s="104">
        <v>0</v>
      </c>
      <c r="I112" s="272">
        <f>ROUND(SUM(FTSEUNIV[[#This Row],[Undergraduate]]/30,FTSEUNIV[[#This Row],[Master''s]]/24,FTSEUNIV[[#This Row],[Doctoral]]/18,FTSEUNIV[[#This Row],[Professional &amp; Special-Prof]]/24,FTSEUNIV[[#This Row],[Optometry]]/34),2)</f>
        <v>1992.56</v>
      </c>
      <c r="J112" s="104">
        <v>1943.56</v>
      </c>
      <c r="K112" s="104">
        <v>150</v>
      </c>
      <c r="L112" s="40"/>
    </row>
    <row r="113" spans="1:12" s="35" customFormat="1" ht="27" customHeight="1">
      <c r="A113" s="35" t="s">
        <v>29</v>
      </c>
      <c r="B113" s="148">
        <v>150</v>
      </c>
      <c r="C113" s="159">
        <v>3630</v>
      </c>
      <c r="D113" s="104">
        <v>228214</v>
      </c>
      <c r="E113" s="104">
        <v>15341</v>
      </c>
      <c r="F113" s="104">
        <v>2071</v>
      </c>
      <c r="G113" s="104">
        <v>0</v>
      </c>
      <c r="H113" s="104">
        <v>0</v>
      </c>
      <c r="I113" s="272">
        <f>ROUND(SUM(FTSEUNIV[[#This Row],[Undergraduate]]/30,FTSEUNIV[[#This Row],[Master''s]]/24,FTSEUNIV[[#This Row],[Doctoral]]/18,FTSEUNIV[[#This Row],[Professional &amp; Special-Prof]]/24,FTSEUNIV[[#This Row],[Optometry]]/34),2)</f>
        <v>8361.4</v>
      </c>
      <c r="J113" s="104">
        <v>8110.69</v>
      </c>
      <c r="K113" s="104">
        <v>860</v>
      </c>
      <c r="L113" s="40"/>
    </row>
    <row r="114" spans="1:12" s="35" customFormat="1" ht="27" customHeight="1">
      <c r="A114" s="35" t="s">
        <v>30</v>
      </c>
      <c r="B114" s="148">
        <v>160</v>
      </c>
      <c r="C114" s="159">
        <v>3631</v>
      </c>
      <c r="D114" s="104">
        <v>329027</v>
      </c>
      <c r="E114" s="104">
        <v>33233</v>
      </c>
      <c r="F114" s="104">
        <v>2340</v>
      </c>
      <c r="G114" s="104">
        <v>0</v>
      </c>
      <c r="H114" s="104">
        <v>0</v>
      </c>
      <c r="I114" s="272">
        <f>ROUND(SUM(FTSEUNIV[[#This Row],[Undergraduate]]/30,FTSEUNIV[[#This Row],[Master''s]]/24,FTSEUNIV[[#This Row],[Doctoral]]/18,FTSEUNIV[[#This Row],[Professional &amp; Special-Prof]]/24,FTSEUNIV[[#This Row],[Optometry]]/34),2)</f>
        <v>12482.28</v>
      </c>
      <c r="J114" s="104">
        <v>11954.42</v>
      </c>
      <c r="K114" s="104">
        <v>1613</v>
      </c>
      <c r="L114" s="40"/>
    </row>
    <row r="115" spans="1:12" s="35" customFormat="1" ht="27" customHeight="1">
      <c r="A115" s="35" t="s">
        <v>31</v>
      </c>
      <c r="B115" s="148">
        <v>170</v>
      </c>
      <c r="C115" s="159">
        <v>11161</v>
      </c>
      <c r="D115" s="104">
        <v>214189</v>
      </c>
      <c r="E115" s="104">
        <v>57688</v>
      </c>
      <c r="F115" s="104">
        <v>4195</v>
      </c>
      <c r="G115" s="104">
        <v>0</v>
      </c>
      <c r="H115" s="104">
        <v>0</v>
      </c>
      <c r="I115" s="272">
        <f>ROUND(SUM(FTSEUNIV[[#This Row],[Undergraduate]]/30,FTSEUNIV[[#This Row],[Master''s]]/24,FTSEUNIV[[#This Row],[Doctoral]]/18,FTSEUNIV[[#This Row],[Professional &amp; Special-Prof]]/24,FTSEUNIV[[#This Row],[Optometry]]/34),2)</f>
        <v>9776.36</v>
      </c>
      <c r="J115" s="104">
        <v>9028.66</v>
      </c>
      <c r="K115" s="104">
        <v>1164</v>
      </c>
      <c r="L115" s="40"/>
    </row>
    <row r="116" spans="1:12" s="35" customFormat="1" ht="27" customHeight="1">
      <c r="A116" s="35" t="s">
        <v>32</v>
      </c>
      <c r="B116" s="148">
        <v>180</v>
      </c>
      <c r="C116" s="159">
        <v>3639</v>
      </c>
      <c r="D116" s="104">
        <v>125750</v>
      </c>
      <c r="E116" s="104">
        <v>20968</v>
      </c>
      <c r="F116" s="104">
        <v>2584</v>
      </c>
      <c r="G116" s="104">
        <v>0</v>
      </c>
      <c r="H116" s="104">
        <v>0</v>
      </c>
      <c r="I116" s="272">
        <f>ROUND(SUM(FTSEUNIV[[#This Row],[Undergraduate]]/30,FTSEUNIV[[#This Row],[Master''s]]/24,FTSEUNIV[[#This Row],[Doctoral]]/18,FTSEUNIV[[#This Row],[Professional &amp; Special-Prof]]/24,FTSEUNIV[[#This Row],[Optometry]]/34),2)</f>
        <v>5208.8900000000003</v>
      </c>
      <c r="J116" s="104">
        <v>5009.1899999999996</v>
      </c>
      <c r="K116" s="104">
        <v>1106</v>
      </c>
      <c r="L116" s="40"/>
    </row>
    <row r="117" spans="1:12" s="35" customFormat="1" ht="27" customHeight="1">
      <c r="A117" s="35" t="s">
        <v>33</v>
      </c>
      <c r="B117" s="148">
        <v>190</v>
      </c>
      <c r="C117" s="159">
        <v>9651</v>
      </c>
      <c r="D117" s="104">
        <v>173955</v>
      </c>
      <c r="E117" s="104">
        <v>24383</v>
      </c>
      <c r="F117" s="104">
        <v>598</v>
      </c>
      <c r="G117" s="104">
        <v>0</v>
      </c>
      <c r="H117" s="104">
        <v>0</v>
      </c>
      <c r="I117" s="272">
        <f>ROUND(SUM(FTSEUNIV[[#This Row],[Undergraduate]]/30,FTSEUNIV[[#This Row],[Master''s]]/24,FTSEUNIV[[#This Row],[Doctoral]]/18,FTSEUNIV[[#This Row],[Professional &amp; Special-Prof]]/24,FTSEUNIV[[#This Row],[Optometry]]/34),2)</f>
        <v>6847.68</v>
      </c>
      <c r="J117" s="104">
        <v>6805.35</v>
      </c>
      <c r="K117" s="104">
        <v>472</v>
      </c>
      <c r="L117" s="40"/>
    </row>
    <row r="118" spans="1:12" s="35" customFormat="1" ht="27" customHeight="1">
      <c r="A118" s="35" t="s">
        <v>34</v>
      </c>
      <c r="B118" s="148">
        <v>200</v>
      </c>
      <c r="C118" s="159">
        <v>3665</v>
      </c>
      <c r="D118" s="104">
        <v>179274</v>
      </c>
      <c r="E118" s="104">
        <v>31524</v>
      </c>
      <c r="F118" s="104">
        <v>1522</v>
      </c>
      <c r="G118" s="104">
        <v>0</v>
      </c>
      <c r="H118" s="104">
        <v>0</v>
      </c>
      <c r="I118" s="272">
        <f>ROUND(SUM(FTSEUNIV[[#This Row],[Undergraduate]]/30,FTSEUNIV[[#This Row],[Master''s]]/24,FTSEUNIV[[#This Row],[Doctoral]]/18,FTSEUNIV[[#This Row],[Professional &amp; Special-Prof]]/24,FTSEUNIV[[#This Row],[Optometry]]/34),2)</f>
        <v>7373.86</v>
      </c>
      <c r="J118" s="104">
        <v>7275.06</v>
      </c>
      <c r="K118" s="104">
        <v>989</v>
      </c>
      <c r="L118" s="40"/>
    </row>
    <row r="119" spans="1:12" s="35" customFormat="1" ht="27" customHeight="1">
      <c r="A119" s="35" t="s">
        <v>35</v>
      </c>
      <c r="B119" s="148">
        <v>210</v>
      </c>
      <c r="C119" s="159">
        <v>3565</v>
      </c>
      <c r="D119" s="104">
        <v>188198</v>
      </c>
      <c r="E119" s="104">
        <v>61062</v>
      </c>
      <c r="F119" s="104">
        <v>5025</v>
      </c>
      <c r="G119" s="104">
        <v>0</v>
      </c>
      <c r="H119" s="104">
        <v>0</v>
      </c>
      <c r="I119" s="272">
        <f>ROUND(SUM(FTSEUNIV[[#This Row],[Undergraduate]]/30,FTSEUNIV[[#This Row],[Master''s]]/24,FTSEUNIV[[#This Row],[Doctoral]]/18,FTSEUNIV[[#This Row],[Professional &amp; Special-Prof]]/24,FTSEUNIV[[#This Row],[Optometry]]/34),2)</f>
        <v>9096.68</v>
      </c>
      <c r="J119" s="104">
        <v>8740.2800000000007</v>
      </c>
      <c r="K119" s="104">
        <v>1023</v>
      </c>
      <c r="L119" s="40"/>
    </row>
    <row r="120" spans="1:12" s="35" customFormat="1" ht="27" customHeight="1">
      <c r="A120" s="35" t="s">
        <v>36</v>
      </c>
      <c r="B120" s="148">
        <v>220</v>
      </c>
      <c r="C120" s="159">
        <v>29269</v>
      </c>
      <c r="D120" s="104">
        <v>42806</v>
      </c>
      <c r="E120" s="104">
        <v>4453</v>
      </c>
      <c r="F120" s="104">
        <v>421</v>
      </c>
      <c r="G120" s="104">
        <v>0</v>
      </c>
      <c r="H120" s="104">
        <v>0</v>
      </c>
      <c r="I120" s="272">
        <f>ROUND(SUM(FTSEUNIV[[#This Row],[Undergraduate]]/30,FTSEUNIV[[#This Row],[Master''s]]/24,FTSEUNIV[[#This Row],[Doctoral]]/18,FTSEUNIV[[#This Row],[Professional &amp; Special-Prof]]/24,FTSEUNIV[[#This Row],[Optometry]]/34),2)</f>
        <v>1635.8</v>
      </c>
      <c r="J120" s="104">
        <v>1561.8</v>
      </c>
      <c r="K120" s="104">
        <v>307</v>
      </c>
      <c r="L120" s="40"/>
    </row>
    <row r="121" spans="1:12" s="35" customFormat="1" ht="27" customHeight="1">
      <c r="A121" s="35" t="s">
        <v>37</v>
      </c>
      <c r="B121" s="148">
        <v>223</v>
      </c>
      <c r="C121" s="159">
        <v>42295</v>
      </c>
      <c r="D121" s="104">
        <v>36932</v>
      </c>
      <c r="E121" s="104">
        <v>9564</v>
      </c>
      <c r="F121" s="104">
        <v>0</v>
      </c>
      <c r="G121" s="104">
        <v>0</v>
      </c>
      <c r="H121" s="104">
        <v>0</v>
      </c>
      <c r="I121" s="272">
        <f>ROUND(SUM(FTSEUNIV[[#This Row],[Undergraduate]]/30,FTSEUNIV[[#This Row],[Master''s]]/24,FTSEUNIV[[#This Row],[Doctoral]]/18,FTSEUNIV[[#This Row],[Professional &amp; Special-Prof]]/24,FTSEUNIV[[#This Row],[Optometry]]/34),2)</f>
        <v>1629.57</v>
      </c>
      <c r="J121" s="104">
        <v>1535.75</v>
      </c>
      <c r="K121" s="104">
        <v>252</v>
      </c>
      <c r="L121" s="40"/>
    </row>
    <row r="122" spans="1:12" s="35" customFormat="1" ht="27" customHeight="1">
      <c r="A122" s="35" t="s">
        <v>38</v>
      </c>
      <c r="B122" s="148">
        <v>226</v>
      </c>
      <c r="C122" s="159">
        <v>42485</v>
      </c>
      <c r="D122" s="104">
        <v>144815</v>
      </c>
      <c r="E122" s="104">
        <v>10454</v>
      </c>
      <c r="F122" s="104">
        <v>0</v>
      </c>
      <c r="G122" s="104">
        <v>0</v>
      </c>
      <c r="H122" s="104">
        <v>0</v>
      </c>
      <c r="I122" s="272">
        <f>ROUND(SUM(FTSEUNIV[[#This Row],[Undergraduate]]/30,FTSEUNIV[[#This Row],[Master''s]]/24,FTSEUNIV[[#This Row],[Doctoral]]/18,FTSEUNIV[[#This Row],[Professional &amp; Special-Prof]]/24,FTSEUNIV[[#This Row],[Optometry]]/34),2)</f>
        <v>5262.75</v>
      </c>
      <c r="J122" s="104">
        <v>5034.62</v>
      </c>
      <c r="K122" s="104">
        <v>441</v>
      </c>
      <c r="L122" s="40"/>
    </row>
    <row r="123" spans="1:12" s="35" customFormat="1" ht="27" customHeight="1">
      <c r="A123" s="35" t="s">
        <v>716</v>
      </c>
      <c r="B123" s="148">
        <v>231</v>
      </c>
      <c r="C123" s="159">
        <v>3652</v>
      </c>
      <c r="D123" s="104">
        <v>940798</v>
      </c>
      <c r="E123" s="104">
        <v>95579</v>
      </c>
      <c r="F123" s="104">
        <v>28894</v>
      </c>
      <c r="G123" s="104">
        <v>40019</v>
      </c>
      <c r="H123" s="104">
        <v>15094</v>
      </c>
      <c r="I123" s="272">
        <f>ROUND(SUM(FTSEUNIV[[#This Row],[Undergraduate]]/30,FTSEUNIV[[#This Row],[Master''s]]/24,FTSEUNIV[[#This Row],[Doctoral]]/18,FTSEUNIV[[#This Row],[Professional &amp; Special-Prof]]/24,FTSEUNIV[[#This Row],[Optometry]]/34),2)</f>
        <v>39059.01</v>
      </c>
      <c r="J123" s="104">
        <v>38432.9</v>
      </c>
      <c r="K123" s="104">
        <v>3463</v>
      </c>
      <c r="L123" s="40"/>
    </row>
    <row r="124" spans="1:12" s="35" customFormat="1" ht="27" customHeight="1">
      <c r="A124" s="35" t="s">
        <v>39</v>
      </c>
      <c r="B124" s="148">
        <v>240</v>
      </c>
      <c r="C124" s="159">
        <v>11711</v>
      </c>
      <c r="D124" s="104">
        <v>145337</v>
      </c>
      <c r="E124" s="104">
        <v>32708</v>
      </c>
      <c r="F124" s="104">
        <v>2319</v>
      </c>
      <c r="G124" s="104">
        <v>0</v>
      </c>
      <c r="H124" s="104">
        <v>0</v>
      </c>
      <c r="I124" s="272">
        <f>ROUND(SUM(FTSEUNIV[[#This Row],[Undergraduate]]/30,FTSEUNIV[[#This Row],[Master''s]]/24,FTSEUNIV[[#This Row],[Doctoral]]/18,FTSEUNIV[[#This Row],[Professional &amp; Special-Prof]]/24,FTSEUNIV[[#This Row],[Optometry]]/34),2)</f>
        <v>6336.23</v>
      </c>
      <c r="J124" s="104">
        <v>6082.96</v>
      </c>
      <c r="K124" s="104">
        <v>961</v>
      </c>
      <c r="L124" s="40"/>
    </row>
    <row r="125" spans="1:12" s="35" customFormat="1" ht="27" customHeight="1">
      <c r="A125" s="35" t="s">
        <v>40</v>
      </c>
      <c r="B125" s="148">
        <v>250</v>
      </c>
      <c r="C125" s="159">
        <v>12826</v>
      </c>
      <c r="D125" s="104">
        <v>284690</v>
      </c>
      <c r="E125" s="104">
        <v>21349</v>
      </c>
      <c r="F125" s="104">
        <v>0</v>
      </c>
      <c r="G125" s="104">
        <v>0</v>
      </c>
      <c r="H125" s="104">
        <v>0</v>
      </c>
      <c r="I125" s="272">
        <f>ROUND(SUM(FTSEUNIV[[#This Row],[Undergraduate]]/30,FTSEUNIV[[#This Row],[Master''s]]/24,FTSEUNIV[[#This Row],[Doctoral]]/18,FTSEUNIV[[#This Row],[Professional &amp; Special-Prof]]/24,FTSEUNIV[[#This Row],[Optometry]]/34),2)</f>
        <v>10379.209999999999</v>
      </c>
      <c r="J125" s="104">
        <v>9777.8700000000008</v>
      </c>
      <c r="K125" s="104">
        <v>808</v>
      </c>
      <c r="L125" s="40"/>
    </row>
    <row r="126" spans="1:12" s="35" customFormat="1" ht="27" customHeight="1">
      <c r="A126" s="35" t="s">
        <v>41</v>
      </c>
      <c r="B126" s="148">
        <v>260</v>
      </c>
      <c r="C126" s="159">
        <v>13231</v>
      </c>
      <c r="D126" s="104">
        <v>64770</v>
      </c>
      <c r="E126" s="104">
        <v>20132</v>
      </c>
      <c r="F126" s="104">
        <v>0</v>
      </c>
      <c r="G126" s="104">
        <v>0</v>
      </c>
      <c r="H126" s="104">
        <v>0</v>
      </c>
      <c r="I126" s="272">
        <f>ROUND(SUM(FTSEUNIV[[#This Row],[Undergraduate]]/30,FTSEUNIV[[#This Row],[Master''s]]/24,FTSEUNIV[[#This Row],[Doctoral]]/18,FTSEUNIV[[#This Row],[Professional &amp; Special-Prof]]/24,FTSEUNIV[[#This Row],[Optometry]]/34),2)</f>
        <v>2997.83</v>
      </c>
      <c r="J126" s="104">
        <v>2940.5</v>
      </c>
      <c r="K126" s="104">
        <v>376</v>
      </c>
      <c r="L126" s="40"/>
    </row>
    <row r="127" spans="1:12" s="35" customFormat="1" ht="27" customHeight="1">
      <c r="A127" s="35" t="s">
        <v>42</v>
      </c>
      <c r="B127" s="148">
        <v>270</v>
      </c>
      <c r="C127" s="159">
        <v>3581</v>
      </c>
      <c r="D127" s="104">
        <v>209710</v>
      </c>
      <c r="E127" s="104">
        <v>155902</v>
      </c>
      <c r="F127" s="104">
        <v>5108</v>
      </c>
      <c r="G127" s="104">
        <v>828</v>
      </c>
      <c r="H127" s="104">
        <v>0</v>
      </c>
      <c r="I127" s="272">
        <f>ROUND(SUM(FTSEUNIV[[#This Row],[Undergraduate]]/30,FTSEUNIV[[#This Row],[Master''s]]/24,FTSEUNIV[[#This Row],[Doctoral]]/18,FTSEUNIV[[#This Row],[Professional &amp; Special-Prof]]/24,FTSEUNIV[[#This Row],[Optometry]]/34),2)</f>
        <v>13804.53</v>
      </c>
      <c r="J127" s="104">
        <v>13500.23</v>
      </c>
      <c r="K127" s="104">
        <v>1159</v>
      </c>
      <c r="L127" s="40"/>
    </row>
    <row r="128" spans="1:12" s="35" customFormat="1" ht="27" customHeight="1">
      <c r="A128" s="35" t="s">
        <v>717</v>
      </c>
      <c r="B128" s="148">
        <v>281</v>
      </c>
      <c r="C128" s="159">
        <v>3606</v>
      </c>
      <c r="D128" s="104">
        <v>486432</v>
      </c>
      <c r="E128" s="104">
        <v>39683</v>
      </c>
      <c r="F128" s="104">
        <v>4858</v>
      </c>
      <c r="G128" s="104">
        <v>0</v>
      </c>
      <c r="H128" s="104">
        <v>0</v>
      </c>
      <c r="I128" s="272">
        <f>ROUND(SUM(FTSEUNIV[[#This Row],[Undergraduate]]/30,FTSEUNIV[[#This Row],[Master''s]]/24,FTSEUNIV[[#This Row],[Doctoral]]/18,FTSEUNIV[[#This Row],[Professional &amp; Special-Prof]]/24,FTSEUNIV[[#This Row],[Optometry]]/34),2)</f>
        <v>18137.75</v>
      </c>
      <c r="J128" s="104">
        <v>17176.05</v>
      </c>
      <c r="K128" s="104">
        <v>1924</v>
      </c>
      <c r="L128" s="40"/>
    </row>
    <row r="129" spans="1:12" s="35" customFormat="1" ht="27" customHeight="1">
      <c r="A129" s="35" t="s">
        <v>44</v>
      </c>
      <c r="B129" s="148">
        <v>290</v>
      </c>
      <c r="C129" s="159">
        <v>3615</v>
      </c>
      <c r="D129" s="104">
        <v>876228</v>
      </c>
      <c r="E129" s="104">
        <v>57906</v>
      </c>
      <c r="F129" s="104">
        <v>6490</v>
      </c>
      <c r="G129" s="104">
        <v>4286</v>
      </c>
      <c r="H129" s="104">
        <v>0</v>
      </c>
      <c r="I129" s="272">
        <f>ROUND(SUM(FTSEUNIV[[#This Row],[Undergraduate]]/30,FTSEUNIV[[#This Row],[Master''s]]/24,FTSEUNIV[[#This Row],[Doctoral]]/18,FTSEUNIV[[#This Row],[Professional &amp; Special-Prof]]/24,FTSEUNIV[[#This Row],[Optometry]]/34),2)</f>
        <v>32159.49</v>
      </c>
      <c r="J129" s="104">
        <v>31466.11</v>
      </c>
      <c r="K129" s="104">
        <v>2782</v>
      </c>
      <c r="L129" s="40"/>
    </row>
    <row r="130" spans="1:12" s="35" customFormat="1" ht="27" customHeight="1">
      <c r="A130" s="35" t="s">
        <v>45</v>
      </c>
      <c r="B130" s="148">
        <v>300</v>
      </c>
      <c r="C130" s="159">
        <v>3625</v>
      </c>
      <c r="D130" s="104">
        <v>35489</v>
      </c>
      <c r="E130" s="104">
        <v>7545</v>
      </c>
      <c r="F130" s="104">
        <v>0</v>
      </c>
      <c r="G130" s="104">
        <v>0</v>
      </c>
      <c r="H130" s="104">
        <v>0</v>
      </c>
      <c r="I130" s="272">
        <f>ROUND(SUM(FTSEUNIV[[#This Row],[Undergraduate]]/30,FTSEUNIV[[#This Row],[Master''s]]/24,FTSEUNIV[[#This Row],[Doctoral]]/18,FTSEUNIV[[#This Row],[Professional &amp; Special-Prof]]/24,FTSEUNIV[[#This Row],[Optometry]]/34),2)</f>
        <v>1497.34</v>
      </c>
      <c r="J130" s="104">
        <v>1436.8</v>
      </c>
      <c r="K130" s="104">
        <v>491</v>
      </c>
      <c r="L130" s="40"/>
    </row>
    <row r="131" spans="1:12" s="35" customFormat="1" ht="27" customHeight="1">
      <c r="A131" s="35" t="s">
        <v>46</v>
      </c>
      <c r="B131" s="148">
        <v>310</v>
      </c>
      <c r="C131" s="159">
        <v>3644</v>
      </c>
      <c r="D131" s="104">
        <v>950298</v>
      </c>
      <c r="E131" s="104">
        <v>85176</v>
      </c>
      <c r="F131" s="104">
        <v>46037</v>
      </c>
      <c r="G131" s="104">
        <v>19343</v>
      </c>
      <c r="H131" s="104">
        <v>0</v>
      </c>
      <c r="I131" s="272">
        <f>ROUND(SUM(FTSEUNIV[[#This Row],[Undergraduate]]/30,FTSEUNIV[[#This Row],[Master''s]]/24,FTSEUNIV[[#This Row],[Doctoral]]/18,FTSEUNIV[[#This Row],[Professional &amp; Special-Prof]]/24,FTSEUNIV[[#This Row],[Optometry]]/34),2)</f>
        <v>38589.17</v>
      </c>
      <c r="J131" s="104">
        <v>37330.1</v>
      </c>
      <c r="K131" s="104">
        <v>4368</v>
      </c>
      <c r="L131" s="40"/>
    </row>
    <row r="132" spans="1:12" s="35" customFormat="1" ht="27" customHeight="1">
      <c r="A132" s="35" t="s">
        <v>47</v>
      </c>
      <c r="B132" s="148">
        <v>320</v>
      </c>
      <c r="C132" s="159">
        <v>3541</v>
      </c>
      <c r="D132" s="104">
        <v>186213</v>
      </c>
      <c r="E132" s="104">
        <v>24202</v>
      </c>
      <c r="F132" s="104">
        <v>285</v>
      </c>
      <c r="G132" s="104">
        <v>2715</v>
      </c>
      <c r="H132" s="104">
        <v>0</v>
      </c>
      <c r="I132" s="272">
        <f>ROUND(SUM(FTSEUNIV[[#This Row],[Undergraduate]]/30,FTSEUNIV[[#This Row],[Master''s]]/24,FTSEUNIV[[#This Row],[Doctoral]]/18,FTSEUNIV[[#This Row],[Professional &amp; Special-Prof]]/24,FTSEUNIV[[#This Row],[Optometry]]/34),2)</f>
        <v>7344.48</v>
      </c>
      <c r="J132" s="104">
        <v>7177.74</v>
      </c>
      <c r="K132" s="104">
        <v>960</v>
      </c>
      <c r="L132" s="40"/>
    </row>
    <row r="133" spans="1:12" s="35" customFormat="1" ht="27" customHeight="1">
      <c r="A133" s="35" t="s">
        <v>48</v>
      </c>
      <c r="B133" s="148">
        <v>330</v>
      </c>
      <c r="C133" s="159">
        <v>3594</v>
      </c>
      <c r="D133" s="104">
        <v>872894</v>
      </c>
      <c r="E133" s="104">
        <v>182955</v>
      </c>
      <c r="F133" s="104">
        <v>21954</v>
      </c>
      <c r="G133" s="104">
        <v>1087</v>
      </c>
      <c r="H133" s="104">
        <v>0</v>
      </c>
      <c r="I133" s="272">
        <f>ROUND(SUM(FTSEUNIV[[#This Row],[Undergraduate]]/30,FTSEUNIV[[#This Row],[Master''s]]/24,FTSEUNIV[[#This Row],[Doctoral]]/18,FTSEUNIV[[#This Row],[Professional &amp; Special-Prof]]/24,FTSEUNIV[[#This Row],[Optometry]]/34),2)</f>
        <v>37984.550000000003</v>
      </c>
      <c r="J133" s="104">
        <v>37280.589999999997</v>
      </c>
      <c r="K133" s="104">
        <v>3019</v>
      </c>
      <c r="L133" s="40"/>
    </row>
    <row r="134" spans="1:12" s="35" customFormat="1" ht="27" customHeight="1">
      <c r="A134" s="35" t="s">
        <v>49</v>
      </c>
      <c r="B134" s="148">
        <v>333</v>
      </c>
      <c r="C134" s="159">
        <v>42421</v>
      </c>
      <c r="D134" s="104">
        <v>72788</v>
      </c>
      <c r="E134" s="104">
        <v>5739</v>
      </c>
      <c r="F134" s="104">
        <v>0</v>
      </c>
      <c r="G134" s="104">
        <v>10084</v>
      </c>
      <c r="H134" s="104">
        <v>0</v>
      </c>
      <c r="I134" s="272">
        <f>ROUND(SUM(FTSEUNIV[[#This Row],[Undergraduate]]/30,FTSEUNIV[[#This Row],[Master''s]]/24,FTSEUNIV[[#This Row],[Doctoral]]/18,FTSEUNIV[[#This Row],[Professional &amp; Special-Prof]]/24,FTSEUNIV[[#This Row],[Optometry]]/34),2)</f>
        <v>3085.56</v>
      </c>
      <c r="J134" s="104">
        <v>3015.23</v>
      </c>
      <c r="K134" s="104">
        <v>219</v>
      </c>
      <c r="L134" s="40"/>
    </row>
    <row r="135" spans="1:12" s="35" customFormat="1" ht="27" customHeight="1">
      <c r="A135" s="35" t="s">
        <v>50</v>
      </c>
      <c r="B135" s="148">
        <v>340</v>
      </c>
      <c r="C135" s="159">
        <v>3592</v>
      </c>
      <c r="D135" s="104">
        <v>109754</v>
      </c>
      <c r="E135" s="104">
        <v>14403</v>
      </c>
      <c r="F135" s="104">
        <v>390</v>
      </c>
      <c r="G135" s="104">
        <v>0</v>
      </c>
      <c r="H135" s="104">
        <v>0</v>
      </c>
      <c r="I135" s="272">
        <f>ROUND(SUM(FTSEUNIV[[#This Row],[Undergraduate]]/30,FTSEUNIV[[#This Row],[Master''s]]/24,FTSEUNIV[[#This Row],[Doctoral]]/18,FTSEUNIV[[#This Row],[Professional &amp; Special-Prof]]/24,FTSEUNIV[[#This Row],[Optometry]]/34),2)</f>
        <v>4280.26</v>
      </c>
      <c r="J135" s="104">
        <v>4144.18</v>
      </c>
      <c r="K135" s="104">
        <v>949</v>
      </c>
      <c r="L135" s="40"/>
    </row>
    <row r="136" spans="1:12" s="35" customFormat="1" ht="27" customHeight="1">
      <c r="A136" s="35" t="s">
        <v>51</v>
      </c>
      <c r="B136" s="148">
        <v>360</v>
      </c>
      <c r="C136" s="159">
        <v>3642</v>
      </c>
      <c r="D136" s="104">
        <v>175543</v>
      </c>
      <c r="E136" s="104">
        <v>13704</v>
      </c>
      <c r="F136" s="104">
        <v>2396</v>
      </c>
      <c r="G136" s="104">
        <v>25893</v>
      </c>
      <c r="H136" s="104">
        <v>0</v>
      </c>
      <c r="I136" s="272">
        <f>ROUND(SUM(FTSEUNIV[[#This Row],[Undergraduate]]/30,FTSEUNIV[[#This Row],[Master''s]]/24,FTSEUNIV[[#This Row],[Doctoral]]/18,FTSEUNIV[[#This Row],[Professional &amp; Special-Prof]]/24,FTSEUNIV[[#This Row],[Optometry]]/34),2)</f>
        <v>7634.42</v>
      </c>
      <c r="J136" s="104">
        <v>7508.09</v>
      </c>
      <c r="K136" s="104">
        <v>896</v>
      </c>
      <c r="L136" s="40"/>
    </row>
    <row r="137" spans="1:12" s="35" customFormat="1" ht="27" customHeight="1">
      <c r="A137" s="35" t="s">
        <v>52</v>
      </c>
      <c r="B137" s="148">
        <v>370</v>
      </c>
      <c r="C137" s="159">
        <v>3646</v>
      </c>
      <c r="D137" s="104">
        <v>241665</v>
      </c>
      <c r="E137" s="104">
        <v>73117</v>
      </c>
      <c r="F137" s="104">
        <v>20458</v>
      </c>
      <c r="G137" s="104">
        <v>9884</v>
      </c>
      <c r="H137" s="104">
        <v>0</v>
      </c>
      <c r="I137" s="272">
        <f>ROUND(SUM(FTSEUNIV[[#This Row],[Undergraduate]]/30,FTSEUNIV[[#This Row],[Master''s]]/24,FTSEUNIV[[#This Row],[Doctoral]]/18,FTSEUNIV[[#This Row],[Professional &amp; Special-Prof]]/24,FTSEUNIV[[#This Row],[Optometry]]/34),2)</f>
        <v>12650.43</v>
      </c>
      <c r="J137" s="104">
        <v>12361.85</v>
      </c>
      <c r="K137" s="104">
        <v>1414</v>
      </c>
      <c r="L137" s="40"/>
    </row>
    <row r="138" spans="1:12" s="35" customFormat="1" ht="27" customHeight="1">
      <c r="A138" s="221"/>
      <c r="B138" s="222"/>
      <c r="C138" s="223"/>
      <c r="D138" s="330">
        <f>SUBTOTAL(109,FTSEUNIV[Undergraduate])</f>
        <v>13785074.629999997</v>
      </c>
      <c r="E138" s="330">
        <f>SUBTOTAL(109,FTSEUNIV[Master''s])</f>
        <v>1974187</v>
      </c>
      <c r="F138" s="330">
        <f>SUBTOTAL(109,FTSEUNIV[Doctoral])</f>
        <v>396005</v>
      </c>
      <c r="G138" s="330">
        <f>SUBTOTAL(109,FTSEUNIV[Professional &amp; Special-Prof])</f>
        <v>217395.30000000185</v>
      </c>
      <c r="H138" s="330">
        <f>SUBTOTAL(109,FTSEUNIV[Optometry])</f>
        <v>15094</v>
      </c>
      <c r="I138" s="330">
        <f>SUBTOTAL(109,FTSEUNIV[Full-Time Student
Equivalents¹])</f>
        <v>573262.67000000027</v>
      </c>
      <c r="J138" s="330">
        <f>SUBTOTAL(109,FTSEUNIV[State Funded 
FTSE²])</f>
        <v>556466.81999999983</v>
      </c>
      <c r="K138" s="331">
        <f>SUBTOTAL(109,FTSEUNIV[T/TT Fall
Faculty FTE³])</f>
        <v>63628</v>
      </c>
      <c r="L138" s="40"/>
    </row>
    <row r="139" spans="1:12" s="224" customFormat="1" ht="27" customHeight="1">
      <c r="A139" s="474" t="s">
        <v>983</v>
      </c>
      <c r="B139" s="474"/>
      <c r="C139" s="474"/>
      <c r="D139" s="474"/>
      <c r="E139" s="474"/>
      <c r="F139" s="474"/>
      <c r="G139" s="474"/>
      <c r="H139" s="474"/>
      <c r="I139" s="474"/>
      <c r="J139" s="474"/>
      <c r="K139" s="474"/>
      <c r="L139" s="191"/>
    </row>
    <row r="140" spans="1:12" s="35" customFormat="1" ht="15">
      <c r="A140" s="474" t="s">
        <v>984</v>
      </c>
      <c r="B140" s="474"/>
      <c r="C140" s="474"/>
      <c r="D140" s="474"/>
      <c r="E140" s="474"/>
      <c r="F140" s="474"/>
      <c r="G140" s="474"/>
      <c r="H140" s="474"/>
      <c r="I140" s="474"/>
      <c r="J140" s="474"/>
      <c r="K140" s="474"/>
      <c r="L140" s="40"/>
    </row>
    <row r="141" spans="1:12" s="35" customFormat="1" ht="15">
      <c r="A141" s="474" t="s">
        <v>982</v>
      </c>
      <c r="B141" s="474"/>
      <c r="C141" s="474"/>
      <c r="D141" s="474"/>
      <c r="E141" s="474"/>
      <c r="F141" s="474"/>
      <c r="G141" s="474"/>
      <c r="H141" s="474"/>
      <c r="I141" s="474"/>
      <c r="J141" s="474"/>
      <c r="K141" s="474"/>
      <c r="L141" s="40"/>
    </row>
    <row r="142" spans="1:12" s="35" customFormat="1" ht="15">
      <c r="A142" s="40"/>
      <c r="B142" s="161"/>
      <c r="C142" s="40"/>
      <c r="D142" s="40"/>
      <c r="E142" s="40"/>
      <c r="F142" s="40"/>
      <c r="G142" s="40"/>
      <c r="H142" s="40"/>
      <c r="I142" s="40"/>
      <c r="J142" s="40"/>
      <c r="K142" s="40"/>
      <c r="L142" s="40"/>
    </row>
  </sheetData>
  <sheetProtection algorithmName="SHA-512" hashValue="il3tYInR0uNWsAbMRIDGUmtQVQ2eDOOWH1nrkUgxBVwJNmLLoTsVSndcRC7KGfnVzPcld4pjSxWZsVsLV3ozmg==" saltValue="xKEHwGulDdsf1pMNAa6dEw==" spinCount="100000" sheet="1" objects="1" scenarios="1" formatColumns="0"/>
  <mergeCells count="17">
    <mergeCell ref="A77:K77"/>
    <mergeCell ref="A139:K139"/>
    <mergeCell ref="A80:J80"/>
    <mergeCell ref="A81:J81"/>
    <mergeCell ref="A98:J98"/>
    <mergeCell ref="A99:J99"/>
    <mergeCell ref="A78:K78"/>
    <mergeCell ref="A1:K1"/>
    <mergeCell ref="A2:K2"/>
    <mergeCell ref="A3:K3"/>
    <mergeCell ref="A76:K76"/>
    <mergeCell ref="A75:K75"/>
    <mergeCell ref="A96:J96"/>
    <mergeCell ref="A94:J94"/>
    <mergeCell ref="A95:J95"/>
    <mergeCell ref="A140:K140"/>
    <mergeCell ref="A141:K141"/>
  </mergeCells>
  <phoneticPr fontId="7" type="noConversion"/>
  <printOptions horizontalCentered="1"/>
  <pageMargins left="0.25" right="0.25" top="0.75" bottom="0.5" header="0.5" footer="0.3"/>
  <pageSetup paperSize="5" scale="41" fitToHeight="0" orientation="portrait" r:id="rId1"/>
  <headerFooter>
    <oddHeader>&amp;C&amp;"-,Bold"&amp;18Student and Faculty Full-Time Equivalent - FY 2023</oddHeader>
    <oddFooter>&amp;CPage &amp;P of &amp;N&amp;RPrinted On: &amp;D</oddFooter>
  </headerFooter>
  <drawing r:id="rId2"/>
  <legacyDrawing r:id="rId3"/>
  <tableParts count="3">
    <tablePart r:id="rId4"/>
    <tablePart r:id="rId5"/>
    <tablePart r:id="rId6"/>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CAD0B-79C0-4115-8DFC-0087F905F530}">
  <sheetPr codeName="Sheet12">
    <tabColor theme="0"/>
  </sheetPr>
  <dimension ref="A1:D77"/>
  <sheetViews>
    <sheetView zoomScale="70" zoomScaleNormal="70" workbookViewId="0">
      <pane ySplit="1" topLeftCell="A2" activePane="bottomLeft" state="frozen"/>
      <selection pane="bottomLeft"/>
    </sheetView>
  </sheetViews>
  <sheetFormatPr defaultColWidth="8.90625" defaultRowHeight="15"/>
  <cols>
    <col min="1" max="1" width="58.08984375" style="257" bestFit="1" customWidth="1"/>
    <col min="2" max="3" width="25.6328125" style="257" customWidth="1"/>
    <col min="4" max="4" width="32.90625" style="257" bestFit="1" customWidth="1"/>
    <col min="5" max="16384" width="8.90625" style="257"/>
  </cols>
  <sheetData>
    <row r="1" spans="1:4" s="253" customFormat="1" ht="45" customHeight="1">
      <c r="A1" s="252" t="s">
        <v>1</v>
      </c>
      <c r="B1" s="253" t="s">
        <v>104</v>
      </c>
      <c r="C1" s="253" t="s">
        <v>906</v>
      </c>
      <c r="D1" s="253" t="s">
        <v>907</v>
      </c>
    </row>
    <row r="2" spans="1:4" ht="27" customHeight="1">
      <c r="A2" s="254" t="s">
        <v>47</v>
      </c>
      <c r="B2" s="255" t="s">
        <v>361</v>
      </c>
      <c r="C2" s="256">
        <v>3259422014</v>
      </c>
      <c r="D2" s="257" t="s">
        <v>362</v>
      </c>
    </row>
    <row r="3" spans="1:4" ht="27" customHeight="1">
      <c r="A3" s="254" t="s">
        <v>63</v>
      </c>
      <c r="B3" s="255" t="s">
        <v>73</v>
      </c>
      <c r="C3" s="256">
        <v>4092475134</v>
      </c>
      <c r="D3" s="257" t="s">
        <v>74</v>
      </c>
    </row>
    <row r="4" spans="1:4" ht="27" customHeight="1">
      <c r="A4" s="254" t="s">
        <v>64</v>
      </c>
      <c r="B4" s="255" t="s">
        <v>75</v>
      </c>
      <c r="C4" s="256">
        <v>4098823356</v>
      </c>
      <c r="D4" s="257" t="s">
        <v>908</v>
      </c>
    </row>
    <row r="5" spans="1:4" ht="27" customHeight="1">
      <c r="A5" s="254" t="s">
        <v>65</v>
      </c>
      <c r="B5" s="255" t="s">
        <v>77</v>
      </c>
      <c r="C5" s="256">
        <v>4099846135</v>
      </c>
      <c r="D5" s="257" t="s">
        <v>78</v>
      </c>
    </row>
    <row r="6" spans="1:4" ht="27" customHeight="1">
      <c r="A6" s="254" t="s">
        <v>42</v>
      </c>
      <c r="B6" s="255" t="s">
        <v>350</v>
      </c>
      <c r="C6" s="256">
        <v>4098808910</v>
      </c>
      <c r="D6" s="257" t="s">
        <v>351</v>
      </c>
    </row>
    <row r="7" spans="1:4" ht="27" customHeight="1">
      <c r="A7" s="254" t="s">
        <v>50</v>
      </c>
      <c r="B7" s="255" t="s">
        <v>367</v>
      </c>
      <c r="C7" s="256">
        <v>9403974273</v>
      </c>
      <c r="D7" s="257" t="s">
        <v>368</v>
      </c>
    </row>
    <row r="8" spans="1:4" ht="27" customHeight="1">
      <c r="A8" s="254" t="s">
        <v>29</v>
      </c>
      <c r="B8" s="255" t="s">
        <v>340</v>
      </c>
      <c r="C8" s="256">
        <v>9794586077</v>
      </c>
      <c r="D8" s="257" t="s">
        <v>341</v>
      </c>
    </row>
    <row r="9" spans="1:4" ht="27" customHeight="1">
      <c r="A9" s="254" t="s">
        <v>717</v>
      </c>
      <c r="B9" s="255" t="s">
        <v>352</v>
      </c>
      <c r="C9" s="256">
        <v>9362943405</v>
      </c>
      <c r="D9" s="257" t="s">
        <v>354</v>
      </c>
    </row>
    <row r="10" spans="1:4" ht="27" customHeight="1">
      <c r="A10" s="254" t="s">
        <v>909</v>
      </c>
      <c r="B10" s="255" t="s">
        <v>352</v>
      </c>
      <c r="C10" s="256">
        <v>9362943405</v>
      </c>
      <c r="D10" s="257" t="s">
        <v>354</v>
      </c>
    </row>
    <row r="11" spans="1:4" ht="27" customHeight="1">
      <c r="A11" s="254" t="s">
        <v>26</v>
      </c>
      <c r="B11" s="255" t="s">
        <v>336</v>
      </c>
      <c r="C11" s="256">
        <v>9364684541</v>
      </c>
      <c r="D11" s="257" t="s">
        <v>337</v>
      </c>
    </row>
    <row r="12" spans="1:4" ht="27" customHeight="1">
      <c r="A12" s="254" t="s">
        <v>45</v>
      </c>
      <c r="B12" s="255" t="s">
        <v>357</v>
      </c>
      <c r="C12" s="256">
        <v>4328378078</v>
      </c>
      <c r="D12" s="257" t="s">
        <v>358</v>
      </c>
    </row>
    <row r="13" spans="1:4" ht="27" customHeight="1">
      <c r="A13" s="254" t="s">
        <v>30</v>
      </c>
      <c r="B13" s="255" t="s">
        <v>340</v>
      </c>
      <c r="C13" s="256">
        <v>9794586077</v>
      </c>
      <c r="D13" s="257" t="s">
        <v>341</v>
      </c>
    </row>
    <row r="14" spans="1:4" ht="27" customHeight="1">
      <c r="A14" s="254" t="s">
        <v>54</v>
      </c>
      <c r="B14" s="255" t="s">
        <v>340</v>
      </c>
      <c r="C14" s="256">
        <v>9794586077</v>
      </c>
      <c r="D14" s="257" t="s">
        <v>341</v>
      </c>
    </row>
    <row r="15" spans="1:4" ht="27" customHeight="1">
      <c r="A15" s="254" t="s">
        <v>53</v>
      </c>
      <c r="B15" s="255" t="s">
        <v>340</v>
      </c>
      <c r="C15" s="256">
        <v>9794586077</v>
      </c>
      <c r="D15" s="257" t="s">
        <v>341</v>
      </c>
    </row>
    <row r="16" spans="1:4" ht="27" customHeight="1">
      <c r="A16" s="254" t="s">
        <v>55</v>
      </c>
      <c r="B16" s="255" t="s">
        <v>340</v>
      </c>
      <c r="C16" s="256">
        <v>9794586077</v>
      </c>
      <c r="D16" s="257" t="s">
        <v>341</v>
      </c>
    </row>
    <row r="17" spans="1:4" ht="27" customHeight="1">
      <c r="A17" s="254" t="s">
        <v>56</v>
      </c>
      <c r="B17" s="255" t="s">
        <v>340</v>
      </c>
      <c r="C17" s="256">
        <v>9794586077</v>
      </c>
      <c r="D17" s="257" t="s">
        <v>341</v>
      </c>
    </row>
    <row r="18" spans="1:4" ht="27" customHeight="1">
      <c r="A18" s="254" t="s">
        <v>57</v>
      </c>
      <c r="B18" s="255" t="s">
        <v>340</v>
      </c>
      <c r="C18" s="256">
        <v>9794586077</v>
      </c>
      <c r="D18" s="257" t="s">
        <v>341</v>
      </c>
    </row>
    <row r="19" spans="1:4" ht="27" customHeight="1">
      <c r="A19" s="254" t="s">
        <v>33</v>
      </c>
      <c r="B19" s="255" t="s">
        <v>340</v>
      </c>
      <c r="C19" s="256">
        <v>9794586077</v>
      </c>
      <c r="D19" s="257" t="s">
        <v>341</v>
      </c>
    </row>
    <row r="20" spans="1:4" ht="27" customHeight="1">
      <c r="A20" s="254" t="s">
        <v>61</v>
      </c>
      <c r="B20" s="255" t="s">
        <v>340</v>
      </c>
      <c r="C20" s="256">
        <v>9794586077</v>
      </c>
      <c r="D20" s="257" t="s">
        <v>341</v>
      </c>
    </row>
    <row r="21" spans="1:4" ht="27" customHeight="1">
      <c r="A21" s="254" t="s">
        <v>58</v>
      </c>
      <c r="B21" s="255" t="s">
        <v>340</v>
      </c>
      <c r="C21" s="256">
        <v>9794586077</v>
      </c>
      <c r="D21" s="257" t="s">
        <v>341</v>
      </c>
    </row>
    <row r="22" spans="1:4" ht="27" customHeight="1">
      <c r="A22" s="254" t="s">
        <v>27</v>
      </c>
      <c r="B22" s="255" t="s">
        <v>338</v>
      </c>
      <c r="C22" s="256">
        <v>9794581866</v>
      </c>
      <c r="D22" s="257" t="s">
        <v>339</v>
      </c>
    </row>
    <row r="23" spans="1:4" ht="27" customHeight="1">
      <c r="A23" s="254" t="s">
        <v>37</v>
      </c>
      <c r="B23" s="255" t="s">
        <v>340</v>
      </c>
      <c r="C23" s="256">
        <v>9794586077</v>
      </c>
      <c r="D23" s="257" t="s">
        <v>341</v>
      </c>
    </row>
    <row r="24" spans="1:4" ht="27" customHeight="1">
      <c r="A24" s="254" t="s">
        <v>35</v>
      </c>
      <c r="B24" s="255" t="s">
        <v>340</v>
      </c>
      <c r="C24" s="256">
        <v>9794586077</v>
      </c>
      <c r="D24" s="257" t="s">
        <v>341</v>
      </c>
    </row>
    <row r="25" spans="1:4" ht="27" customHeight="1">
      <c r="A25" s="254" t="s">
        <v>31</v>
      </c>
      <c r="B25" s="255" t="s">
        <v>340</v>
      </c>
      <c r="C25" s="256">
        <v>9794586077</v>
      </c>
      <c r="D25" s="257" t="s">
        <v>341</v>
      </c>
    </row>
    <row r="26" spans="1:4" ht="27" customHeight="1">
      <c r="A26" s="254" t="s">
        <v>32</v>
      </c>
      <c r="B26" s="255" t="s">
        <v>340</v>
      </c>
      <c r="C26" s="256">
        <v>9794586077</v>
      </c>
      <c r="D26" s="257" t="s">
        <v>341</v>
      </c>
    </row>
    <row r="27" spans="1:4" ht="27" customHeight="1">
      <c r="A27" s="254" t="s">
        <v>38</v>
      </c>
      <c r="B27" s="255" t="s">
        <v>340</v>
      </c>
      <c r="C27" s="256">
        <v>9794586077</v>
      </c>
      <c r="D27" s="257" t="s">
        <v>341</v>
      </c>
    </row>
    <row r="28" spans="1:4" ht="27" customHeight="1">
      <c r="A28" s="254" t="s">
        <v>829</v>
      </c>
      <c r="B28" s="255" t="s">
        <v>340</v>
      </c>
      <c r="C28" s="256">
        <v>9794586077</v>
      </c>
      <c r="D28" s="257" t="s">
        <v>341</v>
      </c>
    </row>
    <row r="29" spans="1:4" ht="27" customHeight="1">
      <c r="A29" s="254" t="s">
        <v>910</v>
      </c>
      <c r="B29" s="255" t="s">
        <v>911</v>
      </c>
      <c r="C29" s="256" t="s">
        <v>911</v>
      </c>
      <c r="D29" s="257" t="s">
        <v>911</v>
      </c>
    </row>
    <row r="30" spans="1:4" ht="27" customHeight="1">
      <c r="A30" s="254" t="s">
        <v>36</v>
      </c>
      <c r="B30" s="255" t="s">
        <v>340</v>
      </c>
      <c r="C30" s="256">
        <v>9794586077</v>
      </c>
      <c r="D30" s="257" t="s">
        <v>341</v>
      </c>
    </row>
    <row r="31" spans="1:4" ht="27" customHeight="1">
      <c r="A31" s="254" t="s">
        <v>28</v>
      </c>
      <c r="B31" s="255" t="s">
        <v>340</v>
      </c>
      <c r="C31" s="256">
        <v>9794586077</v>
      </c>
      <c r="D31" s="257" t="s">
        <v>341</v>
      </c>
    </row>
    <row r="32" spans="1:4" ht="27" customHeight="1">
      <c r="A32" s="254" t="s">
        <v>59</v>
      </c>
      <c r="B32" s="255" t="s">
        <v>340</v>
      </c>
      <c r="C32" s="256">
        <v>9794586077</v>
      </c>
      <c r="D32" s="257" t="s">
        <v>341</v>
      </c>
    </row>
    <row r="33" spans="1:4" ht="27" customHeight="1">
      <c r="A33" s="254" t="s">
        <v>60</v>
      </c>
      <c r="B33" s="255" t="s">
        <v>340</v>
      </c>
      <c r="C33" s="256">
        <v>9794586077</v>
      </c>
      <c r="D33" s="257" t="s">
        <v>341</v>
      </c>
    </row>
    <row r="34" spans="1:4" ht="27" customHeight="1">
      <c r="A34" s="254" t="s">
        <v>51</v>
      </c>
      <c r="B34" s="255" t="s">
        <v>598</v>
      </c>
      <c r="C34" s="256">
        <v>7133131391</v>
      </c>
      <c r="D34" s="257" t="s">
        <v>599</v>
      </c>
    </row>
    <row r="35" spans="1:4" ht="27" customHeight="1">
      <c r="A35" s="254" t="s">
        <v>831</v>
      </c>
      <c r="B35" s="255" t="s">
        <v>886</v>
      </c>
      <c r="C35" s="256">
        <v>5124632237</v>
      </c>
      <c r="D35" s="257" t="s">
        <v>888</v>
      </c>
    </row>
    <row r="36" spans="1:4" ht="27" customHeight="1">
      <c r="A36" s="254" t="s">
        <v>71</v>
      </c>
      <c r="B36" s="255" t="s">
        <v>79</v>
      </c>
      <c r="C36" s="256">
        <v>9563644058</v>
      </c>
      <c r="D36" s="257" t="s">
        <v>80</v>
      </c>
    </row>
    <row r="37" spans="1:4" ht="27" customHeight="1">
      <c r="A37" s="254" t="s">
        <v>66</v>
      </c>
      <c r="B37" s="255" t="s">
        <v>79</v>
      </c>
      <c r="C37" s="256">
        <v>9563644058</v>
      </c>
      <c r="D37" s="257" t="s">
        <v>80</v>
      </c>
    </row>
    <row r="38" spans="1:4" ht="27" customHeight="1">
      <c r="A38" s="254" t="s">
        <v>68</v>
      </c>
      <c r="B38" s="255" t="s">
        <v>79</v>
      </c>
      <c r="C38" s="256">
        <v>9563644058</v>
      </c>
      <c r="D38" s="257" t="s">
        <v>80</v>
      </c>
    </row>
    <row r="39" spans="1:4" ht="27" customHeight="1">
      <c r="A39" s="254" t="s">
        <v>70</v>
      </c>
      <c r="B39" s="255" t="s">
        <v>79</v>
      </c>
      <c r="C39" s="256">
        <v>9563644058</v>
      </c>
      <c r="D39" s="257" t="s">
        <v>80</v>
      </c>
    </row>
    <row r="40" spans="1:4" ht="27" customHeight="1">
      <c r="A40" s="254" t="s">
        <v>72</v>
      </c>
      <c r="B40" s="255" t="s">
        <v>79</v>
      </c>
      <c r="C40" s="256">
        <v>9563644058</v>
      </c>
      <c r="D40" s="257" t="s">
        <v>81</v>
      </c>
    </row>
    <row r="41" spans="1:4" ht="27" customHeight="1">
      <c r="A41" s="254" t="s">
        <v>72</v>
      </c>
      <c r="B41" s="255" t="s">
        <v>79</v>
      </c>
      <c r="C41" s="256">
        <v>9563644058</v>
      </c>
      <c r="D41" s="257" t="s">
        <v>81</v>
      </c>
    </row>
    <row r="42" spans="1:4" ht="27" customHeight="1">
      <c r="A42" s="254" t="s">
        <v>69</v>
      </c>
      <c r="B42" s="255" t="s">
        <v>82</v>
      </c>
      <c r="C42" s="256">
        <v>3528711084</v>
      </c>
      <c r="D42" s="257" t="s">
        <v>83</v>
      </c>
    </row>
    <row r="43" spans="1:4" ht="27" customHeight="1">
      <c r="A43" s="254" t="s">
        <v>67</v>
      </c>
      <c r="B43" s="255" t="s">
        <v>79</v>
      </c>
      <c r="C43" s="256">
        <v>9563644058</v>
      </c>
      <c r="D43" s="257" t="s">
        <v>80</v>
      </c>
    </row>
    <row r="44" spans="1:4" ht="27" customHeight="1">
      <c r="A44" s="254" t="s">
        <v>44</v>
      </c>
      <c r="B44" s="255" t="s">
        <v>355</v>
      </c>
      <c r="C44" s="256">
        <v>5122452087</v>
      </c>
      <c r="D44" s="257" t="s">
        <v>356</v>
      </c>
    </row>
    <row r="45" spans="1:4" ht="27" customHeight="1">
      <c r="A45" s="254" t="s">
        <v>46</v>
      </c>
      <c r="B45" s="255" t="s">
        <v>359</v>
      </c>
      <c r="C45" s="256">
        <v>8068344640</v>
      </c>
      <c r="D45" s="257" t="s">
        <v>360</v>
      </c>
    </row>
    <row r="46" spans="1:4" ht="27" customHeight="1">
      <c r="A46" s="254" t="s">
        <v>832</v>
      </c>
      <c r="B46" s="255" t="s">
        <v>911</v>
      </c>
      <c r="C46" s="256" t="s">
        <v>911</v>
      </c>
      <c r="D46" s="257" t="s">
        <v>911</v>
      </c>
    </row>
    <row r="47" spans="1:4" ht="27" customHeight="1">
      <c r="A47" s="254" t="s">
        <v>393</v>
      </c>
      <c r="B47" s="255" t="s">
        <v>435</v>
      </c>
      <c r="C47" s="256">
        <v>8067437381</v>
      </c>
      <c r="D47" s="257" t="s">
        <v>436</v>
      </c>
    </row>
    <row r="48" spans="1:4" ht="27" customHeight="1">
      <c r="A48" s="254" t="s">
        <v>394</v>
      </c>
      <c r="B48" s="255" t="s">
        <v>437</v>
      </c>
      <c r="C48" s="256">
        <v>9152154378</v>
      </c>
      <c r="D48" s="257" t="s">
        <v>438</v>
      </c>
    </row>
    <row r="49" spans="1:4" ht="27" customHeight="1">
      <c r="A49" s="254" t="s">
        <v>52</v>
      </c>
      <c r="B49" s="255" t="s">
        <v>369</v>
      </c>
      <c r="C49" s="256">
        <v>9408983522</v>
      </c>
      <c r="D49" s="257" t="s">
        <v>370</v>
      </c>
    </row>
    <row r="50" spans="1:4" ht="27" customHeight="1">
      <c r="A50" s="254" t="s">
        <v>834</v>
      </c>
      <c r="B50" s="255" t="s">
        <v>881</v>
      </c>
      <c r="C50" s="256">
        <v>5124994458</v>
      </c>
      <c r="D50" s="257" t="s">
        <v>882</v>
      </c>
    </row>
    <row r="51" spans="1:4" ht="27" customHeight="1">
      <c r="A51" s="254" t="s">
        <v>20</v>
      </c>
      <c r="B51" s="255" t="s">
        <v>320</v>
      </c>
      <c r="C51" s="256">
        <v>8172723330</v>
      </c>
      <c r="D51" s="257" t="s">
        <v>321</v>
      </c>
    </row>
    <row r="52" spans="1:4" ht="27" customHeight="1">
      <c r="A52" s="254" t="s">
        <v>714</v>
      </c>
      <c r="B52" s="255" t="s">
        <v>322</v>
      </c>
      <c r="C52" s="256">
        <v>5122327745</v>
      </c>
      <c r="D52" s="257" t="s">
        <v>323</v>
      </c>
    </row>
    <row r="53" spans="1:4" ht="27" customHeight="1">
      <c r="A53" s="254" t="s">
        <v>837</v>
      </c>
      <c r="B53" s="255" t="s">
        <v>322</v>
      </c>
      <c r="C53" s="256">
        <v>5122327745</v>
      </c>
      <c r="D53" s="257" t="s">
        <v>323</v>
      </c>
    </row>
    <row r="54" spans="1:4" ht="27" customHeight="1">
      <c r="A54" s="254" t="s">
        <v>21</v>
      </c>
      <c r="B54" s="255" t="s">
        <v>324</v>
      </c>
      <c r="C54" s="256">
        <v>9728832632</v>
      </c>
      <c r="D54" s="257" t="s">
        <v>325</v>
      </c>
    </row>
    <row r="55" spans="1:4" ht="27" customHeight="1">
      <c r="A55" s="254" t="s">
        <v>22</v>
      </c>
      <c r="B55" s="255" t="s">
        <v>326</v>
      </c>
      <c r="C55" s="256">
        <v>9157475083</v>
      </c>
      <c r="D55" s="257" t="s">
        <v>327</v>
      </c>
    </row>
    <row r="56" spans="1:4" ht="27" customHeight="1">
      <c r="A56" s="254" t="s">
        <v>715</v>
      </c>
      <c r="B56" s="255" t="s">
        <v>328</v>
      </c>
      <c r="C56" s="256">
        <v>9566657906</v>
      </c>
      <c r="D56" s="255" t="s">
        <v>329</v>
      </c>
    </row>
    <row r="57" spans="1:4" ht="27" customHeight="1">
      <c r="A57" s="254" t="s">
        <v>839</v>
      </c>
      <c r="B57" s="255" t="s">
        <v>328</v>
      </c>
      <c r="C57" s="256">
        <v>9566657906</v>
      </c>
      <c r="D57" s="257" t="s">
        <v>329</v>
      </c>
    </row>
    <row r="58" spans="1:4" ht="27" customHeight="1">
      <c r="A58" s="254" t="s">
        <v>24</v>
      </c>
      <c r="B58" s="255" t="s">
        <v>332</v>
      </c>
      <c r="C58" s="256">
        <v>2104586774</v>
      </c>
      <c r="D58" s="257" t="s">
        <v>333</v>
      </c>
    </row>
    <row r="59" spans="1:4" ht="27" customHeight="1">
      <c r="A59" s="254" t="s">
        <v>25</v>
      </c>
      <c r="B59" s="255" t="s">
        <v>334</v>
      </c>
      <c r="C59" s="256">
        <v>9035667319</v>
      </c>
      <c r="D59" s="257" t="s">
        <v>335</v>
      </c>
    </row>
    <row r="60" spans="1:4" ht="27" customHeight="1">
      <c r="A60" s="254" t="s">
        <v>387</v>
      </c>
      <c r="B60" s="255" t="s">
        <v>427</v>
      </c>
      <c r="C60" s="256">
        <v>7135004915</v>
      </c>
      <c r="D60" s="257" t="s">
        <v>912</v>
      </c>
    </row>
    <row r="61" spans="1:4" ht="27" customHeight="1">
      <c r="A61" s="254" t="s">
        <v>388</v>
      </c>
      <c r="B61" s="255" t="s">
        <v>429</v>
      </c>
      <c r="C61" s="256">
        <v>2105626268</v>
      </c>
      <c r="D61" s="257" t="s">
        <v>430</v>
      </c>
    </row>
    <row r="62" spans="1:4" ht="27" customHeight="1">
      <c r="A62" s="254" t="s">
        <v>390</v>
      </c>
      <c r="B62" s="255" t="s">
        <v>911</v>
      </c>
      <c r="C62" s="256" t="s">
        <v>911</v>
      </c>
      <c r="D62" s="257" t="s">
        <v>911</v>
      </c>
    </row>
    <row r="63" spans="1:4" ht="27" customHeight="1">
      <c r="A63" s="254" t="s">
        <v>389</v>
      </c>
      <c r="B63" s="255" t="s">
        <v>431</v>
      </c>
      <c r="C63" s="256">
        <v>7137458630</v>
      </c>
      <c r="D63" s="257" t="s">
        <v>432</v>
      </c>
    </row>
    <row r="64" spans="1:4" ht="27" customHeight="1">
      <c r="A64" s="254" t="s">
        <v>386</v>
      </c>
      <c r="B64" s="255" t="s">
        <v>425</v>
      </c>
      <c r="C64" s="256">
        <v>4097727525</v>
      </c>
      <c r="D64" s="257" t="s">
        <v>426</v>
      </c>
    </row>
    <row r="65" spans="1:4" ht="27" customHeight="1">
      <c r="A65" s="254" t="s">
        <v>23</v>
      </c>
      <c r="B65" s="255" t="s">
        <v>330</v>
      </c>
      <c r="C65" s="256">
        <v>4325522717</v>
      </c>
      <c r="D65" s="257" t="s">
        <v>331</v>
      </c>
    </row>
    <row r="66" spans="1:4" ht="27" customHeight="1">
      <c r="A66" s="254" t="s">
        <v>385</v>
      </c>
      <c r="B66" s="255" t="s">
        <v>423</v>
      </c>
      <c r="C66" s="256">
        <v>2146480888</v>
      </c>
      <c r="D66" s="257" t="s">
        <v>424</v>
      </c>
    </row>
    <row r="67" spans="1:4" ht="27" customHeight="1">
      <c r="A67" s="254" t="s">
        <v>39</v>
      </c>
      <c r="B67" s="255" t="s">
        <v>344</v>
      </c>
      <c r="C67" s="256">
        <v>2812832134</v>
      </c>
      <c r="D67" s="257" t="s">
        <v>345</v>
      </c>
    </row>
    <row r="68" spans="1:4" ht="27" customHeight="1">
      <c r="A68" s="254" t="s">
        <v>40</v>
      </c>
      <c r="B68" s="255" t="s">
        <v>346</v>
      </c>
      <c r="C68" s="256">
        <v>7132218617</v>
      </c>
      <c r="D68" s="257" t="s">
        <v>347</v>
      </c>
    </row>
    <row r="69" spans="1:4" ht="27" customHeight="1">
      <c r="A69" s="254" t="s">
        <v>830</v>
      </c>
      <c r="B69" s="255" t="s">
        <v>883</v>
      </c>
      <c r="C69" s="256">
        <v>7137438188</v>
      </c>
      <c r="D69" s="257" t="s">
        <v>885</v>
      </c>
    </row>
    <row r="70" spans="1:4" ht="27" customHeight="1">
      <c r="A70" s="254" t="s">
        <v>41</v>
      </c>
      <c r="B70" s="255" t="s">
        <v>348</v>
      </c>
      <c r="C70" s="256">
        <v>3615704873</v>
      </c>
      <c r="D70" s="257" t="s">
        <v>349</v>
      </c>
    </row>
    <row r="71" spans="1:4" ht="27" customHeight="1">
      <c r="A71" s="254" t="s">
        <v>716</v>
      </c>
      <c r="B71" s="255" t="s">
        <v>342</v>
      </c>
      <c r="C71" s="256">
        <v>7137435296</v>
      </c>
      <c r="D71" s="257" t="s">
        <v>343</v>
      </c>
    </row>
    <row r="72" spans="1:4" ht="27" customHeight="1">
      <c r="A72" s="254" t="s">
        <v>838</v>
      </c>
      <c r="B72" s="255" t="s">
        <v>342</v>
      </c>
      <c r="C72" s="256">
        <v>7137435296</v>
      </c>
      <c r="D72" s="257" t="s">
        <v>343</v>
      </c>
    </row>
    <row r="73" spans="1:4" ht="27" customHeight="1">
      <c r="A73" s="254" t="s">
        <v>48</v>
      </c>
      <c r="B73" s="255" t="s">
        <v>913</v>
      </c>
      <c r="C73" s="256">
        <v>9403695095</v>
      </c>
      <c r="D73" s="257" t="s">
        <v>364</v>
      </c>
    </row>
    <row r="74" spans="1:4" ht="27" customHeight="1">
      <c r="A74" s="254" t="s">
        <v>833</v>
      </c>
      <c r="B74" s="255" t="s">
        <v>911</v>
      </c>
      <c r="C74" s="256" t="s">
        <v>911</v>
      </c>
      <c r="D74" s="257" t="s">
        <v>911</v>
      </c>
    </row>
    <row r="75" spans="1:4" ht="27" customHeight="1">
      <c r="A75" s="254" t="s">
        <v>49</v>
      </c>
      <c r="B75" s="255" t="s">
        <v>365</v>
      </c>
      <c r="C75" s="256" t="s">
        <v>911</v>
      </c>
      <c r="D75" s="257" t="s">
        <v>366</v>
      </c>
    </row>
    <row r="76" spans="1:4" ht="27" customHeight="1">
      <c r="A76" s="254" t="s">
        <v>392</v>
      </c>
      <c r="B76" s="255" t="s">
        <v>433</v>
      </c>
      <c r="C76" s="256">
        <v>8177352609</v>
      </c>
      <c r="D76" s="257" t="s">
        <v>434</v>
      </c>
    </row>
    <row r="77" spans="1:4" ht="27" customHeight="1">
      <c r="A77" s="254" t="s">
        <v>34</v>
      </c>
      <c r="B77" s="255" t="s">
        <v>340</v>
      </c>
      <c r="C77" s="256">
        <v>9794586077</v>
      </c>
      <c r="D77" s="257" t="s">
        <v>341</v>
      </c>
    </row>
  </sheetData>
  <sheetProtection algorithmName="SHA-512" hashValue="j49y8UjrMVZTAU9vDZpT1vtySmyyHVQjzsCvY07GeHNCfCkvIQ/e1GxBwNJcKJERqw3tkjSkx1J0Ly/pG9Ke/g==" saltValue="Bch2UtAnffqYYYkUd4qXmg==" spinCount="100000" sheet="1" objects="1" scenarios="1" autoFilter="0"/>
  <pageMargins left="0.7" right="0.7" top="0.75" bottom="0.75" header="0.3" footer="0.3"/>
  <drawing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008DE-6514-49B7-B7CA-F387721C420D}">
  <sheetPr codeName="Sheet16">
    <tabColor rgb="FFFF0000"/>
    <pageSetUpPr fitToPage="1"/>
  </sheetPr>
  <dimension ref="A1:F381"/>
  <sheetViews>
    <sheetView zoomScale="85" zoomScaleNormal="85" workbookViewId="0">
      <pane ySplit="3" topLeftCell="A84" activePane="bottomLeft" state="frozen"/>
      <selection pane="bottomLeft" activeCell="A5" sqref="A5:A6"/>
    </sheetView>
  </sheetViews>
  <sheetFormatPr defaultColWidth="8.81640625" defaultRowHeight="15"/>
  <cols>
    <col min="1" max="1" width="60.81640625" style="2" customWidth="1"/>
    <col min="2" max="2" width="11.08984375" style="2" customWidth="1"/>
    <col min="3" max="3" width="15.90625" style="2" customWidth="1"/>
    <col min="4" max="4" width="14.81640625" style="2" customWidth="1"/>
    <col min="5" max="5" width="21.453125" style="2" customWidth="1"/>
    <col min="6" max="16384" width="8.81640625" style="2"/>
  </cols>
  <sheetData>
    <row r="1" spans="1:6" ht="22.8">
      <c r="A1" s="390" t="s">
        <v>643</v>
      </c>
      <c r="B1" s="390"/>
      <c r="C1" s="390"/>
      <c r="D1" s="390"/>
      <c r="E1" s="390"/>
      <c r="F1" s="5"/>
    </row>
    <row r="2" spans="1:6" ht="21">
      <c r="A2" s="515" t="s">
        <v>664</v>
      </c>
      <c r="B2" s="515"/>
      <c r="C2" s="515"/>
      <c r="D2" s="515"/>
      <c r="E2" s="515"/>
      <c r="F2" s="1"/>
    </row>
    <row r="3" spans="1:6">
      <c r="A3" s="516">
        <f>Hidden!$A$4</f>
        <v>45412</v>
      </c>
      <c r="B3" s="517"/>
      <c r="C3" s="517"/>
      <c r="D3" s="517"/>
      <c r="E3" s="517"/>
      <c r="F3" s="1"/>
    </row>
    <row r="4" spans="1:6">
      <c r="A4" s="24"/>
      <c r="B4" s="3"/>
      <c r="C4" s="3"/>
      <c r="D4" s="3"/>
      <c r="E4" s="3"/>
      <c r="F4" s="1"/>
    </row>
    <row r="5" spans="1:6">
      <c r="A5" s="518" t="s">
        <v>1</v>
      </c>
      <c r="B5" s="520" t="s">
        <v>2</v>
      </c>
      <c r="C5" s="520" t="s">
        <v>649</v>
      </c>
      <c r="D5" s="520" t="s">
        <v>646</v>
      </c>
      <c r="E5" s="520" t="s">
        <v>663</v>
      </c>
      <c r="F5" s="1"/>
    </row>
    <row r="6" spans="1:6" ht="15.6" thickBot="1">
      <c r="A6" s="519"/>
      <c r="B6" s="521"/>
      <c r="C6" s="521"/>
      <c r="D6" s="521"/>
      <c r="E6" s="521"/>
      <c r="F6" s="1"/>
    </row>
    <row r="7" spans="1:6">
      <c r="A7" s="1" t="s">
        <v>385</v>
      </c>
      <c r="B7" s="25">
        <v>30</v>
      </c>
      <c r="C7" s="3">
        <v>390</v>
      </c>
      <c r="D7" s="1"/>
      <c r="E7" s="26"/>
      <c r="F7" s="1"/>
    </row>
    <row r="8" spans="1:6">
      <c r="A8" s="1" t="s">
        <v>386</v>
      </c>
      <c r="B8" s="25">
        <v>104952</v>
      </c>
      <c r="C8" s="3">
        <v>400</v>
      </c>
      <c r="D8" s="1"/>
      <c r="E8" s="26"/>
      <c r="F8" s="1"/>
    </row>
    <row r="9" spans="1:6">
      <c r="A9" s="1" t="s">
        <v>387</v>
      </c>
      <c r="B9" s="25">
        <v>11618</v>
      </c>
      <c r="C9" s="3">
        <v>410</v>
      </c>
      <c r="D9" s="1"/>
      <c r="E9" s="26"/>
      <c r="F9" s="1"/>
    </row>
    <row r="10" spans="1:6">
      <c r="A10" s="1" t="s">
        <v>388</v>
      </c>
      <c r="B10" s="25">
        <v>40</v>
      </c>
      <c r="C10" s="3">
        <v>420</v>
      </c>
      <c r="D10" s="1"/>
      <c r="E10" s="26"/>
      <c r="F10" s="1"/>
    </row>
    <row r="11" spans="1:6">
      <c r="A11" s="1" t="s">
        <v>389</v>
      </c>
      <c r="B11" s="25">
        <v>25554</v>
      </c>
      <c r="C11" s="3">
        <v>430</v>
      </c>
      <c r="D11" s="1"/>
      <c r="E11" s="26"/>
      <c r="F11" s="1"/>
    </row>
    <row r="12" spans="1:6">
      <c r="A12" s="1" t="s">
        <v>390</v>
      </c>
      <c r="B12" s="25">
        <v>42439</v>
      </c>
      <c r="C12" s="3">
        <v>440</v>
      </c>
      <c r="D12" s="1"/>
      <c r="E12" s="26"/>
      <c r="F12" s="1"/>
    </row>
    <row r="13" spans="1:6">
      <c r="A13" s="1" t="s">
        <v>391</v>
      </c>
      <c r="B13" s="25">
        <v>89</v>
      </c>
      <c r="C13" s="3">
        <v>450</v>
      </c>
      <c r="D13" s="1"/>
      <c r="E13" s="26"/>
      <c r="F13" s="1"/>
    </row>
    <row r="14" spans="1:6">
      <c r="A14" s="1" t="s">
        <v>392</v>
      </c>
      <c r="B14" s="25">
        <v>130</v>
      </c>
      <c r="C14" s="3">
        <v>461</v>
      </c>
      <c r="D14" s="1"/>
      <c r="E14" s="26">
        <v>15125502</v>
      </c>
      <c r="F14" s="1"/>
    </row>
    <row r="15" spans="1:6">
      <c r="A15" s="1" t="s">
        <v>393</v>
      </c>
      <c r="B15" s="25">
        <v>412</v>
      </c>
      <c r="C15" s="3">
        <v>470</v>
      </c>
      <c r="D15" s="1"/>
      <c r="E15" s="26">
        <v>21652392</v>
      </c>
      <c r="F15" s="1"/>
    </row>
    <row r="16" spans="1:6">
      <c r="A16" s="1" t="s">
        <v>394</v>
      </c>
      <c r="B16" s="25">
        <v>862</v>
      </c>
      <c r="C16" s="3">
        <v>480</v>
      </c>
      <c r="D16" s="1"/>
      <c r="E16" s="26">
        <v>5557572</v>
      </c>
      <c r="F16" s="1"/>
    </row>
    <row r="17" spans="1:6">
      <c r="A17" s="1" t="s">
        <v>395</v>
      </c>
      <c r="B17" s="25">
        <v>203599</v>
      </c>
      <c r="C17" s="3">
        <v>500</v>
      </c>
      <c r="D17" s="1"/>
      <c r="E17" s="26"/>
      <c r="F17" s="1"/>
    </row>
    <row r="18" spans="1:6">
      <c r="A18" s="1" t="s">
        <v>396</v>
      </c>
      <c r="B18" s="25">
        <v>203658</v>
      </c>
      <c r="C18" s="3">
        <v>510</v>
      </c>
      <c r="D18" s="1"/>
      <c r="E18" s="26"/>
      <c r="F18" s="1"/>
    </row>
    <row r="19" spans="1:6">
      <c r="A19" s="1" t="s">
        <v>397</v>
      </c>
      <c r="B19" s="25">
        <v>203652</v>
      </c>
      <c r="C19" s="3">
        <v>520</v>
      </c>
      <c r="D19" s="1"/>
      <c r="E19" s="26"/>
      <c r="F19" s="1"/>
    </row>
    <row r="20" spans="1:6">
      <c r="A20" s="1" t="s">
        <v>398</v>
      </c>
      <c r="B20" s="25">
        <v>103606</v>
      </c>
      <c r="C20" s="3">
        <v>530</v>
      </c>
      <c r="D20" s="1"/>
      <c r="E20" s="26"/>
      <c r="F20" s="1"/>
    </row>
    <row r="21" spans="1:6">
      <c r="A21" s="1" t="s">
        <v>63</v>
      </c>
      <c r="B21" s="25">
        <v>36273</v>
      </c>
      <c r="C21" s="3">
        <v>490</v>
      </c>
      <c r="D21" s="3">
        <v>430</v>
      </c>
      <c r="E21" s="26">
        <v>2553130</v>
      </c>
      <c r="F21" s="1"/>
    </row>
    <row r="22" spans="1:6">
      <c r="A22" s="1" t="s">
        <v>64</v>
      </c>
      <c r="B22" s="25">
        <v>23582</v>
      </c>
      <c r="C22" s="3">
        <v>500</v>
      </c>
      <c r="D22" s="3">
        <v>440</v>
      </c>
      <c r="E22" s="26">
        <v>1488396</v>
      </c>
      <c r="F22" s="1"/>
    </row>
    <row r="23" spans="1:6">
      <c r="A23" s="1" t="s">
        <v>65</v>
      </c>
      <c r="B23" s="25">
        <v>23485</v>
      </c>
      <c r="C23" s="3">
        <v>510</v>
      </c>
      <c r="D23" s="3">
        <v>450</v>
      </c>
      <c r="E23" s="26">
        <v>2217102</v>
      </c>
      <c r="F23" s="1"/>
    </row>
    <row r="24" spans="1:6">
      <c r="A24" s="1" t="s">
        <v>66</v>
      </c>
      <c r="B24" s="25">
        <v>9225</v>
      </c>
      <c r="C24" s="3">
        <v>520</v>
      </c>
      <c r="D24" s="3">
        <v>390</v>
      </c>
      <c r="E24" s="26">
        <v>2604593</v>
      </c>
      <c r="F24" s="1"/>
    </row>
    <row r="25" spans="1:6">
      <c r="A25" s="1" t="s">
        <v>67</v>
      </c>
      <c r="B25" s="25">
        <v>9932</v>
      </c>
      <c r="C25" s="3">
        <v>530</v>
      </c>
      <c r="D25" s="3">
        <v>400</v>
      </c>
      <c r="E25" s="26">
        <v>992536</v>
      </c>
      <c r="F25" s="1"/>
    </row>
    <row r="26" spans="1:6">
      <c r="A26" s="1" t="s">
        <v>68</v>
      </c>
      <c r="B26" s="25">
        <v>33965</v>
      </c>
      <c r="C26" s="3">
        <v>540</v>
      </c>
      <c r="D26" s="3">
        <v>410</v>
      </c>
      <c r="E26" s="26">
        <v>725027</v>
      </c>
      <c r="F26" s="1"/>
    </row>
    <row r="27" spans="1:6">
      <c r="A27" s="1" t="s">
        <v>69</v>
      </c>
      <c r="B27" s="25">
        <v>3634</v>
      </c>
      <c r="C27" s="3">
        <v>550</v>
      </c>
      <c r="D27" s="3">
        <v>420</v>
      </c>
      <c r="E27" s="26">
        <v>3088797</v>
      </c>
      <c r="F27" s="1"/>
    </row>
    <row r="28" spans="1:6">
      <c r="A28" s="1" t="s">
        <v>70</v>
      </c>
      <c r="B28" s="25">
        <v>133965</v>
      </c>
      <c r="C28" s="3">
        <v>552</v>
      </c>
      <c r="D28" s="3">
        <v>430</v>
      </c>
      <c r="E28" s="26">
        <v>283709</v>
      </c>
      <c r="F28" s="1"/>
    </row>
    <row r="29" spans="1:6">
      <c r="A29" s="1" t="s">
        <v>71</v>
      </c>
      <c r="B29" s="25">
        <v>203634</v>
      </c>
      <c r="C29" s="3">
        <v>553</v>
      </c>
      <c r="D29" s="3">
        <v>440</v>
      </c>
      <c r="E29" s="26">
        <v>967838</v>
      </c>
      <c r="F29" s="1"/>
    </row>
    <row r="30" spans="1:6">
      <c r="A30" s="1" t="s">
        <v>20</v>
      </c>
      <c r="B30" s="25">
        <v>3656</v>
      </c>
      <c r="C30" s="3">
        <v>40</v>
      </c>
      <c r="D30" s="27">
        <v>10</v>
      </c>
      <c r="E30" s="26">
        <v>0</v>
      </c>
      <c r="F30" s="1"/>
    </row>
    <row r="31" spans="1:6">
      <c r="A31" s="1" t="s">
        <v>714</v>
      </c>
      <c r="B31" s="25">
        <v>3658</v>
      </c>
      <c r="C31" s="3">
        <v>51</v>
      </c>
      <c r="D31" s="27">
        <v>21</v>
      </c>
      <c r="E31" s="26">
        <v>0</v>
      </c>
      <c r="F31" s="1"/>
    </row>
    <row r="32" spans="1:6">
      <c r="A32" s="1" t="s">
        <v>21</v>
      </c>
      <c r="B32" s="25">
        <v>9741</v>
      </c>
      <c r="C32" s="3">
        <v>60</v>
      </c>
      <c r="D32" s="27">
        <v>30</v>
      </c>
      <c r="E32" s="26">
        <v>0</v>
      </c>
      <c r="F32" s="1"/>
    </row>
    <row r="33" spans="1:6">
      <c r="A33" s="1" t="s">
        <v>22</v>
      </c>
      <c r="B33" s="25">
        <v>3661</v>
      </c>
      <c r="C33" s="3">
        <v>70</v>
      </c>
      <c r="D33" s="27">
        <v>40</v>
      </c>
      <c r="E33" s="26">
        <v>0</v>
      </c>
      <c r="F33" s="1"/>
    </row>
    <row r="34" spans="1:6">
      <c r="A34" s="1" t="s">
        <v>715</v>
      </c>
      <c r="B34" s="25">
        <v>3599</v>
      </c>
      <c r="C34" s="3">
        <v>91</v>
      </c>
      <c r="D34" s="27">
        <v>61</v>
      </c>
      <c r="E34" s="26">
        <v>0</v>
      </c>
      <c r="F34" s="1"/>
    </row>
    <row r="35" spans="1:6">
      <c r="A35" s="1" t="s">
        <v>23</v>
      </c>
      <c r="B35" s="25">
        <v>9930</v>
      </c>
      <c r="C35" s="3">
        <v>100</v>
      </c>
      <c r="D35" s="27">
        <v>70</v>
      </c>
      <c r="E35" s="26">
        <v>0</v>
      </c>
      <c r="F35" s="1"/>
    </row>
    <row r="36" spans="1:6">
      <c r="A36" s="1" t="s">
        <v>24</v>
      </c>
      <c r="B36" s="25">
        <v>10115</v>
      </c>
      <c r="C36" s="3">
        <v>110</v>
      </c>
      <c r="D36" s="27">
        <v>80</v>
      </c>
      <c r="E36" s="26">
        <v>0</v>
      </c>
      <c r="F36" s="1"/>
    </row>
    <row r="37" spans="1:6">
      <c r="A37" s="1" t="s">
        <v>25</v>
      </c>
      <c r="B37" s="25">
        <v>11163</v>
      </c>
      <c r="C37" s="3">
        <v>120</v>
      </c>
      <c r="D37" s="27">
        <v>90</v>
      </c>
      <c r="E37" s="26">
        <v>0</v>
      </c>
      <c r="F37" s="1"/>
    </row>
    <row r="38" spans="1:6">
      <c r="A38" s="1" t="s">
        <v>27</v>
      </c>
      <c r="B38" s="25">
        <v>3632</v>
      </c>
      <c r="C38" s="3">
        <v>130</v>
      </c>
      <c r="D38" s="27">
        <v>100</v>
      </c>
      <c r="E38" s="26">
        <v>0</v>
      </c>
      <c r="F38" s="1"/>
    </row>
    <row r="39" spans="1:6">
      <c r="A39" s="1" t="s">
        <v>28</v>
      </c>
      <c r="B39" s="25">
        <v>10298</v>
      </c>
      <c r="C39" s="3">
        <v>140</v>
      </c>
      <c r="D39" s="27">
        <v>110</v>
      </c>
      <c r="E39" s="26">
        <v>0</v>
      </c>
      <c r="F39" s="1"/>
    </row>
    <row r="40" spans="1:6">
      <c r="A40" s="1" t="s">
        <v>29</v>
      </c>
      <c r="B40" s="25">
        <v>3630</v>
      </c>
      <c r="C40" s="3">
        <v>150</v>
      </c>
      <c r="D40" s="27">
        <v>120</v>
      </c>
      <c r="E40" s="26">
        <v>0</v>
      </c>
      <c r="F40" s="1"/>
    </row>
    <row r="41" spans="1:6">
      <c r="A41" s="1" t="s">
        <v>30</v>
      </c>
      <c r="B41" s="25">
        <v>3631</v>
      </c>
      <c r="C41" s="3">
        <v>160</v>
      </c>
      <c r="D41" s="27">
        <v>130</v>
      </c>
      <c r="E41" s="26">
        <v>0</v>
      </c>
      <c r="F41" s="1"/>
    </row>
    <row r="42" spans="1:6">
      <c r="A42" s="1" t="s">
        <v>31</v>
      </c>
      <c r="B42" s="25">
        <v>11161</v>
      </c>
      <c r="C42" s="3">
        <v>170</v>
      </c>
      <c r="D42" s="27">
        <v>150</v>
      </c>
      <c r="E42" s="26">
        <v>11478824</v>
      </c>
      <c r="F42" s="1"/>
    </row>
    <row r="43" spans="1:6">
      <c r="A43" s="1" t="s">
        <v>32</v>
      </c>
      <c r="B43" s="25">
        <v>3639</v>
      </c>
      <c r="C43" s="3">
        <v>180</v>
      </c>
      <c r="D43" s="27">
        <v>160</v>
      </c>
      <c r="E43" s="26">
        <v>8858060</v>
      </c>
      <c r="F43" s="1"/>
    </row>
    <row r="44" spans="1:6">
      <c r="A44" s="1" t="s">
        <v>33</v>
      </c>
      <c r="B44" s="25">
        <v>9651</v>
      </c>
      <c r="C44" s="3">
        <v>190</v>
      </c>
      <c r="D44" s="27">
        <v>180</v>
      </c>
      <c r="E44" s="26">
        <v>7462394</v>
      </c>
      <c r="F44" s="1"/>
    </row>
    <row r="45" spans="1:6">
      <c r="A45" s="1" t="s">
        <v>34</v>
      </c>
      <c r="B45" s="25">
        <v>3665</v>
      </c>
      <c r="C45" s="3">
        <v>200</v>
      </c>
      <c r="D45" s="27">
        <v>190</v>
      </c>
      <c r="E45" s="26">
        <v>7446495</v>
      </c>
      <c r="F45" s="1"/>
    </row>
    <row r="46" spans="1:6">
      <c r="A46" s="1" t="s">
        <v>35</v>
      </c>
      <c r="B46" s="25">
        <v>3565</v>
      </c>
      <c r="C46" s="3">
        <v>210</v>
      </c>
      <c r="D46" s="27">
        <v>200</v>
      </c>
      <c r="E46" s="26">
        <v>11123859</v>
      </c>
      <c r="F46" s="1"/>
    </row>
    <row r="47" spans="1:6">
      <c r="A47" s="1" t="s">
        <v>36</v>
      </c>
      <c r="B47" s="25">
        <v>29269</v>
      </c>
      <c r="C47" s="3">
        <v>220</v>
      </c>
      <c r="D47" s="27">
        <v>210</v>
      </c>
      <c r="E47" s="26">
        <v>2050273</v>
      </c>
      <c r="F47" s="1"/>
    </row>
    <row r="48" spans="1:6">
      <c r="A48" s="1" t="s">
        <v>37</v>
      </c>
      <c r="B48" s="25">
        <v>42295</v>
      </c>
      <c r="C48" s="3">
        <v>223</v>
      </c>
      <c r="D48" s="27">
        <v>140</v>
      </c>
      <c r="E48" s="26">
        <v>0</v>
      </c>
      <c r="F48" s="1"/>
    </row>
    <row r="49" spans="1:6">
      <c r="A49" s="1" t="s">
        <v>38</v>
      </c>
      <c r="B49" s="25">
        <v>42485</v>
      </c>
      <c r="C49" s="3">
        <v>226</v>
      </c>
      <c r="D49" s="27">
        <v>170</v>
      </c>
      <c r="E49" s="26">
        <v>0</v>
      </c>
      <c r="F49" s="1"/>
    </row>
    <row r="50" spans="1:6">
      <c r="A50" s="1" t="s">
        <v>660</v>
      </c>
      <c r="B50" s="25">
        <v>3652</v>
      </c>
      <c r="C50" s="3">
        <v>230</v>
      </c>
      <c r="D50" s="27">
        <v>220</v>
      </c>
      <c r="E50" s="26">
        <v>54514004</v>
      </c>
      <c r="F50" s="1"/>
    </row>
    <row r="51" spans="1:6">
      <c r="A51" s="1" t="s">
        <v>716</v>
      </c>
      <c r="B51" s="25">
        <v>3652</v>
      </c>
      <c r="C51" s="3">
        <v>231</v>
      </c>
      <c r="D51" s="27">
        <v>221</v>
      </c>
      <c r="E51" s="26">
        <v>0</v>
      </c>
      <c r="F51" s="1"/>
    </row>
    <row r="52" spans="1:6">
      <c r="A52" s="1" t="s">
        <v>39</v>
      </c>
      <c r="B52" s="25">
        <v>11711</v>
      </c>
      <c r="C52" s="3">
        <v>240</v>
      </c>
      <c r="D52" s="27">
        <v>230</v>
      </c>
      <c r="E52" s="26">
        <v>7726043</v>
      </c>
      <c r="F52" s="1"/>
    </row>
    <row r="53" spans="1:6">
      <c r="A53" s="1" t="s">
        <v>40</v>
      </c>
      <c r="B53" s="25">
        <v>12826</v>
      </c>
      <c r="C53" s="3">
        <v>250</v>
      </c>
      <c r="D53" s="27">
        <v>240</v>
      </c>
      <c r="E53" s="26">
        <v>10828344</v>
      </c>
      <c r="F53" s="1"/>
    </row>
    <row r="54" spans="1:6">
      <c r="A54" s="1" t="s">
        <v>41</v>
      </c>
      <c r="B54" s="25">
        <v>13231</v>
      </c>
      <c r="C54" s="3">
        <v>260</v>
      </c>
      <c r="D54" s="27">
        <v>250</v>
      </c>
      <c r="E54" s="26">
        <v>3542817</v>
      </c>
      <c r="F54" s="1"/>
    </row>
    <row r="55" spans="1:6">
      <c r="A55" s="1" t="s">
        <v>42</v>
      </c>
      <c r="B55" s="25">
        <v>3581</v>
      </c>
      <c r="C55" s="3">
        <v>270</v>
      </c>
      <c r="D55" s="27">
        <v>340</v>
      </c>
      <c r="E55" s="26">
        <v>13141181</v>
      </c>
      <c r="F55" s="1"/>
    </row>
    <row r="56" spans="1:6">
      <c r="A56" s="1" t="s">
        <v>43</v>
      </c>
      <c r="B56" s="25">
        <v>3606</v>
      </c>
      <c r="C56" s="3">
        <v>280</v>
      </c>
      <c r="D56" s="27">
        <v>350</v>
      </c>
      <c r="E56" s="26">
        <v>0</v>
      </c>
      <c r="F56" s="1"/>
    </row>
    <row r="57" spans="1:6">
      <c r="A57" s="1" t="s">
        <v>717</v>
      </c>
      <c r="B57" s="25">
        <v>3606</v>
      </c>
      <c r="C57" s="3">
        <v>281</v>
      </c>
      <c r="D57" s="27">
        <v>351</v>
      </c>
      <c r="E57" s="26">
        <v>18236811</v>
      </c>
      <c r="F57" s="1"/>
    </row>
    <row r="58" spans="1:6">
      <c r="A58" s="1" t="s">
        <v>44</v>
      </c>
      <c r="B58" s="25">
        <v>3615</v>
      </c>
      <c r="C58" s="3">
        <v>290</v>
      </c>
      <c r="D58" s="27">
        <v>360</v>
      </c>
      <c r="E58" s="26">
        <v>37606478</v>
      </c>
      <c r="F58" s="1"/>
    </row>
    <row r="59" spans="1:6">
      <c r="A59" s="1" t="s">
        <v>45</v>
      </c>
      <c r="B59" s="25">
        <v>3625</v>
      </c>
      <c r="C59" s="3">
        <v>300</v>
      </c>
      <c r="D59" s="27">
        <v>370</v>
      </c>
      <c r="E59" s="26">
        <v>2624613</v>
      </c>
      <c r="F59" s="1"/>
    </row>
    <row r="60" spans="1:6">
      <c r="A60" s="1" t="s">
        <v>46</v>
      </c>
      <c r="B60" s="25">
        <v>3644</v>
      </c>
      <c r="C60" s="3">
        <v>310</v>
      </c>
      <c r="D60" s="27">
        <v>310</v>
      </c>
      <c r="E60" s="26">
        <v>49874746</v>
      </c>
      <c r="F60" s="1"/>
    </row>
    <row r="61" spans="1:6">
      <c r="A61" s="1" t="s">
        <v>47</v>
      </c>
      <c r="B61" s="25">
        <v>3541</v>
      </c>
      <c r="C61" s="3">
        <v>320</v>
      </c>
      <c r="D61" s="27">
        <v>320</v>
      </c>
      <c r="E61" s="26">
        <v>6792999</v>
      </c>
      <c r="F61" s="1"/>
    </row>
    <row r="62" spans="1:6">
      <c r="A62" s="1" t="s">
        <v>48</v>
      </c>
      <c r="B62" s="25">
        <v>3594</v>
      </c>
      <c r="C62" s="3">
        <v>330</v>
      </c>
      <c r="D62" s="27">
        <v>270</v>
      </c>
      <c r="E62" s="26">
        <v>37346563</v>
      </c>
      <c r="F62" s="1"/>
    </row>
    <row r="63" spans="1:6">
      <c r="A63" s="1" t="s">
        <v>49</v>
      </c>
      <c r="B63" s="25">
        <v>42421</v>
      </c>
      <c r="C63" s="3">
        <v>333</v>
      </c>
      <c r="D63" s="27">
        <v>280</v>
      </c>
      <c r="E63" s="26">
        <v>3354441</v>
      </c>
      <c r="F63" s="1"/>
    </row>
    <row r="64" spans="1:6">
      <c r="A64" s="1" t="s">
        <v>50</v>
      </c>
      <c r="B64" s="25">
        <v>3592</v>
      </c>
      <c r="C64" s="3">
        <v>340</v>
      </c>
      <c r="D64" s="27">
        <v>260</v>
      </c>
      <c r="E64" s="26">
        <v>4933200</v>
      </c>
      <c r="F64" s="1"/>
    </row>
    <row r="65" spans="1:6">
      <c r="A65" s="1" t="s">
        <v>26</v>
      </c>
      <c r="B65" s="25">
        <v>3624</v>
      </c>
      <c r="C65" s="3">
        <v>350</v>
      </c>
      <c r="D65" s="27">
        <v>290</v>
      </c>
      <c r="E65" s="26">
        <v>11277793</v>
      </c>
      <c r="F65" s="1"/>
    </row>
    <row r="66" spans="1:6">
      <c r="A66" s="1" t="s">
        <v>51</v>
      </c>
      <c r="B66" s="25">
        <v>3642</v>
      </c>
      <c r="C66" s="3">
        <v>360</v>
      </c>
      <c r="D66" s="27">
        <v>300</v>
      </c>
      <c r="E66" s="26">
        <v>11719335</v>
      </c>
      <c r="F66" s="1"/>
    </row>
    <row r="67" spans="1:6">
      <c r="A67" s="1" t="s">
        <v>52</v>
      </c>
      <c r="B67" s="25">
        <v>3646</v>
      </c>
      <c r="C67" s="3">
        <v>370</v>
      </c>
      <c r="D67" s="27">
        <v>330</v>
      </c>
      <c r="E67" s="26">
        <v>14554133</v>
      </c>
      <c r="F67" s="1"/>
    </row>
    <row r="68" spans="1:6">
      <c r="A68" s="1" t="s">
        <v>53</v>
      </c>
      <c r="B68" s="25">
        <v>556</v>
      </c>
      <c r="C68" s="3">
        <v>600</v>
      </c>
      <c r="D68" s="27"/>
      <c r="E68" s="26"/>
      <c r="F68" s="1"/>
    </row>
    <row r="69" spans="1:6">
      <c r="A69" s="1" t="s">
        <v>54</v>
      </c>
      <c r="B69" s="25">
        <v>555</v>
      </c>
      <c r="C69" s="3">
        <v>605</v>
      </c>
      <c r="D69" s="27"/>
      <c r="E69" s="26"/>
      <c r="F69" s="1"/>
    </row>
    <row r="70" spans="1:6">
      <c r="A70" s="1" t="s">
        <v>55</v>
      </c>
      <c r="B70" s="25">
        <v>712</v>
      </c>
      <c r="C70" s="3">
        <v>610</v>
      </c>
      <c r="D70" s="27"/>
      <c r="E70" s="26"/>
      <c r="F70" s="1"/>
    </row>
    <row r="71" spans="1:6">
      <c r="A71" s="1" t="s">
        <v>56</v>
      </c>
      <c r="B71" s="25">
        <v>716</v>
      </c>
      <c r="C71" s="3">
        <v>615</v>
      </c>
      <c r="D71" s="27"/>
      <c r="E71" s="26"/>
      <c r="F71" s="1"/>
    </row>
    <row r="72" spans="1:6">
      <c r="A72" s="1" t="s">
        <v>57</v>
      </c>
      <c r="B72" s="25">
        <v>576</v>
      </c>
      <c r="C72" s="3">
        <v>620</v>
      </c>
      <c r="D72" s="27"/>
      <c r="E72" s="26"/>
      <c r="F72" s="1"/>
    </row>
    <row r="73" spans="1:6">
      <c r="A73" s="1" t="s">
        <v>58</v>
      </c>
      <c r="B73" s="25">
        <v>727</v>
      </c>
      <c r="C73" s="3">
        <v>625</v>
      </c>
      <c r="D73" s="27"/>
      <c r="E73" s="26"/>
      <c r="F73" s="1"/>
    </row>
    <row r="74" spans="1:6">
      <c r="A74" s="1" t="s">
        <v>59</v>
      </c>
      <c r="B74" s="25">
        <v>557</v>
      </c>
      <c r="C74" s="3">
        <v>630</v>
      </c>
      <c r="D74" s="27"/>
      <c r="E74" s="26"/>
      <c r="F74" s="1"/>
    </row>
    <row r="75" spans="1:6">
      <c r="A75" s="1" t="s">
        <v>60</v>
      </c>
      <c r="B75" s="25">
        <v>575</v>
      </c>
      <c r="C75" s="3">
        <v>640</v>
      </c>
      <c r="D75" s="27"/>
      <c r="E75" s="26"/>
      <c r="F75" s="1"/>
    </row>
    <row r="76" spans="1:6">
      <c r="A76" s="1" t="s">
        <v>61</v>
      </c>
      <c r="B76" s="25">
        <v>708</v>
      </c>
      <c r="C76" s="3">
        <v>650</v>
      </c>
      <c r="D76" s="27"/>
      <c r="E76" s="26"/>
      <c r="F76" s="1"/>
    </row>
    <row r="77" spans="1:6">
      <c r="A77" s="1" t="s">
        <v>661</v>
      </c>
      <c r="B77" s="25">
        <v>11721</v>
      </c>
      <c r="C77" s="3" t="s">
        <v>662</v>
      </c>
      <c r="D77" s="28"/>
      <c r="E77" s="28"/>
      <c r="F77" s="1"/>
    </row>
    <row r="78" spans="1:6">
      <c r="A78" s="1" t="s">
        <v>650</v>
      </c>
      <c r="B78" s="25">
        <v>3629</v>
      </c>
      <c r="C78" s="3" t="s">
        <v>651</v>
      </c>
      <c r="D78" s="1"/>
      <c r="E78" s="1"/>
      <c r="F78" s="1"/>
    </row>
    <row r="79" spans="1:6">
      <c r="A79" s="1" t="s">
        <v>658</v>
      </c>
      <c r="B79" s="25">
        <v>3655</v>
      </c>
      <c r="C79" s="3" t="s">
        <v>659</v>
      </c>
      <c r="D79" s="1"/>
      <c r="E79" s="1"/>
      <c r="F79" s="1"/>
    </row>
    <row r="80" spans="1:6">
      <c r="A80" s="1" t="s">
        <v>652</v>
      </c>
      <c r="B80" s="25">
        <v>110</v>
      </c>
      <c r="C80" s="3" t="s">
        <v>653</v>
      </c>
      <c r="D80" s="1"/>
      <c r="E80" s="1"/>
      <c r="F80" s="1"/>
    </row>
    <row r="81" spans="1:6">
      <c r="A81" s="1" t="s">
        <v>654</v>
      </c>
      <c r="B81" s="25">
        <v>439154</v>
      </c>
      <c r="C81" s="3" t="s">
        <v>655</v>
      </c>
      <c r="D81" s="1"/>
      <c r="E81" s="1"/>
      <c r="F81" s="1"/>
    </row>
    <row r="82" spans="1:6">
      <c r="A82" s="1" t="s">
        <v>656</v>
      </c>
      <c r="B82" s="25">
        <v>103594</v>
      </c>
      <c r="C82" s="3" t="s">
        <v>657</v>
      </c>
      <c r="D82" s="1"/>
      <c r="E82" s="1"/>
      <c r="F82" s="1"/>
    </row>
    <row r="83" spans="1:6">
      <c r="A83" s="1" t="s">
        <v>72</v>
      </c>
      <c r="B83" s="25">
        <v>9642</v>
      </c>
      <c r="C83" s="3">
        <v>555</v>
      </c>
      <c r="D83" s="1"/>
      <c r="E83" s="26"/>
      <c r="F83" s="1"/>
    </row>
    <row r="84" spans="1:6">
      <c r="A84" s="1" t="s">
        <v>665</v>
      </c>
      <c r="B84" s="25">
        <v>518</v>
      </c>
      <c r="C84" s="3">
        <v>635</v>
      </c>
      <c r="D84" s="1"/>
      <c r="E84" s="1"/>
      <c r="F84" s="1"/>
    </row>
    <row r="85" spans="1:6">
      <c r="A85" s="1" t="s">
        <v>666</v>
      </c>
      <c r="B85" s="25">
        <v>519</v>
      </c>
      <c r="C85" s="3">
        <v>637</v>
      </c>
      <c r="D85" s="1"/>
      <c r="E85" s="1"/>
      <c r="F85" s="1"/>
    </row>
    <row r="86" spans="1:6">
      <c r="A86" s="1" t="s">
        <v>667</v>
      </c>
      <c r="B86" s="25">
        <v>707</v>
      </c>
      <c r="C86" s="3">
        <v>639</v>
      </c>
      <c r="D86" s="1"/>
      <c r="E86" s="1"/>
      <c r="F86" s="1"/>
    </row>
    <row r="87" spans="1:6">
      <c r="A87" s="1" t="s">
        <v>305</v>
      </c>
      <c r="B87" s="25">
        <v>3537</v>
      </c>
      <c r="C87" s="1"/>
      <c r="D87" s="1"/>
      <c r="E87" s="1"/>
      <c r="F87" s="1"/>
    </row>
    <row r="88" spans="1:6">
      <c r="A88" s="1" t="s">
        <v>297</v>
      </c>
      <c r="B88" s="25">
        <v>3543</v>
      </c>
      <c r="C88" s="1"/>
      <c r="D88" s="1"/>
      <c r="E88" s="1"/>
      <c r="F88" s="1"/>
    </row>
    <row r="89" spans="1:6">
      <c r="A89" s="1" t="s">
        <v>306</v>
      </c>
      <c r="B89" s="25">
        <v>3545</v>
      </c>
      <c r="C89" s="1"/>
      <c r="D89" s="1"/>
      <c r="E89" s="1"/>
      <c r="F89" s="1"/>
    </row>
    <row r="90" spans="1:6">
      <c r="A90" s="1" t="s">
        <v>690</v>
      </c>
      <c r="B90" s="25">
        <v>3564</v>
      </c>
      <c r="C90" s="1"/>
      <c r="D90" s="1"/>
      <c r="E90" s="1"/>
      <c r="F90" s="1"/>
    </row>
    <row r="91" spans="1:6">
      <c r="A91" s="1" t="s">
        <v>308</v>
      </c>
      <c r="B91" s="25">
        <v>3577</v>
      </c>
      <c r="C91" s="1"/>
      <c r="D91" s="1"/>
      <c r="E91" s="1"/>
      <c r="F91" s="1"/>
    </row>
    <row r="92" spans="1:6">
      <c r="A92" s="1" t="s">
        <v>309</v>
      </c>
      <c r="B92" s="25">
        <v>3584</v>
      </c>
      <c r="C92" s="1"/>
      <c r="D92" s="1"/>
      <c r="E92" s="1"/>
      <c r="F92" s="1"/>
    </row>
    <row r="93" spans="1:6">
      <c r="A93" s="1" t="s">
        <v>310</v>
      </c>
      <c r="B93" s="25">
        <v>3591</v>
      </c>
      <c r="C93" s="1"/>
      <c r="D93" s="1"/>
      <c r="E93" s="1"/>
      <c r="F93" s="1"/>
    </row>
    <row r="94" spans="1:6">
      <c r="A94" s="1" t="s">
        <v>311</v>
      </c>
      <c r="B94" s="25">
        <v>23053</v>
      </c>
      <c r="C94" s="1"/>
      <c r="D94" s="1"/>
      <c r="E94" s="1"/>
      <c r="F94" s="1"/>
    </row>
    <row r="95" spans="1:6">
      <c r="A95" s="1" t="s">
        <v>693</v>
      </c>
      <c r="B95" s="25">
        <v>3604</v>
      </c>
      <c r="C95" s="1"/>
      <c r="D95" s="1"/>
      <c r="E95" s="1"/>
      <c r="F95" s="1"/>
    </row>
    <row r="96" spans="1:6">
      <c r="A96" s="1" t="s">
        <v>312</v>
      </c>
      <c r="B96" s="25">
        <v>3613</v>
      </c>
      <c r="C96" s="1"/>
      <c r="D96" s="1"/>
      <c r="E96" s="1"/>
      <c r="F96" s="1"/>
    </row>
    <row r="97" spans="1:6">
      <c r="A97" s="1" t="s">
        <v>313</v>
      </c>
      <c r="B97" s="25">
        <v>3620</v>
      </c>
      <c r="C97" s="1"/>
      <c r="D97" s="1"/>
      <c r="E97" s="1"/>
      <c r="F97" s="1"/>
    </row>
    <row r="98" spans="1:6">
      <c r="A98" s="1" t="s">
        <v>314</v>
      </c>
      <c r="B98" s="25">
        <v>3651</v>
      </c>
      <c r="C98" s="1"/>
      <c r="D98" s="1"/>
      <c r="E98" s="1"/>
      <c r="F98" s="1"/>
    </row>
    <row r="99" spans="1:6">
      <c r="A99" s="1" t="s">
        <v>315</v>
      </c>
      <c r="B99" s="25">
        <v>3641</v>
      </c>
      <c r="C99" s="1"/>
      <c r="D99" s="1"/>
      <c r="E99" s="1"/>
      <c r="F99" s="1"/>
    </row>
    <row r="100" spans="1:6">
      <c r="A100" s="1" t="s">
        <v>316</v>
      </c>
      <c r="B100" s="25">
        <v>3645</v>
      </c>
      <c r="C100" s="1"/>
      <c r="D100" s="1"/>
      <c r="E100" s="1"/>
      <c r="F100" s="1"/>
    </row>
    <row r="101" spans="1:6">
      <c r="A101" s="1" t="s">
        <v>317</v>
      </c>
      <c r="B101" s="25">
        <v>3647</v>
      </c>
      <c r="C101" s="1"/>
      <c r="D101" s="1"/>
      <c r="E101" s="1"/>
      <c r="F101" s="1"/>
    </row>
    <row r="102" spans="1:6">
      <c r="A102" s="1" t="s">
        <v>318</v>
      </c>
      <c r="B102" s="25">
        <v>3636</v>
      </c>
      <c r="C102" s="1"/>
      <c r="D102" s="1"/>
      <c r="E102" s="1"/>
      <c r="F102" s="1"/>
    </row>
    <row r="103" spans="1:6">
      <c r="A103" s="1" t="s">
        <v>695</v>
      </c>
      <c r="B103" s="25">
        <v>3663</v>
      </c>
      <c r="C103" s="1"/>
      <c r="D103" s="1"/>
      <c r="E103" s="1"/>
      <c r="F103" s="1"/>
    </row>
    <row r="104" spans="1:6">
      <c r="B104" s="4"/>
    </row>
    <row r="105" spans="1:6">
      <c r="B105" s="4"/>
    </row>
    <row r="106" spans="1:6">
      <c r="B106" s="4"/>
    </row>
    <row r="107" spans="1:6">
      <c r="B107" s="4"/>
    </row>
    <row r="108" spans="1:6">
      <c r="B108" s="4"/>
    </row>
    <row r="109" spans="1:6">
      <c r="B109" s="4"/>
    </row>
    <row r="110" spans="1:6">
      <c r="B110" s="4"/>
    </row>
    <row r="111" spans="1:6">
      <c r="B111" s="4"/>
    </row>
    <row r="112" spans="1:6">
      <c r="B112" s="4"/>
    </row>
    <row r="113" spans="2:2">
      <c r="B113" s="4"/>
    </row>
    <row r="114" spans="2:2">
      <c r="B114" s="4"/>
    </row>
    <row r="115" spans="2:2">
      <c r="B115" s="4"/>
    </row>
    <row r="116" spans="2:2">
      <c r="B116" s="4"/>
    </row>
    <row r="117" spans="2:2">
      <c r="B117" s="4"/>
    </row>
    <row r="118" spans="2:2">
      <c r="B118" s="4"/>
    </row>
    <row r="119" spans="2:2">
      <c r="B119" s="4"/>
    </row>
    <row r="120" spans="2:2">
      <c r="B120" s="4"/>
    </row>
    <row r="121" spans="2:2">
      <c r="B121" s="4"/>
    </row>
    <row r="122" spans="2:2">
      <c r="B122" s="4"/>
    </row>
    <row r="123" spans="2:2">
      <c r="B123" s="4"/>
    </row>
    <row r="124" spans="2:2">
      <c r="B124" s="4"/>
    </row>
    <row r="125" spans="2:2">
      <c r="B125" s="4"/>
    </row>
    <row r="126" spans="2:2">
      <c r="B126" s="4"/>
    </row>
    <row r="127" spans="2:2">
      <c r="B127" s="4"/>
    </row>
    <row r="128" spans="2:2">
      <c r="B128" s="4"/>
    </row>
    <row r="129" spans="2:2">
      <c r="B129" s="4"/>
    </row>
    <row r="130" spans="2:2">
      <c r="B130" s="4"/>
    </row>
    <row r="131" spans="2:2">
      <c r="B131" s="4"/>
    </row>
    <row r="132" spans="2:2">
      <c r="B132" s="4"/>
    </row>
    <row r="133" spans="2:2">
      <c r="B133" s="4"/>
    </row>
    <row r="134" spans="2:2">
      <c r="B134" s="4"/>
    </row>
    <row r="135" spans="2:2">
      <c r="B135" s="4"/>
    </row>
    <row r="136" spans="2:2">
      <c r="B136" s="4"/>
    </row>
    <row r="137" spans="2:2">
      <c r="B137" s="4"/>
    </row>
    <row r="138" spans="2:2">
      <c r="B138" s="4"/>
    </row>
    <row r="139" spans="2:2">
      <c r="B139" s="4"/>
    </row>
    <row r="140" spans="2:2">
      <c r="B140" s="4"/>
    </row>
    <row r="141" spans="2:2">
      <c r="B141" s="4"/>
    </row>
    <row r="142" spans="2:2">
      <c r="B142" s="4"/>
    </row>
    <row r="143" spans="2:2">
      <c r="B143" s="4"/>
    </row>
    <row r="144" spans="2:2">
      <c r="B144" s="4"/>
    </row>
    <row r="145" spans="2:2">
      <c r="B145" s="4"/>
    </row>
    <row r="146" spans="2:2">
      <c r="B146" s="4"/>
    </row>
    <row r="147" spans="2:2">
      <c r="B147" s="4"/>
    </row>
    <row r="148" spans="2:2">
      <c r="B148" s="4"/>
    </row>
    <row r="149" spans="2:2">
      <c r="B149" s="4"/>
    </row>
    <row r="150" spans="2:2">
      <c r="B150" s="4"/>
    </row>
    <row r="151" spans="2:2">
      <c r="B151" s="4"/>
    </row>
    <row r="152" spans="2:2">
      <c r="B152" s="4"/>
    </row>
    <row r="153" spans="2:2">
      <c r="B153" s="4"/>
    </row>
    <row r="154" spans="2:2">
      <c r="B154" s="4"/>
    </row>
    <row r="155" spans="2:2">
      <c r="B155" s="4"/>
    </row>
    <row r="156" spans="2:2">
      <c r="B156" s="4"/>
    </row>
    <row r="157" spans="2:2">
      <c r="B157" s="4"/>
    </row>
    <row r="158" spans="2:2">
      <c r="B158" s="4"/>
    </row>
    <row r="159" spans="2:2">
      <c r="B159" s="4"/>
    </row>
    <row r="160" spans="2:2">
      <c r="B160" s="4"/>
    </row>
    <row r="161" spans="2:2">
      <c r="B161" s="4"/>
    </row>
    <row r="162" spans="2:2">
      <c r="B162" s="4"/>
    </row>
    <row r="163" spans="2:2">
      <c r="B163" s="4"/>
    </row>
    <row r="164" spans="2:2">
      <c r="B164" s="4"/>
    </row>
    <row r="165" spans="2:2">
      <c r="B165" s="4"/>
    </row>
    <row r="166" spans="2:2">
      <c r="B166" s="4"/>
    </row>
    <row r="167" spans="2:2">
      <c r="B167" s="4"/>
    </row>
    <row r="168" spans="2:2">
      <c r="B168" s="4"/>
    </row>
    <row r="169" spans="2:2">
      <c r="B169" s="4"/>
    </row>
    <row r="170" spans="2:2">
      <c r="B170" s="4"/>
    </row>
    <row r="171" spans="2:2">
      <c r="B171" s="4"/>
    </row>
    <row r="172" spans="2:2">
      <c r="B172" s="4"/>
    </row>
    <row r="173" spans="2:2">
      <c r="B173" s="4"/>
    </row>
    <row r="174" spans="2:2">
      <c r="B174" s="4"/>
    </row>
    <row r="175" spans="2:2">
      <c r="B175" s="4"/>
    </row>
    <row r="176" spans="2:2">
      <c r="B176" s="4"/>
    </row>
    <row r="177" spans="2:2">
      <c r="B177" s="4"/>
    </row>
    <row r="178" spans="2:2">
      <c r="B178" s="4"/>
    </row>
    <row r="179" spans="2:2">
      <c r="B179" s="4"/>
    </row>
    <row r="180" spans="2:2">
      <c r="B180" s="4"/>
    </row>
    <row r="181" spans="2:2">
      <c r="B181" s="4"/>
    </row>
    <row r="182" spans="2:2">
      <c r="B182" s="4"/>
    </row>
    <row r="183" spans="2:2">
      <c r="B183" s="4"/>
    </row>
    <row r="184" spans="2:2">
      <c r="B184" s="4"/>
    </row>
    <row r="185" spans="2:2">
      <c r="B185" s="4"/>
    </row>
    <row r="186" spans="2:2">
      <c r="B186" s="4"/>
    </row>
    <row r="187" spans="2:2">
      <c r="B187" s="4"/>
    </row>
    <row r="188" spans="2:2">
      <c r="B188" s="4"/>
    </row>
    <row r="189" spans="2:2">
      <c r="B189" s="4"/>
    </row>
    <row r="190" spans="2:2">
      <c r="B190" s="4"/>
    </row>
    <row r="191" spans="2:2">
      <c r="B191" s="4"/>
    </row>
    <row r="192" spans="2:2">
      <c r="B192" s="4"/>
    </row>
    <row r="193" spans="2:2">
      <c r="B193" s="4"/>
    </row>
    <row r="194" spans="2:2">
      <c r="B194" s="4"/>
    </row>
    <row r="195" spans="2:2">
      <c r="B195" s="4"/>
    </row>
    <row r="196" spans="2:2">
      <c r="B196" s="4"/>
    </row>
    <row r="197" spans="2:2">
      <c r="B197" s="4"/>
    </row>
    <row r="198" spans="2:2">
      <c r="B198" s="4"/>
    </row>
    <row r="199" spans="2:2">
      <c r="B199" s="4"/>
    </row>
    <row r="200" spans="2:2">
      <c r="B200" s="4"/>
    </row>
    <row r="201" spans="2:2">
      <c r="B201" s="4"/>
    </row>
    <row r="202" spans="2:2">
      <c r="B202" s="4"/>
    </row>
    <row r="203" spans="2:2">
      <c r="B203" s="4"/>
    </row>
    <row r="204" spans="2:2">
      <c r="B204" s="4"/>
    </row>
    <row r="205" spans="2:2">
      <c r="B205" s="4"/>
    </row>
    <row r="206" spans="2:2">
      <c r="B206" s="4"/>
    </row>
    <row r="207" spans="2:2">
      <c r="B207" s="4"/>
    </row>
    <row r="208" spans="2:2">
      <c r="B208" s="4"/>
    </row>
    <row r="209" spans="2:2">
      <c r="B209" s="4"/>
    </row>
    <row r="210" spans="2:2">
      <c r="B210" s="4"/>
    </row>
    <row r="211" spans="2:2">
      <c r="B211" s="4"/>
    </row>
    <row r="212" spans="2:2">
      <c r="B212" s="4"/>
    </row>
    <row r="213" spans="2:2">
      <c r="B213" s="4"/>
    </row>
    <row r="214" spans="2:2">
      <c r="B214" s="4"/>
    </row>
    <row r="215" spans="2:2">
      <c r="B215" s="4"/>
    </row>
    <row r="216" spans="2:2">
      <c r="B216" s="4"/>
    </row>
    <row r="217" spans="2:2">
      <c r="B217" s="4"/>
    </row>
    <row r="218" spans="2:2">
      <c r="B218" s="4"/>
    </row>
    <row r="219" spans="2:2">
      <c r="B219" s="4"/>
    </row>
    <row r="220" spans="2:2">
      <c r="B220" s="4"/>
    </row>
    <row r="221" spans="2:2">
      <c r="B221" s="4"/>
    </row>
    <row r="222" spans="2:2">
      <c r="B222" s="4"/>
    </row>
    <row r="223" spans="2:2">
      <c r="B223" s="4"/>
    </row>
    <row r="224" spans="2:2">
      <c r="B224" s="4"/>
    </row>
    <row r="225" spans="2:2">
      <c r="B225" s="4"/>
    </row>
    <row r="226" spans="2:2">
      <c r="B226" s="4"/>
    </row>
    <row r="227" spans="2:2">
      <c r="B227" s="4"/>
    </row>
    <row r="228" spans="2:2">
      <c r="B228" s="4"/>
    </row>
    <row r="229" spans="2:2">
      <c r="B229" s="4"/>
    </row>
    <row r="230" spans="2:2">
      <c r="B230" s="4"/>
    </row>
    <row r="231" spans="2:2">
      <c r="B231" s="4"/>
    </row>
    <row r="232" spans="2:2">
      <c r="B232" s="4"/>
    </row>
    <row r="233" spans="2:2">
      <c r="B233" s="4"/>
    </row>
    <row r="234" spans="2:2">
      <c r="B234" s="4"/>
    </row>
    <row r="235" spans="2:2">
      <c r="B235" s="4"/>
    </row>
    <row r="236" spans="2:2">
      <c r="B236" s="4"/>
    </row>
    <row r="237" spans="2:2">
      <c r="B237" s="4"/>
    </row>
    <row r="238" spans="2:2">
      <c r="B238" s="4"/>
    </row>
    <row r="239" spans="2:2">
      <c r="B239" s="4"/>
    </row>
    <row r="240" spans="2:2">
      <c r="B240" s="4"/>
    </row>
    <row r="241" spans="2:2">
      <c r="B241" s="4"/>
    </row>
    <row r="242" spans="2:2">
      <c r="B242" s="4"/>
    </row>
    <row r="243" spans="2:2">
      <c r="B243" s="4"/>
    </row>
    <row r="244" spans="2:2">
      <c r="B244" s="4"/>
    </row>
    <row r="245" spans="2:2">
      <c r="B245" s="4"/>
    </row>
    <row r="246" spans="2:2">
      <c r="B246" s="4"/>
    </row>
    <row r="247" spans="2:2">
      <c r="B247" s="4"/>
    </row>
    <row r="248" spans="2:2">
      <c r="B248" s="4"/>
    </row>
    <row r="249" spans="2:2">
      <c r="B249" s="4"/>
    </row>
    <row r="250" spans="2:2">
      <c r="B250" s="4"/>
    </row>
    <row r="251" spans="2:2">
      <c r="B251" s="4"/>
    </row>
    <row r="252" spans="2:2">
      <c r="B252" s="4"/>
    </row>
    <row r="253" spans="2:2">
      <c r="B253" s="4"/>
    </row>
    <row r="254" spans="2:2">
      <c r="B254" s="4"/>
    </row>
    <row r="255" spans="2:2">
      <c r="B255" s="4"/>
    </row>
    <row r="256" spans="2:2">
      <c r="B256" s="4"/>
    </row>
    <row r="257" spans="2:2">
      <c r="B257" s="4"/>
    </row>
    <row r="258" spans="2:2">
      <c r="B258" s="4"/>
    </row>
    <row r="259" spans="2:2">
      <c r="B259" s="4"/>
    </row>
    <row r="260" spans="2:2">
      <c r="B260" s="4"/>
    </row>
    <row r="261" spans="2:2">
      <c r="B261" s="4"/>
    </row>
    <row r="262" spans="2:2">
      <c r="B262" s="4"/>
    </row>
    <row r="263" spans="2:2">
      <c r="B263" s="4"/>
    </row>
    <row r="264" spans="2:2">
      <c r="B264" s="4"/>
    </row>
    <row r="265" spans="2:2">
      <c r="B265" s="4"/>
    </row>
    <row r="266" spans="2:2">
      <c r="B266" s="4"/>
    </row>
    <row r="267" spans="2:2">
      <c r="B267" s="4"/>
    </row>
    <row r="268" spans="2:2">
      <c r="B268" s="4"/>
    </row>
    <row r="269" spans="2:2">
      <c r="B269" s="4"/>
    </row>
    <row r="270" spans="2:2">
      <c r="B270" s="4"/>
    </row>
    <row r="271" spans="2:2">
      <c r="B271" s="4"/>
    </row>
    <row r="272" spans="2:2">
      <c r="B272" s="4"/>
    </row>
    <row r="273" spans="2:2">
      <c r="B273" s="4"/>
    </row>
    <row r="274" spans="2:2">
      <c r="B274" s="4"/>
    </row>
    <row r="275" spans="2:2">
      <c r="B275" s="4"/>
    </row>
    <row r="276" spans="2:2">
      <c r="B276" s="4"/>
    </row>
    <row r="277" spans="2:2">
      <c r="B277" s="4"/>
    </row>
    <row r="278" spans="2:2">
      <c r="B278" s="4"/>
    </row>
    <row r="279" spans="2:2">
      <c r="B279" s="4"/>
    </row>
    <row r="280" spans="2:2">
      <c r="B280" s="4"/>
    </row>
    <row r="281" spans="2:2">
      <c r="B281" s="4"/>
    </row>
    <row r="282" spans="2:2">
      <c r="B282" s="4"/>
    </row>
    <row r="283" spans="2:2">
      <c r="B283" s="4"/>
    </row>
    <row r="284" spans="2:2">
      <c r="B284" s="4"/>
    </row>
    <row r="285" spans="2:2">
      <c r="B285" s="4"/>
    </row>
    <row r="286" spans="2:2">
      <c r="B286" s="4"/>
    </row>
    <row r="287" spans="2:2">
      <c r="B287" s="4"/>
    </row>
    <row r="288" spans="2:2">
      <c r="B288" s="4"/>
    </row>
    <row r="289" spans="2:2">
      <c r="B289" s="4"/>
    </row>
    <row r="290" spans="2:2">
      <c r="B290" s="4"/>
    </row>
    <row r="291" spans="2:2">
      <c r="B291" s="4"/>
    </row>
    <row r="292" spans="2:2">
      <c r="B292" s="4"/>
    </row>
    <row r="293" spans="2:2">
      <c r="B293" s="4"/>
    </row>
    <row r="294" spans="2:2">
      <c r="B294" s="4"/>
    </row>
    <row r="295" spans="2:2">
      <c r="B295" s="4"/>
    </row>
    <row r="296" spans="2:2">
      <c r="B296" s="4"/>
    </row>
    <row r="297" spans="2:2">
      <c r="B297" s="4"/>
    </row>
    <row r="298" spans="2:2">
      <c r="B298" s="4"/>
    </row>
    <row r="299" spans="2:2">
      <c r="B299" s="4"/>
    </row>
    <row r="300" spans="2:2">
      <c r="B300" s="4"/>
    </row>
    <row r="301" spans="2:2">
      <c r="B301" s="4"/>
    </row>
    <row r="302" spans="2:2">
      <c r="B302" s="4"/>
    </row>
    <row r="303" spans="2:2">
      <c r="B303" s="4"/>
    </row>
    <row r="304" spans="2:2">
      <c r="B304" s="4"/>
    </row>
    <row r="305" spans="2:2">
      <c r="B305" s="4"/>
    </row>
    <row r="306" spans="2:2">
      <c r="B306" s="4"/>
    </row>
    <row r="307" spans="2:2">
      <c r="B307" s="4"/>
    </row>
    <row r="308" spans="2:2">
      <c r="B308" s="4"/>
    </row>
    <row r="309" spans="2:2">
      <c r="B309" s="4"/>
    </row>
    <row r="310" spans="2:2">
      <c r="B310" s="4"/>
    </row>
    <row r="311" spans="2:2">
      <c r="B311" s="4"/>
    </row>
    <row r="312" spans="2:2">
      <c r="B312" s="4"/>
    </row>
    <row r="313" spans="2:2">
      <c r="B313" s="4"/>
    </row>
    <row r="314" spans="2:2">
      <c r="B314" s="4"/>
    </row>
    <row r="315" spans="2:2">
      <c r="B315" s="4"/>
    </row>
    <row r="316" spans="2:2">
      <c r="B316" s="4"/>
    </row>
    <row r="317" spans="2:2">
      <c r="B317" s="4"/>
    </row>
    <row r="318" spans="2:2">
      <c r="B318" s="4"/>
    </row>
    <row r="319" spans="2:2">
      <c r="B319" s="4"/>
    </row>
    <row r="320" spans="2:2">
      <c r="B320" s="4"/>
    </row>
    <row r="321" spans="2:2">
      <c r="B321" s="4"/>
    </row>
    <row r="322" spans="2:2">
      <c r="B322" s="4"/>
    </row>
    <row r="323" spans="2:2">
      <c r="B323" s="4"/>
    </row>
    <row r="324" spans="2:2">
      <c r="B324" s="4"/>
    </row>
    <row r="325" spans="2:2">
      <c r="B325" s="4"/>
    </row>
    <row r="326" spans="2:2">
      <c r="B326" s="4"/>
    </row>
    <row r="327" spans="2:2">
      <c r="B327" s="4"/>
    </row>
    <row r="328" spans="2:2">
      <c r="B328" s="4"/>
    </row>
    <row r="329" spans="2:2">
      <c r="B329" s="4"/>
    </row>
    <row r="330" spans="2:2">
      <c r="B330" s="4"/>
    </row>
    <row r="331" spans="2:2">
      <c r="B331" s="4"/>
    </row>
    <row r="332" spans="2:2">
      <c r="B332" s="4"/>
    </row>
    <row r="333" spans="2:2">
      <c r="B333" s="4"/>
    </row>
    <row r="334" spans="2:2">
      <c r="B334" s="4"/>
    </row>
    <row r="335" spans="2:2">
      <c r="B335" s="4"/>
    </row>
    <row r="336" spans="2:2">
      <c r="B336" s="4"/>
    </row>
    <row r="337" spans="2:2">
      <c r="B337" s="4"/>
    </row>
    <row r="338" spans="2:2">
      <c r="B338" s="4"/>
    </row>
    <row r="339" spans="2:2">
      <c r="B339" s="4"/>
    </row>
    <row r="340" spans="2:2">
      <c r="B340" s="4"/>
    </row>
    <row r="341" spans="2:2">
      <c r="B341" s="4"/>
    </row>
    <row r="342" spans="2:2">
      <c r="B342" s="4"/>
    </row>
    <row r="343" spans="2:2">
      <c r="B343" s="4"/>
    </row>
    <row r="344" spans="2:2">
      <c r="B344" s="4"/>
    </row>
    <row r="345" spans="2:2">
      <c r="B345" s="4"/>
    </row>
    <row r="346" spans="2:2">
      <c r="B346" s="4"/>
    </row>
    <row r="347" spans="2:2">
      <c r="B347" s="4"/>
    </row>
    <row r="348" spans="2:2">
      <c r="B348" s="4"/>
    </row>
    <row r="349" spans="2:2">
      <c r="B349" s="4"/>
    </row>
    <row r="350" spans="2:2">
      <c r="B350" s="4"/>
    </row>
    <row r="351" spans="2:2">
      <c r="B351" s="4"/>
    </row>
    <row r="352" spans="2:2">
      <c r="B352" s="4"/>
    </row>
    <row r="353" spans="2:2">
      <c r="B353" s="4"/>
    </row>
    <row r="354" spans="2:2">
      <c r="B354" s="4"/>
    </row>
    <row r="355" spans="2:2">
      <c r="B355" s="4"/>
    </row>
    <row r="356" spans="2:2">
      <c r="B356" s="4"/>
    </row>
    <row r="357" spans="2:2">
      <c r="B357" s="4"/>
    </row>
    <row r="358" spans="2:2">
      <c r="B358" s="4"/>
    </row>
    <row r="359" spans="2:2">
      <c r="B359" s="4"/>
    </row>
    <row r="360" spans="2:2">
      <c r="B360" s="4"/>
    </row>
    <row r="361" spans="2:2">
      <c r="B361" s="4"/>
    </row>
    <row r="362" spans="2:2">
      <c r="B362" s="4"/>
    </row>
    <row r="363" spans="2:2">
      <c r="B363" s="4"/>
    </row>
    <row r="364" spans="2:2">
      <c r="B364" s="4"/>
    </row>
    <row r="365" spans="2:2">
      <c r="B365" s="4"/>
    </row>
    <row r="366" spans="2:2">
      <c r="B366" s="4"/>
    </row>
    <row r="367" spans="2:2">
      <c r="B367" s="4"/>
    </row>
    <row r="368" spans="2:2">
      <c r="B368" s="4"/>
    </row>
    <row r="369" spans="2:2">
      <c r="B369" s="4"/>
    </row>
    <row r="370" spans="2:2">
      <c r="B370" s="4"/>
    </row>
    <row r="371" spans="2:2">
      <c r="B371" s="4"/>
    </row>
    <row r="372" spans="2:2">
      <c r="B372" s="4"/>
    </row>
    <row r="373" spans="2:2">
      <c r="B373" s="4"/>
    </row>
    <row r="374" spans="2:2">
      <c r="B374" s="4"/>
    </row>
    <row r="375" spans="2:2">
      <c r="B375" s="4"/>
    </row>
    <row r="376" spans="2:2">
      <c r="B376" s="4"/>
    </row>
    <row r="377" spans="2:2">
      <c r="B377" s="4"/>
    </row>
    <row r="378" spans="2:2">
      <c r="B378" s="4"/>
    </row>
    <row r="379" spans="2:2">
      <c r="B379" s="4"/>
    </row>
    <row r="380" spans="2:2">
      <c r="B380" s="4"/>
    </row>
    <row r="381" spans="2:2">
      <c r="B381" s="4"/>
    </row>
  </sheetData>
  <sheetProtection algorithmName="SHA-512" hashValue="vtw4rBor1Kn4CBKgc1stfZEeG/3AqAMu9RacwAl4Fu/yLPyvfWofUfSXcq+LTx3Bhy3RTC3eMMUX89QzPJtE3Q==" saltValue="PwVqscYiTLMUnVo5pKrMwQ==" spinCount="100000" sheet="1" objects="1" scenarios="1"/>
  <mergeCells count="8">
    <mergeCell ref="A1:E1"/>
    <mergeCell ref="A2:E2"/>
    <mergeCell ref="A3:E3"/>
    <mergeCell ref="A5:A6"/>
    <mergeCell ref="B5:B6"/>
    <mergeCell ref="C5:C6"/>
    <mergeCell ref="D5:D6"/>
    <mergeCell ref="E5:E6"/>
  </mergeCells>
  <pageMargins left="0.7" right="0.7" top="0.75" bottom="0.75" header="0.3" footer="0.3"/>
  <pageSetup scale="54"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B2D28-C1BE-493B-BE26-51FE475F6CC4}">
  <sheetPr codeName="Sheet17"/>
  <dimension ref="A1:M174"/>
  <sheetViews>
    <sheetView zoomScale="85" zoomScaleNormal="85" workbookViewId="0">
      <pane ySplit="1" topLeftCell="A2" activePane="bottomLeft" state="frozen"/>
      <selection pane="bottomLeft" activeCell="A16" sqref="A16:A111"/>
    </sheetView>
  </sheetViews>
  <sheetFormatPr defaultColWidth="8.90625" defaultRowHeight="15"/>
  <cols>
    <col min="1" max="1" width="58.54296875" style="35" customWidth="1"/>
    <col min="2" max="2" width="51.81640625" style="35" bestFit="1" customWidth="1"/>
    <col min="3" max="16384" width="8.90625" style="35"/>
  </cols>
  <sheetData>
    <row r="1" spans="1:5" ht="22.8">
      <c r="A1" s="522" t="s">
        <v>736</v>
      </c>
      <c r="B1" s="522"/>
    </row>
    <row r="2" spans="1:5">
      <c r="A2" s="40"/>
      <c r="B2" s="40"/>
    </row>
    <row r="3" spans="1:5" ht="21">
      <c r="A3" s="38" t="s">
        <v>707</v>
      </c>
      <c r="B3" s="38"/>
    </row>
    <row r="4" spans="1:5" ht="15.6">
      <c r="A4" s="41">
        <v>45412</v>
      </c>
      <c r="B4" s="42"/>
    </row>
    <row r="5" spans="1:5" ht="15.6">
      <c r="A5" s="40"/>
      <c r="B5" s="42"/>
    </row>
    <row r="6" spans="1:5" ht="21">
      <c r="A6" s="38" t="s">
        <v>648</v>
      </c>
      <c r="B6" s="38" t="s">
        <v>1000</v>
      </c>
    </row>
    <row r="7" spans="1:5">
      <c r="A7" s="40" t="s">
        <v>645</v>
      </c>
      <c r="B7" s="40" t="s">
        <v>384</v>
      </c>
    </row>
    <row r="8" spans="1:5">
      <c r="A8" s="40" t="s">
        <v>1001</v>
      </c>
      <c r="B8" s="40" t="s">
        <v>703</v>
      </c>
    </row>
    <row r="9" spans="1:5">
      <c r="A9" s="40" t="s">
        <v>1004</v>
      </c>
      <c r="B9" s="40" t="s">
        <v>62</v>
      </c>
    </row>
    <row r="10" spans="1:5">
      <c r="A10" s="40" t="s">
        <v>0</v>
      </c>
      <c r="B10" s="40" t="s">
        <v>19</v>
      </c>
    </row>
    <row r="11" spans="1:5">
      <c r="A11" s="40" t="s">
        <v>843</v>
      </c>
      <c r="B11" s="40" t="s">
        <v>844</v>
      </c>
    </row>
    <row r="12" spans="1:5">
      <c r="A12" s="40" t="s">
        <v>1003</v>
      </c>
      <c r="B12" s="40" t="s">
        <v>840</v>
      </c>
    </row>
    <row r="13" spans="1:5">
      <c r="A13" s="40" t="s">
        <v>1002</v>
      </c>
      <c r="B13" s="40" t="s">
        <v>828</v>
      </c>
    </row>
    <row r="14" spans="1:5" ht="15.6">
      <c r="A14" s="40"/>
      <c r="B14" s="42"/>
    </row>
    <row r="15" spans="1:5" ht="21">
      <c r="A15" s="97" t="s">
        <v>1</v>
      </c>
      <c r="B15" s="38" t="s">
        <v>648</v>
      </c>
    </row>
    <row r="16" spans="1:5">
      <c r="A16" s="40" t="s">
        <v>305</v>
      </c>
      <c r="B16" s="40" t="s">
        <v>702</v>
      </c>
      <c r="C16" s="36"/>
      <c r="E16" s="37"/>
    </row>
    <row r="17" spans="1:8">
      <c r="A17" s="40" t="s">
        <v>47</v>
      </c>
      <c r="B17" s="40" t="s">
        <v>0</v>
      </c>
      <c r="C17" s="36"/>
      <c r="E17" s="37"/>
    </row>
    <row r="18" spans="1:8">
      <c r="A18" s="40" t="s">
        <v>297</v>
      </c>
      <c r="B18" s="40" t="s">
        <v>702</v>
      </c>
      <c r="C18" s="36"/>
      <c r="E18" s="37"/>
    </row>
    <row r="19" spans="1:8">
      <c r="A19" s="40" t="s">
        <v>306</v>
      </c>
      <c r="B19" s="40" t="s">
        <v>702</v>
      </c>
      <c r="C19" s="36"/>
      <c r="E19" s="37"/>
    </row>
    <row r="20" spans="1:8">
      <c r="A20" s="40" t="s">
        <v>690</v>
      </c>
      <c r="B20" s="40" t="s">
        <v>702</v>
      </c>
      <c r="C20" s="36"/>
      <c r="E20" s="37"/>
    </row>
    <row r="21" spans="1:8">
      <c r="A21" s="40" t="s">
        <v>308</v>
      </c>
      <c r="B21" s="40" t="s">
        <v>702</v>
      </c>
      <c r="C21" s="36"/>
      <c r="E21" s="37"/>
    </row>
    <row r="22" spans="1:8">
      <c r="A22" s="40" t="s">
        <v>63</v>
      </c>
      <c r="B22" s="40" t="s">
        <v>998</v>
      </c>
      <c r="C22" s="36"/>
      <c r="E22" s="37"/>
      <c r="H22" s="2"/>
    </row>
    <row r="23" spans="1:8">
      <c r="A23" s="40" t="s">
        <v>64</v>
      </c>
      <c r="B23" s="40" t="s">
        <v>998</v>
      </c>
      <c r="C23" s="36"/>
      <c r="E23" s="37"/>
      <c r="H23" s="2"/>
    </row>
    <row r="24" spans="1:8">
      <c r="A24" s="40" t="s">
        <v>65</v>
      </c>
      <c r="B24" s="40" t="s">
        <v>998</v>
      </c>
      <c r="C24" s="36"/>
      <c r="E24" s="37"/>
      <c r="H24" s="2"/>
    </row>
    <row r="25" spans="1:8">
      <c r="A25" s="40" t="s">
        <v>42</v>
      </c>
      <c r="B25" s="40" t="s">
        <v>0</v>
      </c>
      <c r="C25" s="36"/>
      <c r="E25" s="37"/>
      <c r="H25" s="2"/>
    </row>
    <row r="26" spans="1:8">
      <c r="A26" s="40" t="s">
        <v>309</v>
      </c>
      <c r="B26" s="40" t="s">
        <v>702</v>
      </c>
      <c r="C26" s="36"/>
      <c r="E26" s="37"/>
      <c r="H26" s="2"/>
    </row>
    <row r="27" spans="1:8">
      <c r="A27" s="40" t="s">
        <v>310</v>
      </c>
      <c r="B27" s="40" t="s">
        <v>702</v>
      </c>
      <c r="C27" s="36"/>
      <c r="E27" s="37"/>
      <c r="H27" s="2"/>
    </row>
    <row r="28" spans="1:8">
      <c r="A28" s="40" t="s">
        <v>50</v>
      </c>
      <c r="B28" s="40" t="s">
        <v>0</v>
      </c>
      <c r="C28" s="36"/>
      <c r="E28" s="37"/>
      <c r="H28" s="2"/>
    </row>
    <row r="29" spans="1:8">
      <c r="A29" s="40" t="s">
        <v>311</v>
      </c>
      <c r="B29" s="40" t="s">
        <v>702</v>
      </c>
      <c r="C29" s="36"/>
      <c r="E29" s="37"/>
      <c r="H29" s="2"/>
    </row>
    <row r="30" spans="1:8">
      <c r="A30" s="40" t="s">
        <v>29</v>
      </c>
      <c r="B30" s="40" t="s">
        <v>0</v>
      </c>
      <c r="H30" s="2"/>
    </row>
    <row r="31" spans="1:8">
      <c r="A31" s="40" t="s">
        <v>693</v>
      </c>
      <c r="B31" s="40" t="s">
        <v>702</v>
      </c>
      <c r="H31" s="2"/>
    </row>
    <row r="32" spans="1:8">
      <c r="A32" s="40" t="s">
        <v>717</v>
      </c>
      <c r="B32" s="40" t="s">
        <v>0</v>
      </c>
      <c r="H32" s="2"/>
    </row>
    <row r="33" spans="1:8">
      <c r="A33" s="40" t="s">
        <v>841</v>
      </c>
      <c r="B33" s="40" t="s">
        <v>843</v>
      </c>
      <c r="H33" s="2"/>
    </row>
    <row r="34" spans="1:8">
      <c r="A34" s="40" t="s">
        <v>398</v>
      </c>
      <c r="B34" s="40" t="s">
        <v>645</v>
      </c>
      <c r="H34" s="2"/>
    </row>
    <row r="35" spans="1:8">
      <c r="A35" s="40" t="s">
        <v>312</v>
      </c>
      <c r="B35" s="40" t="s">
        <v>702</v>
      </c>
      <c r="H35" s="2"/>
    </row>
    <row r="36" spans="1:8">
      <c r="A36" s="40" t="s">
        <v>313</v>
      </c>
      <c r="B36" s="40" t="s">
        <v>702</v>
      </c>
      <c r="H36" s="2"/>
    </row>
    <row r="37" spans="1:8">
      <c r="A37" s="40" t="s">
        <v>26</v>
      </c>
      <c r="B37" s="40" t="s">
        <v>0</v>
      </c>
      <c r="H37" s="2"/>
    </row>
    <row r="38" spans="1:8">
      <c r="A38" s="40" t="s">
        <v>45</v>
      </c>
      <c r="B38" s="40" t="s">
        <v>0</v>
      </c>
      <c r="H38" s="2"/>
    </row>
    <row r="39" spans="1:8">
      <c r="A39" s="40" t="s">
        <v>30</v>
      </c>
      <c r="B39" s="40" t="s">
        <v>0</v>
      </c>
      <c r="H39" s="2"/>
    </row>
    <row r="40" spans="1:8">
      <c r="A40" s="40" t="s">
        <v>54</v>
      </c>
      <c r="B40" s="40" t="s">
        <v>845</v>
      </c>
      <c r="H40" s="2"/>
    </row>
    <row r="41" spans="1:8">
      <c r="A41" s="40" t="s">
        <v>53</v>
      </c>
      <c r="B41" s="40" t="s">
        <v>845</v>
      </c>
      <c r="H41" s="2"/>
    </row>
    <row r="42" spans="1:8">
      <c r="A42" s="40" t="s">
        <v>55</v>
      </c>
      <c r="B42" s="40" t="s">
        <v>845</v>
      </c>
      <c r="H42" s="2"/>
    </row>
    <row r="43" spans="1:8">
      <c r="A43" s="40" t="s">
        <v>56</v>
      </c>
      <c r="B43" s="40" t="s">
        <v>845</v>
      </c>
      <c r="H43" s="2"/>
    </row>
    <row r="44" spans="1:8">
      <c r="A44" s="40" t="s">
        <v>57</v>
      </c>
      <c r="B44" s="40" t="s">
        <v>845</v>
      </c>
      <c r="H44" s="2"/>
    </row>
    <row r="45" spans="1:8">
      <c r="A45" s="40" t="s">
        <v>33</v>
      </c>
      <c r="B45" s="40" t="s">
        <v>0</v>
      </c>
      <c r="H45" s="2"/>
    </row>
    <row r="46" spans="1:8">
      <c r="A46" s="40" t="s">
        <v>61</v>
      </c>
      <c r="B46" s="40" t="s">
        <v>845</v>
      </c>
      <c r="H46" s="2"/>
    </row>
    <row r="47" spans="1:8">
      <c r="A47" s="40" t="s">
        <v>58</v>
      </c>
      <c r="B47" s="40" t="s">
        <v>845</v>
      </c>
      <c r="H47" s="2"/>
    </row>
    <row r="48" spans="1:8">
      <c r="A48" s="40" t="s">
        <v>27</v>
      </c>
      <c r="B48" s="40" t="s">
        <v>0</v>
      </c>
      <c r="H48" s="2"/>
    </row>
    <row r="49" spans="1:8">
      <c r="A49" s="40" t="s">
        <v>37</v>
      </c>
      <c r="B49" s="40" t="s">
        <v>0</v>
      </c>
      <c r="H49" s="2"/>
    </row>
    <row r="50" spans="1:8">
      <c r="A50" s="40" t="s">
        <v>35</v>
      </c>
      <c r="B50" s="40" t="s">
        <v>0</v>
      </c>
      <c r="H50" s="2"/>
    </row>
    <row r="51" spans="1:8">
      <c r="A51" s="40" t="s">
        <v>31</v>
      </c>
      <c r="B51" s="40" t="s">
        <v>0</v>
      </c>
      <c r="H51" s="2"/>
    </row>
    <row r="52" spans="1:8">
      <c r="A52" s="40" t="s">
        <v>32</v>
      </c>
      <c r="B52" s="40" t="s">
        <v>0</v>
      </c>
      <c r="H52" s="2"/>
    </row>
    <row r="53" spans="1:8">
      <c r="A53" s="40" t="s">
        <v>38</v>
      </c>
      <c r="B53" s="40" t="s">
        <v>0</v>
      </c>
      <c r="H53" s="2"/>
    </row>
    <row r="54" spans="1:8">
      <c r="A54" s="40" t="s">
        <v>829</v>
      </c>
      <c r="B54" s="40" t="s">
        <v>920</v>
      </c>
      <c r="H54" s="2"/>
    </row>
    <row r="55" spans="1:8">
      <c r="A55" s="40" t="s">
        <v>36</v>
      </c>
      <c r="B55" s="40" t="s">
        <v>0</v>
      </c>
      <c r="H55" s="2"/>
    </row>
    <row r="56" spans="1:8">
      <c r="A56" s="40" t="s">
        <v>28</v>
      </c>
      <c r="B56" s="40" t="s">
        <v>0</v>
      </c>
      <c r="H56" s="2"/>
    </row>
    <row r="57" spans="1:8">
      <c r="A57" s="40" t="s">
        <v>391</v>
      </c>
      <c r="B57" s="40" t="s">
        <v>645</v>
      </c>
      <c r="H57" s="2"/>
    </row>
    <row r="58" spans="1:8">
      <c r="A58" s="40" t="s">
        <v>59</v>
      </c>
      <c r="B58" s="40" t="s">
        <v>845</v>
      </c>
      <c r="H58" s="2"/>
    </row>
    <row r="59" spans="1:8">
      <c r="A59" s="40" t="s">
        <v>318</v>
      </c>
      <c r="B59" s="40" t="s">
        <v>702</v>
      </c>
      <c r="H59" s="2"/>
    </row>
    <row r="60" spans="1:8">
      <c r="A60" s="40" t="s">
        <v>60</v>
      </c>
      <c r="B60" s="40" t="s">
        <v>845</v>
      </c>
      <c r="H60" s="2"/>
    </row>
    <row r="61" spans="1:8">
      <c r="A61" s="40" t="s">
        <v>315</v>
      </c>
      <c r="B61" s="40" t="s">
        <v>702</v>
      </c>
      <c r="H61" s="2"/>
    </row>
    <row r="62" spans="1:8">
      <c r="A62" s="40" t="s">
        <v>51</v>
      </c>
      <c r="B62" s="40" t="s">
        <v>0</v>
      </c>
      <c r="H62" s="2"/>
    </row>
    <row r="63" spans="1:8">
      <c r="A63" s="40" t="s">
        <v>831</v>
      </c>
      <c r="B63" s="40" t="s">
        <v>920</v>
      </c>
      <c r="H63" s="2"/>
    </row>
    <row r="64" spans="1:8">
      <c r="A64" s="40" t="s">
        <v>71</v>
      </c>
      <c r="B64" s="40" t="s">
        <v>998</v>
      </c>
      <c r="H64" s="2"/>
    </row>
    <row r="65" spans="1:8">
      <c r="A65" s="40" t="s">
        <v>66</v>
      </c>
      <c r="B65" s="40" t="s">
        <v>998</v>
      </c>
      <c r="H65" s="2"/>
    </row>
    <row r="66" spans="1:8">
      <c r="A66" s="40" t="s">
        <v>68</v>
      </c>
      <c r="B66" s="40" t="s">
        <v>998</v>
      </c>
      <c r="H66" s="2"/>
    </row>
    <row r="67" spans="1:8">
      <c r="A67" s="40" t="s">
        <v>70</v>
      </c>
      <c r="B67" s="40" t="s">
        <v>998</v>
      </c>
      <c r="H67" s="2"/>
    </row>
    <row r="68" spans="1:8">
      <c r="A68" s="40" t="s">
        <v>72</v>
      </c>
      <c r="B68" s="40" t="s">
        <v>920</v>
      </c>
      <c r="H68" s="2"/>
    </row>
    <row r="69" spans="1:8">
      <c r="A69" s="40" t="s">
        <v>69</v>
      </c>
      <c r="B69" s="40" t="s">
        <v>998</v>
      </c>
      <c r="H69" s="2"/>
    </row>
    <row r="70" spans="1:8">
      <c r="A70" s="40" t="s">
        <v>67</v>
      </c>
      <c r="B70" s="40" t="s">
        <v>998</v>
      </c>
      <c r="H70" s="2"/>
    </row>
    <row r="71" spans="1:8">
      <c r="A71" s="40" t="s">
        <v>44</v>
      </c>
      <c r="B71" s="40" t="s">
        <v>0</v>
      </c>
      <c r="H71" s="2"/>
    </row>
    <row r="72" spans="1:8">
      <c r="A72" s="40" t="s">
        <v>46</v>
      </c>
      <c r="B72" s="40" t="s">
        <v>0</v>
      </c>
      <c r="H72" s="2"/>
    </row>
    <row r="73" spans="1:8">
      <c r="A73" s="40" t="s">
        <v>832</v>
      </c>
      <c r="B73" s="40" t="s">
        <v>920</v>
      </c>
      <c r="H73" s="2"/>
    </row>
    <row r="74" spans="1:8">
      <c r="A74" s="40" t="s">
        <v>393</v>
      </c>
      <c r="B74" s="40" t="s">
        <v>645</v>
      </c>
      <c r="H74" s="2"/>
    </row>
    <row r="75" spans="1:8">
      <c r="A75" s="40" t="s">
        <v>394</v>
      </c>
      <c r="B75" s="40" t="s">
        <v>645</v>
      </c>
      <c r="H75" s="2"/>
    </row>
    <row r="76" spans="1:8">
      <c r="A76" s="40" t="s">
        <v>316</v>
      </c>
      <c r="B76" s="40" t="s">
        <v>702</v>
      </c>
      <c r="H76" s="2"/>
    </row>
    <row r="77" spans="1:8">
      <c r="A77" s="40" t="s">
        <v>52</v>
      </c>
      <c r="B77" s="40" t="s">
        <v>0</v>
      </c>
      <c r="H77" s="2"/>
    </row>
    <row r="78" spans="1:8">
      <c r="A78" s="40" t="s">
        <v>834</v>
      </c>
      <c r="B78" s="40" t="s">
        <v>920</v>
      </c>
      <c r="H78" s="2"/>
    </row>
    <row r="79" spans="1:8">
      <c r="A79" s="40" t="s">
        <v>20</v>
      </c>
      <c r="B79" s="40" t="s">
        <v>0</v>
      </c>
      <c r="H79" s="2"/>
    </row>
    <row r="80" spans="1:8">
      <c r="A80" s="40" t="s">
        <v>714</v>
      </c>
      <c r="B80" s="40" t="s">
        <v>0</v>
      </c>
      <c r="H80" s="2"/>
    </row>
    <row r="81" spans="1:13">
      <c r="A81" s="40" t="s">
        <v>825</v>
      </c>
      <c r="B81" s="40" t="s">
        <v>843</v>
      </c>
      <c r="H81" s="2"/>
    </row>
    <row r="82" spans="1:13">
      <c r="A82" s="40" t="s">
        <v>837</v>
      </c>
      <c r="B82" s="40" t="s">
        <v>645</v>
      </c>
      <c r="H82" s="2"/>
    </row>
    <row r="83" spans="1:13">
      <c r="A83" s="40" t="s">
        <v>21</v>
      </c>
      <c r="B83" s="40" t="s">
        <v>0</v>
      </c>
      <c r="H83" s="2"/>
    </row>
    <row r="84" spans="1:13">
      <c r="A84" s="40" t="s">
        <v>22</v>
      </c>
      <c r="B84" s="40" t="s">
        <v>0</v>
      </c>
      <c r="H84" s="2"/>
    </row>
    <row r="85" spans="1:13">
      <c r="A85" s="40" t="s">
        <v>715</v>
      </c>
      <c r="B85" s="40" t="s">
        <v>0</v>
      </c>
      <c r="H85" s="2"/>
    </row>
    <row r="86" spans="1:13">
      <c r="A86" s="40" t="s">
        <v>826</v>
      </c>
      <c r="B86" s="40" t="s">
        <v>843</v>
      </c>
      <c r="H86" s="2"/>
    </row>
    <row r="87" spans="1:13">
      <c r="A87" s="40" t="s">
        <v>839</v>
      </c>
      <c r="B87" s="40" t="s">
        <v>645</v>
      </c>
      <c r="H87" s="2"/>
    </row>
    <row r="88" spans="1:13">
      <c r="A88" s="40" t="s">
        <v>24</v>
      </c>
      <c r="B88" s="40" t="s">
        <v>0</v>
      </c>
      <c r="H88" s="2"/>
    </row>
    <row r="89" spans="1:13">
      <c r="A89" s="40" t="s">
        <v>25</v>
      </c>
      <c r="B89" s="40" t="s">
        <v>0</v>
      </c>
      <c r="H89" s="2"/>
    </row>
    <row r="90" spans="1:13">
      <c r="A90" s="40" t="s">
        <v>387</v>
      </c>
      <c r="B90" s="40" t="s">
        <v>645</v>
      </c>
      <c r="H90" s="2"/>
    </row>
    <row r="91" spans="1:13">
      <c r="A91" s="40" t="s">
        <v>388</v>
      </c>
      <c r="B91" s="40" t="s">
        <v>645</v>
      </c>
      <c r="H91" s="2"/>
    </row>
    <row r="92" spans="1:13">
      <c r="A92" s="40" t="s">
        <v>390</v>
      </c>
      <c r="B92" s="40" t="s">
        <v>645</v>
      </c>
      <c r="H92" s="2"/>
    </row>
    <row r="93" spans="1:13">
      <c r="A93" s="40" t="s">
        <v>389</v>
      </c>
      <c r="B93" s="40" t="s">
        <v>645</v>
      </c>
      <c r="H93" s="2"/>
    </row>
    <row r="94" spans="1:13">
      <c r="A94" s="40" t="s">
        <v>386</v>
      </c>
      <c r="B94" s="40" t="s">
        <v>645</v>
      </c>
      <c r="H94" s="2"/>
    </row>
    <row r="95" spans="1:13">
      <c r="A95" s="40" t="s">
        <v>23</v>
      </c>
      <c r="B95" s="40" t="s">
        <v>0</v>
      </c>
      <c r="H95" s="2"/>
    </row>
    <row r="96" spans="1:13">
      <c r="A96" s="40" t="s">
        <v>385</v>
      </c>
      <c r="B96" s="40" t="s">
        <v>645</v>
      </c>
      <c r="H96" s="2"/>
      <c r="M96" s="2"/>
    </row>
    <row r="97" spans="1:13">
      <c r="A97" s="40" t="s">
        <v>317</v>
      </c>
      <c r="B97" s="40" t="s">
        <v>702</v>
      </c>
      <c r="H97" s="2"/>
      <c r="M97" s="2"/>
    </row>
    <row r="98" spans="1:13">
      <c r="A98" s="40" t="s">
        <v>314</v>
      </c>
      <c r="B98" s="40" t="s">
        <v>702</v>
      </c>
      <c r="H98" s="2"/>
      <c r="M98" s="2"/>
    </row>
    <row r="99" spans="1:13">
      <c r="A99" s="40" t="s">
        <v>39</v>
      </c>
      <c r="B99" s="40" t="s">
        <v>0</v>
      </c>
      <c r="H99" s="2"/>
      <c r="M99" s="2"/>
    </row>
    <row r="100" spans="1:13">
      <c r="A100" s="40" t="s">
        <v>40</v>
      </c>
      <c r="B100" s="40" t="s">
        <v>0</v>
      </c>
      <c r="H100" s="2"/>
      <c r="M100" s="2"/>
    </row>
    <row r="101" spans="1:13">
      <c r="A101" s="40" t="s">
        <v>830</v>
      </c>
      <c r="B101" s="40" t="s">
        <v>920</v>
      </c>
      <c r="H101" s="2"/>
      <c r="M101" s="2"/>
    </row>
    <row r="102" spans="1:13">
      <c r="A102" s="40" t="s">
        <v>41</v>
      </c>
      <c r="B102" s="40" t="s">
        <v>0</v>
      </c>
      <c r="H102" s="2"/>
      <c r="M102" s="2"/>
    </row>
    <row r="103" spans="1:13">
      <c r="A103" s="40" t="s">
        <v>716</v>
      </c>
      <c r="B103" s="40" t="s">
        <v>0</v>
      </c>
      <c r="H103" s="2"/>
      <c r="M103" s="2"/>
    </row>
    <row r="104" spans="1:13">
      <c r="A104" s="40" t="s">
        <v>827</v>
      </c>
      <c r="B104" s="40" t="s">
        <v>843</v>
      </c>
      <c r="H104" s="2"/>
      <c r="M104" s="2"/>
    </row>
    <row r="105" spans="1:13">
      <c r="A105" s="40" t="s">
        <v>838</v>
      </c>
      <c r="B105" s="40" t="s">
        <v>645</v>
      </c>
      <c r="H105" s="2"/>
      <c r="M105" s="2"/>
    </row>
    <row r="106" spans="1:13">
      <c r="A106" s="40" t="s">
        <v>48</v>
      </c>
      <c r="B106" s="40" t="s">
        <v>0</v>
      </c>
      <c r="H106" s="2"/>
      <c r="M106" s="2"/>
    </row>
    <row r="107" spans="1:13">
      <c r="A107" s="40" t="s">
        <v>833</v>
      </c>
      <c r="B107" s="40" t="s">
        <v>920</v>
      </c>
      <c r="H107" s="2"/>
      <c r="M107" s="2"/>
    </row>
    <row r="108" spans="1:13">
      <c r="A108" s="40" t="s">
        <v>49</v>
      </c>
      <c r="B108" s="40" t="s">
        <v>0</v>
      </c>
      <c r="H108" s="2"/>
      <c r="M108" s="2"/>
    </row>
    <row r="109" spans="1:13">
      <c r="A109" s="40" t="s">
        <v>392</v>
      </c>
      <c r="B109" s="40" t="s">
        <v>645</v>
      </c>
      <c r="H109" s="2"/>
      <c r="M109" s="2"/>
    </row>
    <row r="110" spans="1:13">
      <c r="A110" s="40" t="s">
        <v>695</v>
      </c>
      <c r="B110" s="40" t="s">
        <v>702</v>
      </c>
      <c r="H110" s="2"/>
      <c r="M110" s="2"/>
    </row>
    <row r="111" spans="1:13">
      <c r="A111" s="40" t="s">
        <v>34</v>
      </c>
      <c r="B111" s="40" t="s">
        <v>0</v>
      </c>
      <c r="H111" s="2"/>
      <c r="M111" s="2"/>
    </row>
    <row r="112" spans="1:13">
      <c r="A112" s="40"/>
      <c r="B112" s="40"/>
      <c r="M112" s="2"/>
    </row>
    <row r="113" spans="1:13" ht="21">
      <c r="A113" s="97" t="s">
        <v>846</v>
      </c>
      <c r="B113" s="40"/>
      <c r="M113" s="2"/>
    </row>
    <row r="114" spans="1:13">
      <c r="A114" s="40" t="s">
        <v>47</v>
      </c>
      <c r="B114" s="40"/>
      <c r="M114" s="2"/>
    </row>
    <row r="115" spans="1:13">
      <c r="A115" s="40" t="s">
        <v>42</v>
      </c>
      <c r="B115" s="40"/>
      <c r="M115" s="2"/>
    </row>
    <row r="116" spans="1:13">
      <c r="A116" s="40" t="s">
        <v>50</v>
      </c>
      <c r="B116" s="40"/>
      <c r="M116" s="2"/>
    </row>
    <row r="117" spans="1:13">
      <c r="A117" s="40" t="s">
        <v>29</v>
      </c>
      <c r="B117" s="40"/>
      <c r="M117" s="2"/>
    </row>
    <row r="118" spans="1:13">
      <c r="A118" s="40" t="s">
        <v>717</v>
      </c>
      <c r="B118" s="40"/>
      <c r="M118" s="2"/>
    </row>
    <row r="119" spans="1:13">
      <c r="A119" s="40" t="s">
        <v>26</v>
      </c>
      <c r="B119" s="40"/>
      <c r="M119" s="2"/>
    </row>
    <row r="120" spans="1:13">
      <c r="A120" s="40" t="s">
        <v>45</v>
      </c>
      <c r="B120" s="40"/>
      <c r="M120" s="2"/>
    </row>
    <row r="121" spans="1:13">
      <c r="A121" s="40" t="s">
        <v>30</v>
      </c>
      <c r="B121" s="40"/>
      <c r="M121" s="2"/>
    </row>
    <row r="122" spans="1:13">
      <c r="A122" s="40" t="s">
        <v>33</v>
      </c>
      <c r="B122" s="40"/>
      <c r="M122" s="2"/>
    </row>
    <row r="123" spans="1:13">
      <c r="A123" s="40" t="s">
        <v>37</v>
      </c>
      <c r="B123" s="40"/>
      <c r="M123" s="2"/>
    </row>
    <row r="124" spans="1:13">
      <c r="A124" s="40" t="s">
        <v>35</v>
      </c>
      <c r="B124" s="40"/>
      <c r="M124" s="2"/>
    </row>
    <row r="125" spans="1:13">
      <c r="A125" s="40" t="s">
        <v>31</v>
      </c>
      <c r="B125" s="40"/>
      <c r="M125" s="2"/>
    </row>
    <row r="126" spans="1:13">
      <c r="A126" s="40" t="s">
        <v>32</v>
      </c>
      <c r="B126" s="40"/>
      <c r="M126" s="2"/>
    </row>
    <row r="127" spans="1:13">
      <c r="A127" s="40" t="s">
        <v>38</v>
      </c>
      <c r="B127" s="40"/>
      <c r="M127" s="2"/>
    </row>
    <row r="128" spans="1:13">
      <c r="A128" s="40" t="s">
        <v>36</v>
      </c>
      <c r="B128" s="40"/>
      <c r="M128" s="2"/>
    </row>
    <row r="129" spans="1:13">
      <c r="A129" s="40" t="s">
        <v>28</v>
      </c>
      <c r="B129" s="40"/>
      <c r="M129" s="2"/>
    </row>
    <row r="130" spans="1:13">
      <c r="A130" s="40" t="s">
        <v>51</v>
      </c>
      <c r="B130" s="40"/>
      <c r="M130" s="2"/>
    </row>
    <row r="131" spans="1:13">
      <c r="A131" s="40" t="s">
        <v>44</v>
      </c>
      <c r="B131" s="40"/>
      <c r="M131" s="2"/>
    </row>
    <row r="132" spans="1:13">
      <c r="A132" s="40" t="s">
        <v>46</v>
      </c>
      <c r="B132" s="40"/>
      <c r="M132" s="2"/>
    </row>
    <row r="133" spans="1:13">
      <c r="A133" s="40" t="s">
        <v>52</v>
      </c>
      <c r="B133" s="40"/>
      <c r="M133" s="2"/>
    </row>
    <row r="134" spans="1:13">
      <c r="A134" s="40" t="s">
        <v>20</v>
      </c>
      <c r="B134" s="40"/>
      <c r="M134" s="2"/>
    </row>
    <row r="135" spans="1:13">
      <c r="A135" s="40" t="s">
        <v>714</v>
      </c>
      <c r="B135" s="40"/>
      <c r="M135" s="2"/>
    </row>
    <row r="136" spans="1:13">
      <c r="A136" s="40" t="s">
        <v>21</v>
      </c>
      <c r="B136" s="40"/>
      <c r="M136" s="2"/>
    </row>
    <row r="137" spans="1:13">
      <c r="A137" s="40" t="s">
        <v>22</v>
      </c>
      <c r="B137" s="40"/>
      <c r="M137" s="2"/>
    </row>
    <row r="138" spans="1:13">
      <c r="A138" s="40" t="s">
        <v>715</v>
      </c>
      <c r="B138" s="40"/>
      <c r="M138" s="2"/>
    </row>
    <row r="139" spans="1:13">
      <c r="A139" s="40" t="s">
        <v>24</v>
      </c>
      <c r="B139" s="40"/>
      <c r="M139" s="2"/>
    </row>
    <row r="140" spans="1:13">
      <c r="A140" s="40" t="s">
        <v>25</v>
      </c>
      <c r="B140" s="40"/>
      <c r="M140" s="2"/>
    </row>
    <row r="141" spans="1:13">
      <c r="A141" s="40" t="s">
        <v>23</v>
      </c>
      <c r="B141" s="40"/>
      <c r="M141" s="2"/>
    </row>
    <row r="142" spans="1:13">
      <c r="A142" s="40" t="s">
        <v>39</v>
      </c>
      <c r="B142" s="40"/>
      <c r="M142" s="2"/>
    </row>
    <row r="143" spans="1:13">
      <c r="A143" s="40" t="s">
        <v>40</v>
      </c>
      <c r="B143" s="40"/>
      <c r="M143" s="2"/>
    </row>
    <row r="144" spans="1:13">
      <c r="A144" s="40" t="s">
        <v>41</v>
      </c>
      <c r="B144" s="40"/>
      <c r="M144" s="2"/>
    </row>
    <row r="145" spans="1:13">
      <c r="A145" s="40" t="s">
        <v>716</v>
      </c>
      <c r="B145" s="40"/>
      <c r="M145" s="2"/>
    </row>
    <row r="146" spans="1:13">
      <c r="A146" s="40" t="s">
        <v>48</v>
      </c>
      <c r="B146" s="40"/>
      <c r="M146" s="2"/>
    </row>
    <row r="147" spans="1:13">
      <c r="A147" s="40" t="s">
        <v>49</v>
      </c>
      <c r="B147" s="40"/>
      <c r="M147" s="2"/>
    </row>
    <row r="148" spans="1:13">
      <c r="A148" s="40" t="s">
        <v>34</v>
      </c>
      <c r="B148" s="40"/>
      <c r="M148" s="2"/>
    </row>
    <row r="149" spans="1:13">
      <c r="A149" s="40"/>
      <c r="B149" s="40"/>
      <c r="M149" s="2"/>
    </row>
    <row r="150" spans="1:13">
      <c r="M150" s="2"/>
    </row>
    <row r="151" spans="1:13">
      <c r="M151" s="2"/>
    </row>
    <row r="152" spans="1:13">
      <c r="M152" s="2"/>
    </row>
    <row r="153" spans="1:13">
      <c r="M153" s="2"/>
    </row>
    <row r="154" spans="1:13">
      <c r="M154" s="2"/>
    </row>
    <row r="155" spans="1:13">
      <c r="M155" s="2"/>
    </row>
    <row r="156" spans="1:13">
      <c r="M156" s="2"/>
    </row>
    <row r="157" spans="1:13">
      <c r="M157" s="2"/>
    </row>
    <row r="158" spans="1:13">
      <c r="M158" s="2"/>
    </row>
    <row r="159" spans="1:13">
      <c r="M159" s="2"/>
    </row>
    <row r="160" spans="1:13">
      <c r="M160" s="2"/>
    </row>
    <row r="161" spans="13:13">
      <c r="M161" s="2"/>
    </row>
    <row r="162" spans="13:13">
      <c r="M162" s="2"/>
    </row>
    <row r="163" spans="13:13">
      <c r="M163" s="2"/>
    </row>
    <row r="164" spans="13:13">
      <c r="M164" s="2"/>
    </row>
    <row r="165" spans="13:13">
      <c r="M165" s="2"/>
    </row>
    <row r="166" spans="13:13">
      <c r="M166" s="2"/>
    </row>
    <row r="167" spans="13:13">
      <c r="M167" s="2"/>
    </row>
    <row r="168" spans="13:13">
      <c r="M168" s="2"/>
    </row>
    <row r="169" spans="13:13">
      <c r="M169" s="2"/>
    </row>
    <row r="170" spans="13:13">
      <c r="M170" s="2"/>
    </row>
    <row r="171" spans="13:13">
      <c r="M171" s="2"/>
    </row>
    <row r="172" spans="13:13">
      <c r="M172" s="2"/>
    </row>
    <row r="173" spans="13:13">
      <c r="M173" s="2"/>
    </row>
    <row r="174" spans="13:13">
      <c r="M174" s="2"/>
    </row>
  </sheetData>
  <sheetProtection algorithmName="SHA-512" hashValue="MruR4LZvAObEArHexO9Y472RGeQQBji4PBD+WxcbklpPhFWDSoyK5p5gl1RNGuQm3rCKw8NlEeLBU82qcGNJlA==" saltValue="JPDbHbwGgb7LVnCKUS5VNA==" spinCount="100000" sheet="1" objects="1" scenarios="1"/>
  <sortState xmlns:xlrd2="http://schemas.microsoft.com/office/spreadsheetml/2017/richdata2" ref="A114:A148">
    <sortCondition ref="A113:A148"/>
  </sortState>
  <mergeCells count="1">
    <mergeCell ref="A1:B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15412-1D31-4C9C-ABA7-6D4AE821CA19}">
  <sheetPr codeName="Sheet9">
    <tabColor theme="4"/>
    <pageSetUpPr fitToPage="1"/>
  </sheetPr>
  <dimension ref="A1:O72"/>
  <sheetViews>
    <sheetView zoomScale="70" zoomScaleNormal="70" workbookViewId="0">
      <pane ySplit="3" topLeftCell="A4" activePane="bottomLeft" state="frozen"/>
      <selection pane="bottomLeft" sqref="A1:C1"/>
    </sheetView>
  </sheetViews>
  <sheetFormatPr defaultColWidth="9.08984375" defaultRowHeight="13.8"/>
  <cols>
    <col min="1" max="1" width="40.81640625" style="10" customWidth="1"/>
    <col min="2" max="2" width="19.81640625" style="10" customWidth="1"/>
    <col min="3" max="3" width="19.6328125" style="10" customWidth="1"/>
    <col min="4" max="8" width="19.81640625" style="10" customWidth="1"/>
    <col min="9" max="11" width="8.6328125" style="10" customWidth="1"/>
    <col min="12" max="12" width="21.6328125" style="10" customWidth="1"/>
    <col min="13" max="13" width="18.81640625" style="10" customWidth="1"/>
    <col min="14" max="14" width="11.54296875" style="10" customWidth="1"/>
    <col min="15" max="16384" width="9.08984375" style="10"/>
  </cols>
  <sheetData>
    <row r="1" spans="1:15" ht="34.950000000000003" customHeight="1" thickBot="1">
      <c r="A1" s="420"/>
      <c r="B1" s="420"/>
      <c r="C1" s="420"/>
      <c r="D1" s="9"/>
      <c r="E1" s="9"/>
      <c r="F1" s="9"/>
      <c r="G1" s="9"/>
      <c r="H1" s="5"/>
      <c r="I1" s="419" t="s">
        <v>750</v>
      </c>
      <c r="J1" s="419"/>
      <c r="K1" s="419"/>
      <c r="L1" s="419"/>
      <c r="M1" s="419"/>
      <c r="N1" s="419"/>
      <c r="O1" s="9"/>
    </row>
    <row r="2" spans="1:15" ht="18" thickBot="1">
      <c r="A2" s="422" t="str">
        <f>IFERROR(VLOOKUP(A1,Hidden!$A$16:$B$112,2,FALSE),"▲ Select from dropdown ▲")</f>
        <v>▲ Select from dropdown ▲</v>
      </c>
      <c r="B2" s="422"/>
      <c r="C2" s="422"/>
      <c r="D2" s="9"/>
      <c r="E2" s="9"/>
      <c r="F2" s="9"/>
      <c r="G2" s="9"/>
      <c r="H2" s="9"/>
      <c r="I2" s="412" t="s">
        <v>104</v>
      </c>
      <c r="J2" s="412"/>
      <c r="K2" s="412"/>
      <c r="L2" s="186" t="s">
        <v>751</v>
      </c>
      <c r="M2" s="412" t="s">
        <v>106</v>
      </c>
      <c r="N2" s="412"/>
      <c r="O2" s="9"/>
    </row>
    <row r="3" spans="1:15" ht="17.399999999999999">
      <c r="A3" s="421" t="s">
        <v>601</v>
      </c>
      <c r="B3" s="421"/>
      <c r="C3" s="421"/>
      <c r="D3" s="9"/>
      <c r="E3" s="9"/>
      <c r="F3" s="9"/>
      <c r="G3" s="9"/>
      <c r="H3" s="9"/>
      <c r="I3" s="423" t="str">
        <f>IFERROR(IF(VLOOKUP($A$1,InputResearch[],204,FALSE)=0,"None Provided",VLOOKUP($A$1,InputResearch[],204,FALSE)),"")</f>
        <v/>
      </c>
      <c r="J3" s="424"/>
      <c r="K3" s="425"/>
      <c r="L3" s="185" t="str">
        <f>IFERROR(IF(VLOOKUP($A$1,InputResearch[],205,FALSE)=0,"None Provided",VLOOKUP($A$1,InputResearch[],205,FALSE)),"")</f>
        <v/>
      </c>
      <c r="M3" s="423" t="str">
        <f>IFERROR(IF(VLOOKUP($A$1,InputResearch[],206,FALSE)=0,"None Provided",VLOOKUP($A$1,InputResearch[],206,FALSE)),"")</f>
        <v/>
      </c>
      <c r="N3" s="425"/>
      <c r="O3" s="9"/>
    </row>
    <row r="4" spans="1:15" ht="27" customHeight="1">
      <c r="A4" s="390" t="s">
        <v>856</v>
      </c>
      <c r="B4" s="390"/>
      <c r="C4" s="390"/>
      <c r="D4" s="390"/>
      <c r="E4" s="390"/>
      <c r="F4" s="390"/>
      <c r="G4" s="390"/>
      <c r="H4" s="390"/>
      <c r="I4" s="9"/>
      <c r="J4" s="9"/>
      <c r="K4" s="9"/>
      <c r="L4" s="11"/>
      <c r="M4" s="11"/>
      <c r="N4" s="9"/>
      <c r="O4" s="9"/>
    </row>
    <row r="5" spans="1:15" ht="27" customHeight="1">
      <c r="A5" s="390"/>
      <c r="B5" s="390"/>
      <c r="C5" s="390"/>
      <c r="D5" s="390"/>
      <c r="E5" s="390"/>
      <c r="F5" s="390"/>
      <c r="G5" s="390"/>
      <c r="H5" s="390"/>
      <c r="I5" s="9"/>
      <c r="J5" s="9"/>
      <c r="K5" s="11"/>
      <c r="L5" s="11"/>
      <c r="M5" s="11"/>
      <c r="N5" s="9"/>
      <c r="O5" s="9"/>
    </row>
    <row r="6" spans="1:15" ht="27" customHeight="1">
      <c r="A6" s="415"/>
      <c r="B6" s="415"/>
      <c r="C6" s="415"/>
      <c r="D6" s="415"/>
      <c r="E6" s="415"/>
      <c r="F6" s="415"/>
      <c r="G6" s="415"/>
      <c r="H6" s="415"/>
      <c r="I6" s="9"/>
      <c r="J6" s="9"/>
      <c r="K6" s="11"/>
      <c r="L6" s="11"/>
      <c r="M6" s="11"/>
      <c r="N6" s="9"/>
      <c r="O6" s="9"/>
    </row>
    <row r="7" spans="1:15" s="13" customFormat="1" ht="27" customHeight="1">
      <c r="A7" s="405" t="s">
        <v>602</v>
      </c>
      <c r="B7" s="406"/>
      <c r="C7" s="406"/>
      <c r="D7" s="406"/>
      <c r="E7" s="406"/>
      <c r="F7" s="407"/>
      <c r="G7" s="299" t="s">
        <v>952</v>
      </c>
      <c r="H7" s="299" t="s">
        <v>953</v>
      </c>
      <c r="I7" s="12"/>
      <c r="J7" s="413" t="s">
        <v>718</v>
      </c>
      <c r="K7" s="414"/>
      <c r="L7" s="175"/>
      <c r="M7" s="175"/>
      <c r="N7" s="12"/>
      <c r="O7" s="12"/>
    </row>
    <row r="8" spans="1:15" s="13" customFormat="1" ht="27" customHeight="1">
      <c r="A8" s="418" t="s">
        <v>300</v>
      </c>
      <c r="B8" s="418"/>
      <c r="C8" s="418"/>
      <c r="D8" s="418"/>
      <c r="E8" s="418"/>
      <c r="F8" s="418"/>
      <c r="G8" s="197">
        <f>H8</f>
        <v>0</v>
      </c>
      <c r="H8" s="318">
        <f>SUMIFS(InputResearch[R &amp; D Expenses],InputResearch[Institution Name],$A$1)</f>
        <v>0</v>
      </c>
      <c r="I8" s="12"/>
      <c r="J8" s="413"/>
      <c r="K8" s="414"/>
      <c r="L8" s="175"/>
      <c r="M8" s="175"/>
      <c r="N8" s="12"/>
      <c r="O8" s="12"/>
    </row>
    <row r="9" spans="1:15" s="13" customFormat="1" ht="27" customHeight="1" thickBot="1">
      <c r="A9" s="418" t="s">
        <v>298</v>
      </c>
      <c r="B9" s="418"/>
      <c r="C9" s="418"/>
      <c r="D9" s="418"/>
      <c r="E9" s="418"/>
      <c r="F9" s="418"/>
      <c r="G9" s="318">
        <f>SUMIFS(InputResearch[R &amp; D Exp Not meeting narrow def],InputResearch[Institution Name],$A$1)</f>
        <v>0</v>
      </c>
      <c r="H9" s="197"/>
      <c r="I9" s="12"/>
      <c r="J9" s="408">
        <f>SUMIFS(InputResearch[SRECNP Res. Exp.],InputResearch[Institution Name],$A$1)</f>
        <v>0</v>
      </c>
      <c r="K9" s="409"/>
      <c r="L9" s="176"/>
      <c r="M9" s="175"/>
      <c r="N9" s="12"/>
      <c r="O9" s="12"/>
    </row>
    <row r="10" spans="1:15" s="13" customFormat="1" ht="27" customHeight="1" thickTop="1">
      <c r="A10" s="416" t="s">
        <v>600</v>
      </c>
      <c r="B10" s="417"/>
      <c r="C10" s="417"/>
      <c r="D10" s="417"/>
      <c r="E10" s="417"/>
      <c r="F10" s="417"/>
      <c r="G10" s="276">
        <f>G8+G9</f>
        <v>0</v>
      </c>
      <c r="H10" s="198"/>
      <c r="I10" s="12"/>
      <c r="J10" s="12"/>
      <c r="K10" s="175"/>
      <c r="L10" s="175"/>
      <c r="M10" s="175"/>
      <c r="N10" s="12"/>
      <c r="O10" s="12"/>
    </row>
    <row r="11" spans="1:15" s="13" customFormat="1" ht="15">
      <c r="A11" s="411"/>
      <c r="B11" s="411"/>
      <c r="C11" s="411"/>
      <c r="D11" s="411"/>
      <c r="E11" s="411"/>
      <c r="F11" s="411"/>
      <c r="G11" s="197"/>
      <c r="H11" s="197"/>
      <c r="I11" s="12"/>
      <c r="J11" s="12"/>
      <c r="K11" s="12"/>
      <c r="L11" s="175"/>
      <c r="M11" s="12"/>
      <c r="N11" s="12"/>
      <c r="O11" s="12"/>
    </row>
    <row r="12" spans="1:15" s="13" customFormat="1" ht="27" customHeight="1">
      <c r="A12" s="418" t="s">
        <v>299</v>
      </c>
      <c r="B12" s="418"/>
      <c r="C12" s="418"/>
      <c r="D12" s="418"/>
      <c r="E12" s="418"/>
      <c r="F12" s="418"/>
      <c r="G12" s="197">
        <f>SUMIFS(InputResearch[Other Res-related Eq Exp],InputResearch[Institution Name],$A$1)</f>
        <v>0</v>
      </c>
      <c r="H12" s="197"/>
      <c r="I12" s="12"/>
      <c r="J12" s="12"/>
      <c r="K12" s="12"/>
      <c r="L12" s="175"/>
      <c r="M12" s="12"/>
      <c r="N12" s="12"/>
      <c r="O12" s="12"/>
    </row>
    <row r="13" spans="1:15" s="13" customFormat="1" ht="27" customHeight="1">
      <c r="A13" s="418" t="s">
        <v>301</v>
      </c>
      <c r="B13" s="418"/>
      <c r="C13" s="418"/>
      <c r="D13" s="418"/>
      <c r="E13" s="418"/>
      <c r="F13" s="418"/>
      <c r="G13" s="197">
        <f>H13</f>
        <v>0</v>
      </c>
      <c r="H13" s="318">
        <f>SUMIFS(InputResearch[IDC assoc w/Exp for R &amp; D],InputResearch[Institution Name],$A$1)</f>
        <v>0</v>
      </c>
      <c r="I13" s="12"/>
      <c r="J13" s="12"/>
      <c r="K13" s="12"/>
      <c r="L13" s="177"/>
      <c r="M13" s="15"/>
      <c r="N13" s="12"/>
      <c r="O13" s="12"/>
    </row>
    <row r="14" spans="1:15" s="13" customFormat="1" ht="27" customHeight="1">
      <c r="A14" s="418" t="s">
        <v>302</v>
      </c>
      <c r="B14" s="418"/>
      <c r="C14" s="418"/>
      <c r="D14" s="418"/>
      <c r="E14" s="418"/>
      <c r="F14" s="418"/>
      <c r="G14" s="197">
        <f>H14</f>
        <v>0</v>
      </c>
      <c r="H14" s="318">
        <f>SUMIFS(InputResearch[Capital Outlay (Res Equip)],InputResearch[Institution Name],$A$1)</f>
        <v>0</v>
      </c>
      <c r="I14" s="12"/>
      <c r="J14" s="12"/>
      <c r="K14" s="12"/>
      <c r="L14" s="175"/>
      <c r="M14" s="12"/>
      <c r="N14" s="12"/>
      <c r="O14" s="12"/>
    </row>
    <row r="15" spans="1:15" s="13" customFormat="1" ht="44.1" customHeight="1">
      <c r="A15" s="410" t="s">
        <v>805</v>
      </c>
      <c r="B15" s="410"/>
      <c r="C15" s="410"/>
      <c r="D15" s="410"/>
      <c r="E15" s="410"/>
      <c r="F15" s="410"/>
      <c r="G15" s="197">
        <f>H15</f>
        <v>0</v>
      </c>
      <c r="H15" s="318">
        <f>SUMIFS(InputResearch[R&amp;D Exp - Inst foundation/501(c)(3)],InputResearch[Institution Name],$A$1)</f>
        <v>0</v>
      </c>
      <c r="I15" s="12"/>
      <c r="J15" s="12"/>
      <c r="K15" s="12"/>
      <c r="L15" s="175"/>
      <c r="M15" s="12"/>
      <c r="N15" s="12"/>
      <c r="O15" s="12"/>
    </row>
    <row r="16" spans="1:15" s="13" customFormat="1" ht="27" customHeight="1" thickBot="1">
      <c r="A16" s="418" t="s">
        <v>304</v>
      </c>
      <c r="B16" s="418"/>
      <c r="C16" s="418"/>
      <c r="D16" s="418"/>
      <c r="E16" s="418"/>
      <c r="F16" s="418"/>
      <c r="G16" s="197">
        <f>H16</f>
        <v>0</v>
      </c>
      <c r="H16" s="318">
        <f>SUMIFS(InputResearch[Pass-Thru from other Texas A&amp;M members],InputResearch[Institution Name],$A$1)</f>
        <v>0</v>
      </c>
      <c r="I16" s="12"/>
      <c r="J16" s="12"/>
      <c r="K16" s="12"/>
      <c r="L16" s="175"/>
      <c r="M16" s="12"/>
      <c r="N16" s="12"/>
      <c r="O16" s="12"/>
    </row>
    <row r="17" spans="1:15" s="13" customFormat="1" ht="27" customHeight="1" thickTop="1">
      <c r="A17" s="416" t="s">
        <v>606</v>
      </c>
      <c r="B17" s="417"/>
      <c r="C17" s="417"/>
      <c r="D17" s="417"/>
      <c r="E17" s="417"/>
      <c r="F17" s="417"/>
      <c r="G17" s="276">
        <f>SUM(G10:G16)</f>
        <v>0</v>
      </c>
      <c r="H17" s="277">
        <f>SUM(H8:H16)</f>
        <v>0</v>
      </c>
      <c r="I17" s="12"/>
      <c r="J17" s="12"/>
      <c r="K17" s="12"/>
      <c r="L17" s="15"/>
      <c r="M17" s="12"/>
      <c r="N17" s="12"/>
      <c r="O17" s="12"/>
    </row>
    <row r="18" spans="1:15" s="13" customFormat="1" ht="27" customHeight="1">
      <c r="A18" s="418" t="s">
        <v>641</v>
      </c>
      <c r="B18" s="418"/>
      <c r="C18" s="418"/>
      <c r="D18" s="418"/>
      <c r="E18" s="418"/>
      <c r="F18" s="418"/>
      <c r="G18" s="418"/>
      <c r="H18" s="318">
        <f>SUMIFS(InputResearch[Total R &amp; D Exp as a Sub],InputResearch[Institution Name],$A$1)</f>
        <v>0</v>
      </c>
      <c r="I18" s="12"/>
      <c r="J18" s="12"/>
      <c r="K18" s="12"/>
      <c r="L18" s="12"/>
      <c r="M18" s="12"/>
      <c r="N18" s="12"/>
      <c r="O18" s="12"/>
    </row>
    <row r="19" spans="1:15" s="13" customFormat="1" ht="27" customHeight="1">
      <c r="A19" s="437" t="s">
        <v>642</v>
      </c>
      <c r="B19" s="437"/>
      <c r="C19" s="437"/>
      <c r="D19" s="437"/>
      <c r="E19" s="437"/>
      <c r="F19" s="437"/>
      <c r="G19" s="437"/>
      <c r="H19" s="319">
        <f>SUMIFS(InputResearch[Total R &amp; D Exp to a Sub],InputResearch[Institution Name],$A$1)</f>
        <v>0</v>
      </c>
      <c r="I19" s="12"/>
      <c r="J19" s="12"/>
      <c r="K19" s="12"/>
      <c r="L19" s="12"/>
      <c r="M19" s="12"/>
      <c r="N19" s="12"/>
      <c r="O19" s="12"/>
    </row>
    <row r="20" spans="1:15" s="13" customFormat="1" ht="27" customHeight="1">
      <c r="A20" s="12"/>
      <c r="B20" s="12"/>
      <c r="C20" s="12"/>
      <c r="D20" s="12"/>
      <c r="E20" s="12"/>
      <c r="F20" s="12"/>
      <c r="G20" s="12"/>
      <c r="H20" s="12"/>
      <c r="I20" s="12"/>
      <c r="J20" s="12"/>
      <c r="K20" s="12"/>
      <c r="L20" s="12"/>
      <c r="M20" s="12"/>
      <c r="N20" s="12"/>
      <c r="O20" s="12"/>
    </row>
    <row r="21" spans="1:15" s="13" customFormat="1" ht="27" customHeight="1">
      <c r="A21" s="436" t="s">
        <v>604</v>
      </c>
      <c r="B21" s="436"/>
      <c r="C21" s="436"/>
      <c r="D21" s="436"/>
      <c r="E21" s="436"/>
      <c r="F21" s="436"/>
      <c r="G21" s="436"/>
      <c r="H21" s="436"/>
      <c r="I21" s="12"/>
      <c r="J21" s="12"/>
      <c r="K21" s="12"/>
      <c r="L21" s="12"/>
      <c r="M21" s="12"/>
      <c r="N21" s="12"/>
      <c r="O21" s="12"/>
    </row>
    <row r="22" spans="1:15" s="182" customFormat="1" ht="27.6">
      <c r="A22" s="199" t="s">
        <v>668</v>
      </c>
      <c r="B22" s="178" t="s">
        <v>100</v>
      </c>
      <c r="C22" s="179" t="s">
        <v>894</v>
      </c>
      <c r="D22" s="179" t="s">
        <v>102</v>
      </c>
      <c r="E22" s="179" t="s">
        <v>895</v>
      </c>
      <c r="F22" s="179" t="s">
        <v>723</v>
      </c>
      <c r="G22" s="180" t="s">
        <v>724</v>
      </c>
      <c r="H22" s="180" t="s">
        <v>603</v>
      </c>
      <c r="I22" s="181"/>
      <c r="J22" s="181"/>
      <c r="K22" s="181"/>
      <c r="L22" s="181"/>
      <c r="M22" s="181"/>
      <c r="N22" s="181"/>
      <c r="O22" s="181"/>
    </row>
    <row r="23" spans="1:15" s="13" customFormat="1" ht="27" customHeight="1">
      <c r="A23" s="190" t="s">
        <v>84</v>
      </c>
      <c r="B23" s="200">
        <f>SUMIFS(InputResearch[Agricultural Sci. Fed],InputResearch[Institution Name],$A$1)</f>
        <v>0</v>
      </c>
      <c r="C23" s="209">
        <f>SUMIFS(InputResearch[Agricultural Sci. St. Approp.],InputResearch[Institution Name],$A$1)</f>
        <v>0</v>
      </c>
      <c r="D23" s="209">
        <f>SUMIFS(InputResearch[Agricultural Sci. St. C&amp;G],InputResearch[Institution Name],$A$1)</f>
        <v>0</v>
      </c>
      <c r="E23" s="209">
        <f>SUMIFS(InputResearch[Agricultural Sci. Inst Res],InputResearch[Institution Name],$A$1)</f>
        <v>0</v>
      </c>
      <c r="F23" s="209">
        <f>SUMIFS(InputResearch[Agricultural Sci. PFP],InputResearch[Institution Name],$A$1)</f>
        <v>0</v>
      </c>
      <c r="G23" s="201">
        <f>SUMIFS(InputResearch[Agricultural Sci. PNP],InputResearch[Institution Name],$A$1)</f>
        <v>0</v>
      </c>
      <c r="H23" s="320">
        <f>SUM(B23:G23)</f>
        <v>0</v>
      </c>
      <c r="I23" s="12"/>
      <c r="J23" s="12"/>
      <c r="K23" s="12"/>
      <c r="L23" s="12"/>
      <c r="M23" s="12"/>
      <c r="N23" s="12"/>
      <c r="O23" s="12"/>
    </row>
    <row r="24" spans="1:15" s="13" customFormat="1" ht="27" customHeight="1">
      <c r="A24" s="190" t="s">
        <v>85</v>
      </c>
      <c r="B24" s="200">
        <f>SUMIFS(InputResearch[Biological &amp; Other Life Sci. Fed],InputResearch[Institution Name],$A$1)</f>
        <v>0</v>
      </c>
      <c r="C24" s="209">
        <f>SUMIFS(InputResearch[Biological &amp; Other Life Sci. St. Approp.],InputResearch[Institution Name],$A$1)</f>
        <v>0</v>
      </c>
      <c r="D24" s="209">
        <f>SUMIFS(InputResearch[Biological &amp; Other Life Sci. St. C&amp;G],InputResearch[Institution Name],$A$1)</f>
        <v>0</v>
      </c>
      <c r="E24" s="209">
        <f>SUMIFS(InputResearch[Biological &amp; Other Life Sci. Inst Res],InputResearch[Institution Name],$A$1)</f>
        <v>0</v>
      </c>
      <c r="F24" s="209">
        <f>SUMIFS(InputResearch[Biological &amp; Other Life Sci. PFP],InputResearch[Institution Name],$A$1)</f>
        <v>0</v>
      </c>
      <c r="G24" s="201">
        <f>SUMIFS(InputResearch[Biological &amp; Other Life Sci. PNP],InputResearch[Institution Name],$A$1)</f>
        <v>0</v>
      </c>
      <c r="H24" s="320">
        <f>SUM(B24:G24)</f>
        <v>0</v>
      </c>
      <c r="I24" s="12"/>
      <c r="J24" s="12"/>
      <c r="K24" s="12"/>
      <c r="L24" s="12"/>
      <c r="M24" s="12"/>
      <c r="N24" s="12"/>
      <c r="O24" s="12"/>
    </row>
    <row r="25" spans="1:15" s="13" customFormat="1" ht="27" customHeight="1">
      <c r="A25" s="190" t="s">
        <v>86</v>
      </c>
      <c r="B25" s="200">
        <f>SUMIFS(InputResearch[Comp. Sci. Fed],InputResearch[Institution Name],$A$1)</f>
        <v>0</v>
      </c>
      <c r="C25" s="209">
        <f>SUMIFS(InputResearch[Comp. Sci. St. Approp.],InputResearch[Institution Name],$A$1)</f>
        <v>0</v>
      </c>
      <c r="D25" s="209">
        <f>SUMIFS(InputResearch[Comp. Sci. St. C&amp;G],InputResearch[Institution Name],$A$1)</f>
        <v>0</v>
      </c>
      <c r="E25" s="209">
        <f>SUMIFS(InputResearch[Comp. Sci. Inst Res],InputResearch[Institution Name],$A$1)</f>
        <v>0</v>
      </c>
      <c r="F25" s="209">
        <f>SUMIFS(InputResearch[Comp. Sci. PFP],InputResearch[Institution Name],$A$1)</f>
        <v>0</v>
      </c>
      <c r="G25" s="201">
        <f>SUMIFS(InputResearch[Comp. Sci. PNP],InputResearch[Institution Name],$A$1)</f>
        <v>0</v>
      </c>
      <c r="H25" s="320">
        <f t="shared" ref="H25:H38" si="0">SUM(B25:G25)</f>
        <v>0</v>
      </c>
      <c r="I25" s="12"/>
      <c r="J25" s="12"/>
      <c r="K25" s="12"/>
      <c r="L25" s="12"/>
      <c r="M25" s="12"/>
      <c r="N25" s="12"/>
      <c r="O25" s="12"/>
    </row>
    <row r="26" spans="1:15" s="13" customFormat="1" ht="27" customHeight="1">
      <c r="A26" s="190" t="s">
        <v>87</v>
      </c>
      <c r="B26" s="200">
        <f>SUMIFS(InputResearch[Engineering Fed],InputResearch[Institution Name],$A$1)</f>
        <v>0</v>
      </c>
      <c r="C26" s="209">
        <f>SUMIFS(InputResearch[Engineering St. Approp.],InputResearch[Institution Name],$A$1)</f>
        <v>0</v>
      </c>
      <c r="D26" s="209">
        <f>SUMIFS(InputResearch[Engineering St. C&amp;G],InputResearch[Institution Name],$A$1)</f>
        <v>0</v>
      </c>
      <c r="E26" s="209">
        <f>SUMIFS(InputResearch[Engineering Inst Res],InputResearch[Institution Name],$A$1)</f>
        <v>0</v>
      </c>
      <c r="F26" s="209">
        <f>SUMIFS(InputResearch[Engineering PFP],InputResearch[Institution Name],$A$1)</f>
        <v>0</v>
      </c>
      <c r="G26" s="201">
        <f>SUMIFS(InputResearch[Engineering PNP],InputResearch[Institution Name],$A$1)</f>
        <v>0</v>
      </c>
      <c r="H26" s="320">
        <f t="shared" si="0"/>
        <v>0</v>
      </c>
      <c r="I26" s="12"/>
      <c r="J26" s="408">
        <f>H17-H39</f>
        <v>0</v>
      </c>
      <c r="K26" s="409"/>
      <c r="L26" s="31" t="str">
        <f>IF($J$26&lt;&gt;0,"Out of Balance","Balanced")</f>
        <v>Balanced</v>
      </c>
      <c r="M26" s="12"/>
      <c r="N26" s="12"/>
      <c r="O26" s="12"/>
    </row>
    <row r="27" spans="1:15" s="13" customFormat="1" ht="27" customHeight="1">
      <c r="A27" s="190" t="s">
        <v>88</v>
      </c>
      <c r="B27" s="200">
        <f>SUMIFS(InputResearch[Env Sci. Fed],InputResearch[Institution Name],$A$1)</f>
        <v>0</v>
      </c>
      <c r="C27" s="209">
        <f>SUMIFS(InputResearch[Env Sci. St. Approp.],InputResearch[Institution Name],$A$1)</f>
        <v>0</v>
      </c>
      <c r="D27" s="209">
        <f>SUMIFS(InputResearch[Env Sci. St. C&amp;G],InputResearch[Institution Name],$A$1)</f>
        <v>0</v>
      </c>
      <c r="E27" s="209">
        <f>SUMIFS(InputResearch[Env Sci. Inst Res],InputResearch[Institution Name],$A$1)</f>
        <v>0</v>
      </c>
      <c r="F27" s="209">
        <f>SUMIFS(InputResearch[Env Sci. PFP],InputResearch[Institution Name],$A$1)</f>
        <v>0</v>
      </c>
      <c r="G27" s="201">
        <f>SUMIFS(InputResearch[Env Sci. PNP],InputResearch[Institution Name],$A$1)</f>
        <v>0</v>
      </c>
      <c r="H27" s="320">
        <f t="shared" si="0"/>
        <v>0</v>
      </c>
      <c r="I27" s="12"/>
      <c r="J27" s="12"/>
      <c r="K27" s="12"/>
      <c r="L27" s="12"/>
      <c r="M27" s="12"/>
      <c r="N27" s="12"/>
      <c r="O27" s="12"/>
    </row>
    <row r="28" spans="1:15" s="13" customFormat="1" ht="27" customHeight="1">
      <c r="A28" s="190" t="s">
        <v>89</v>
      </c>
      <c r="B28" s="200">
        <f>SUMIFS(InputResearch[Math Fed],InputResearch[Institution Name],$A$1)</f>
        <v>0</v>
      </c>
      <c r="C28" s="209">
        <f>SUMIFS(InputResearch[Math St. Approp.],InputResearch[Institution Name],$A$1)</f>
        <v>0</v>
      </c>
      <c r="D28" s="209">
        <f>SUMIFS(InputResearch[Math St. C&amp;G],InputResearch[Institution Name],$A$1)</f>
        <v>0</v>
      </c>
      <c r="E28" s="209">
        <f>SUMIFS(InputResearch[Math Inst Res],InputResearch[Institution Name],$A$1)</f>
        <v>0</v>
      </c>
      <c r="F28" s="209">
        <f>SUMIFS(InputResearch[Math PFP],InputResearch[Institution Name],$A$1)</f>
        <v>0</v>
      </c>
      <c r="G28" s="201">
        <f>SUMIFS(InputResearch[Math PNP],InputResearch[Institution Name],$A$1)</f>
        <v>0</v>
      </c>
      <c r="H28" s="320">
        <f t="shared" si="0"/>
        <v>0</v>
      </c>
      <c r="I28" s="12"/>
      <c r="J28" s="12"/>
      <c r="K28" s="12"/>
      <c r="L28" s="12"/>
      <c r="M28" s="12"/>
      <c r="N28" s="12"/>
      <c r="O28" s="12"/>
    </row>
    <row r="29" spans="1:15" s="13" customFormat="1" ht="27" customHeight="1">
      <c r="A29" s="190" t="s">
        <v>90</v>
      </c>
      <c r="B29" s="200">
        <f>SUMIFS(InputResearch[Medical Fed],InputResearch[Institution Name],$A$1)</f>
        <v>0</v>
      </c>
      <c r="C29" s="209">
        <f>SUMIFS(InputResearch[Medical St. Approp.],InputResearch[Institution Name],$A$1)</f>
        <v>0</v>
      </c>
      <c r="D29" s="209">
        <f>SUMIFS(InputResearch[Medical St. C&amp;G],InputResearch[Institution Name],$A$1)</f>
        <v>0</v>
      </c>
      <c r="E29" s="209">
        <f>SUMIFS(InputResearch[Medical Inst Res],InputResearch[Institution Name],$A$1)</f>
        <v>0</v>
      </c>
      <c r="F29" s="209">
        <f>SUMIFS(InputResearch[Medical PFP],InputResearch[Institution Name],$A$1)</f>
        <v>0</v>
      </c>
      <c r="G29" s="201">
        <f>SUMIFS(InputResearch[Medical PNP],InputResearch[Institution Name],$A$1)</f>
        <v>0</v>
      </c>
      <c r="H29" s="320">
        <f t="shared" si="0"/>
        <v>0</v>
      </c>
      <c r="I29" s="12"/>
      <c r="J29" s="12"/>
      <c r="K29" s="12"/>
      <c r="L29" s="12"/>
      <c r="M29" s="12"/>
      <c r="N29" s="12"/>
      <c r="O29" s="12"/>
    </row>
    <row r="30" spans="1:15" s="13" customFormat="1" ht="27" customHeight="1">
      <c r="A30" s="190" t="s">
        <v>91</v>
      </c>
      <c r="B30" s="200">
        <f>SUMIFS(InputResearch[Physical Sci. Fed],InputResearch[Institution Name],$A$1)</f>
        <v>0</v>
      </c>
      <c r="C30" s="209">
        <f>SUMIFS(InputResearch[Physical Sci. St. Approp.],InputResearch[Institution Name],$A$1)</f>
        <v>0</v>
      </c>
      <c r="D30" s="209">
        <f>SUMIFS(InputResearch[Physical Sci. St. C&amp;G],InputResearch[Institution Name],$A$1)</f>
        <v>0</v>
      </c>
      <c r="E30" s="209">
        <f>SUMIFS(InputResearch[Physical Sci. Inst Res],InputResearch[Institution Name],$A$1)</f>
        <v>0</v>
      </c>
      <c r="F30" s="209">
        <f>SUMIFS(InputResearch[Physical Sci. PFP],InputResearch[Institution Name],$A$1)</f>
        <v>0</v>
      </c>
      <c r="G30" s="201">
        <f>SUMIFS(InputResearch[Physical Sci. PNP],InputResearch[Institution Name],$A$1)</f>
        <v>0</v>
      </c>
      <c r="H30" s="320">
        <f t="shared" si="0"/>
        <v>0</v>
      </c>
      <c r="I30" s="12"/>
      <c r="J30" s="12"/>
      <c r="K30" s="12"/>
      <c r="L30" s="12"/>
      <c r="M30" s="12"/>
      <c r="N30" s="12"/>
      <c r="O30" s="12"/>
    </row>
    <row r="31" spans="1:15" s="13" customFormat="1" ht="27" customHeight="1">
      <c r="A31" s="190" t="s">
        <v>92</v>
      </c>
      <c r="B31" s="200">
        <f>SUMIFS(InputResearch[Psychology Fed],InputResearch[Institution Name],$A$1)</f>
        <v>0</v>
      </c>
      <c r="C31" s="209">
        <f>SUMIFS(InputResearch[Psychology St. Approp.],InputResearch[Institution Name],$A$1)</f>
        <v>0</v>
      </c>
      <c r="D31" s="209">
        <f>SUMIFS(InputResearch[Psychology St. C&amp;G],InputResearch[Institution Name],$A$1)</f>
        <v>0</v>
      </c>
      <c r="E31" s="209">
        <f>SUMIFS(InputResearch[Psychology Inst Res],InputResearch[Institution Name],$A$1)</f>
        <v>0</v>
      </c>
      <c r="F31" s="209">
        <f>SUMIFS(InputResearch[Psychology PFP],InputResearch[Institution Name],$A$1)</f>
        <v>0</v>
      </c>
      <c r="G31" s="201">
        <f>SUMIFS(InputResearch[Psychology PNP],InputResearch[Institution Name],$A$1)</f>
        <v>0</v>
      </c>
      <c r="H31" s="320">
        <f t="shared" si="0"/>
        <v>0</v>
      </c>
      <c r="I31" s="12"/>
      <c r="J31" s="12"/>
      <c r="K31" s="12"/>
      <c r="L31" s="12"/>
      <c r="M31" s="12"/>
      <c r="N31" s="12"/>
      <c r="O31" s="12"/>
    </row>
    <row r="32" spans="1:15" s="13" customFormat="1" ht="27" customHeight="1">
      <c r="A32" s="190" t="s">
        <v>93</v>
      </c>
      <c r="B32" s="200">
        <f>SUMIFS(InputResearch[Social Sci. Fed],InputResearch[Institution Name],$A$1)</f>
        <v>0</v>
      </c>
      <c r="C32" s="209">
        <f>SUMIFS(InputResearch[Social Sci. St. Approp.],InputResearch[Institution Name],$A$1)</f>
        <v>0</v>
      </c>
      <c r="D32" s="209">
        <f>SUMIFS(InputResearch[Social Sci. St. C&amp;G],InputResearch[Institution Name],$A$1)</f>
        <v>0</v>
      </c>
      <c r="E32" s="209">
        <f>SUMIFS(InputResearch[Social Sci. Inst Res],InputResearch[Institution Name],$A$1)</f>
        <v>0</v>
      </c>
      <c r="F32" s="209">
        <f>SUMIFS(InputResearch[Social Sci. PFP],InputResearch[Institution Name],$A$1)</f>
        <v>0</v>
      </c>
      <c r="G32" s="201">
        <f>SUMIFS(InputResearch[Social Sci. PNP],InputResearch[Institution Name],$A$1)</f>
        <v>0</v>
      </c>
      <c r="H32" s="320">
        <f t="shared" si="0"/>
        <v>0</v>
      </c>
      <c r="I32" s="12"/>
      <c r="J32" s="12"/>
      <c r="K32" s="12"/>
      <c r="L32" s="12"/>
      <c r="M32" s="12"/>
      <c r="N32" s="12"/>
      <c r="O32" s="12"/>
    </row>
    <row r="33" spans="1:15" s="13" customFormat="1" ht="27" customHeight="1">
      <c r="A33" s="190" t="s">
        <v>94</v>
      </c>
      <c r="B33" s="200">
        <f>SUMIFS(InputResearch[Other Sci. Fed],InputResearch[Institution Name],$A$1)</f>
        <v>0</v>
      </c>
      <c r="C33" s="209">
        <f>SUMIFS(InputResearch[Other Sci. St. Approp.],InputResearch[Institution Name],$A$1)</f>
        <v>0</v>
      </c>
      <c r="D33" s="209">
        <f>SUMIFS(InputResearch[Other Sci. St. C&amp;G],InputResearch[Institution Name],$A$1)</f>
        <v>0</v>
      </c>
      <c r="E33" s="209">
        <f>SUMIFS(InputResearch[Other Sci. Inst Res],InputResearch[Institution Name],$A$1)</f>
        <v>0</v>
      </c>
      <c r="F33" s="209">
        <f>SUMIFS(InputResearch[Other Sci. PFP],InputResearch[Institution Name],$A$1)</f>
        <v>0</v>
      </c>
      <c r="G33" s="201">
        <f>SUMIFS(InputResearch[Other Sci. PNP],InputResearch[Institution Name],$A$1)</f>
        <v>0</v>
      </c>
      <c r="H33" s="320">
        <f t="shared" si="0"/>
        <v>0</v>
      </c>
      <c r="I33" s="12"/>
      <c r="J33" s="12"/>
      <c r="K33" s="12"/>
      <c r="L33" s="12"/>
      <c r="M33" s="12"/>
      <c r="N33" s="12"/>
      <c r="O33" s="12"/>
    </row>
    <row r="34" spans="1:15" s="13" customFormat="1" ht="27" customHeight="1">
      <c r="A34" s="190" t="s">
        <v>95</v>
      </c>
      <c r="B34" s="200">
        <f>SUMIFS(InputResearch[Arts &amp; Humanities Fed],InputResearch[Institution Name],$A$1)</f>
        <v>0</v>
      </c>
      <c r="C34" s="209">
        <f>SUMIFS(InputResearch[Arts &amp; Humanities St. Approp.],InputResearch[Institution Name],$A$1)</f>
        <v>0</v>
      </c>
      <c r="D34" s="209">
        <f>SUMIFS(InputResearch[Arts &amp; Humanities St. C&amp;G],InputResearch[Institution Name],$A$1)</f>
        <v>0</v>
      </c>
      <c r="E34" s="209">
        <f>SUMIFS(InputResearch[Arts &amp; Humanities Inst Res],InputResearch[Institution Name],$A$1)</f>
        <v>0</v>
      </c>
      <c r="F34" s="209">
        <f>SUMIFS(InputResearch[Arts &amp; Humanities PFP],InputResearch[Institution Name],$A$1)</f>
        <v>0</v>
      </c>
      <c r="G34" s="201">
        <f>SUMIFS(InputResearch[Arts &amp; Humanities PNP],InputResearch[Institution Name],$A$1)</f>
        <v>0</v>
      </c>
      <c r="H34" s="320">
        <f t="shared" si="0"/>
        <v>0</v>
      </c>
      <c r="I34" s="12"/>
      <c r="J34" s="12"/>
      <c r="K34" s="12"/>
      <c r="L34" s="12"/>
      <c r="M34" s="12"/>
      <c r="N34" s="12"/>
      <c r="O34" s="12"/>
    </row>
    <row r="35" spans="1:15" s="13" customFormat="1" ht="27" customHeight="1">
      <c r="A35" s="190" t="s">
        <v>96</v>
      </c>
      <c r="B35" s="200">
        <f>SUMIFS(InputResearch[Business Fed],InputResearch[Institution Name],$A$1)</f>
        <v>0</v>
      </c>
      <c r="C35" s="209">
        <f>SUMIFS(InputResearch[Business St. Approp.],InputResearch[Institution Name],$A$1)</f>
        <v>0</v>
      </c>
      <c r="D35" s="209">
        <f>SUMIFS(InputResearch[Business St. C&amp;G],InputResearch[Institution Name],$A$1)</f>
        <v>0</v>
      </c>
      <c r="E35" s="209">
        <f>SUMIFS(InputResearch[Business Inst Res],InputResearch[Institution Name],$A$1)</f>
        <v>0</v>
      </c>
      <c r="F35" s="209">
        <f>SUMIFS(InputResearch[Business PFP],InputResearch[Institution Name],$A$1)</f>
        <v>0</v>
      </c>
      <c r="G35" s="201">
        <f>SUMIFS(InputResearch[Business PNP],InputResearch[Institution Name],$A$1)</f>
        <v>0</v>
      </c>
      <c r="H35" s="320">
        <f t="shared" si="0"/>
        <v>0</v>
      </c>
      <c r="I35" s="12"/>
      <c r="J35" s="12"/>
      <c r="K35" s="12"/>
      <c r="L35" s="14"/>
      <c r="M35" s="12"/>
      <c r="N35" s="12"/>
      <c r="O35" s="12"/>
    </row>
    <row r="36" spans="1:15" s="13" customFormat="1" ht="27" customHeight="1">
      <c r="A36" s="190" t="s">
        <v>97</v>
      </c>
      <c r="B36" s="200">
        <f>SUMIFS(InputResearch[Education Fed],InputResearch[Institution Name],$A$1)</f>
        <v>0</v>
      </c>
      <c r="C36" s="209">
        <f>SUMIFS(InputResearch[Education St. Approp.],InputResearch[Institution Name],$A$1)</f>
        <v>0</v>
      </c>
      <c r="D36" s="209">
        <f>SUMIFS(InputResearch[Education St. C&amp;G],InputResearch[Institution Name],$A$1)</f>
        <v>0</v>
      </c>
      <c r="E36" s="209">
        <f>SUMIFS(InputResearch[Education Inst Res],InputResearch[Institution Name],$A$1)</f>
        <v>0</v>
      </c>
      <c r="F36" s="209">
        <f>SUMIFS(InputResearch[Education PFP],InputResearch[Institution Name],$A$1)</f>
        <v>0</v>
      </c>
      <c r="G36" s="201">
        <f>SUMIFS(InputResearch[Education PNP],InputResearch[Institution Name],$A$1)</f>
        <v>0</v>
      </c>
      <c r="H36" s="320">
        <f t="shared" si="0"/>
        <v>0</v>
      </c>
      <c r="I36" s="12"/>
      <c r="J36" s="12"/>
      <c r="K36" s="12"/>
      <c r="L36" s="12"/>
      <c r="M36" s="12"/>
      <c r="N36" s="12"/>
      <c r="O36" s="12"/>
    </row>
    <row r="37" spans="1:15" s="13" customFormat="1" ht="27" customHeight="1">
      <c r="A37" s="190" t="s">
        <v>98</v>
      </c>
      <c r="B37" s="200">
        <f>SUMIFS(InputResearch[Law Fed],InputResearch[Institution Name],$A$1)</f>
        <v>0</v>
      </c>
      <c r="C37" s="209">
        <f>SUMIFS(InputResearch[Law St. Approp.],InputResearch[Institution Name],$A$1)</f>
        <v>0</v>
      </c>
      <c r="D37" s="209">
        <f>SUMIFS(InputResearch[Law St. C&amp;G],InputResearch[Institution Name],$A$1)</f>
        <v>0</v>
      </c>
      <c r="E37" s="209">
        <f>SUMIFS(InputResearch[Law Inst Res],InputResearch[Institution Name],$A$1)</f>
        <v>0</v>
      </c>
      <c r="F37" s="209">
        <f>SUMIFS(InputResearch[Law PFP],InputResearch[Institution Name],$A$1)</f>
        <v>0</v>
      </c>
      <c r="G37" s="201">
        <f>SUMIFS(InputResearch[Law PNP],InputResearch[Institution Name],$A$1)</f>
        <v>0</v>
      </c>
      <c r="H37" s="320">
        <f t="shared" si="0"/>
        <v>0</v>
      </c>
      <c r="I37" s="12"/>
      <c r="J37" s="12"/>
      <c r="K37" s="12"/>
      <c r="L37" s="12"/>
      <c r="M37" s="12"/>
      <c r="N37" s="12"/>
      <c r="O37" s="12"/>
    </row>
    <row r="38" spans="1:15" s="13" customFormat="1" ht="27" customHeight="1" thickBot="1">
      <c r="A38" s="190" t="s">
        <v>99</v>
      </c>
      <c r="B38" s="202">
        <f>SUMIFS(InputResearch[Other Non-Sci. Fed],InputResearch[Institution Name],$A$1)</f>
        <v>0</v>
      </c>
      <c r="C38" s="203">
        <f>SUMIFS(InputResearch[Other Non-Sci. St. Approp.],InputResearch[Institution Name],$A$1)</f>
        <v>0</v>
      </c>
      <c r="D38" s="203">
        <f>SUMIFS(InputResearch[Other Non-Sci. St. C&amp;G],InputResearch[Institution Name],$A$1)</f>
        <v>0</v>
      </c>
      <c r="E38" s="203">
        <f>SUMIFS(InputResearch[Other Non-Sci. Inst Res],InputResearch[Institution Name],$A$1)</f>
        <v>0</v>
      </c>
      <c r="F38" s="203">
        <f>SUMIFS(InputResearch[Other Non-Sci. PFP],InputResearch[Institution Name],$A$1)</f>
        <v>0</v>
      </c>
      <c r="G38" s="204">
        <f>SUMIFS(InputResearch[Other Non-Sci. PNP],InputResearch[Institution Name],$A$1)</f>
        <v>0</v>
      </c>
      <c r="H38" s="320">
        <f t="shared" si="0"/>
        <v>0</v>
      </c>
      <c r="I38" s="12"/>
      <c r="J38" s="12"/>
      <c r="K38" s="12"/>
      <c r="L38" s="12"/>
      <c r="M38" s="12"/>
      <c r="N38" s="12"/>
      <c r="O38" s="12"/>
    </row>
    <row r="39" spans="1:15" s="13" customFormat="1" ht="27" customHeight="1" thickTop="1">
      <c r="A39" s="205" t="s">
        <v>647</v>
      </c>
      <c r="B39" s="278">
        <f>SUM(B23:B38)</f>
        <v>0</v>
      </c>
      <c r="C39" s="276">
        <f t="shared" ref="C39:H39" si="1">SUM(C23:C38)</f>
        <v>0</v>
      </c>
      <c r="D39" s="276">
        <f t="shared" si="1"/>
        <v>0</v>
      </c>
      <c r="E39" s="276">
        <f t="shared" si="1"/>
        <v>0</v>
      </c>
      <c r="F39" s="276">
        <f t="shared" si="1"/>
        <v>0</v>
      </c>
      <c r="G39" s="277">
        <f t="shared" si="1"/>
        <v>0</v>
      </c>
      <c r="H39" s="277">
        <f t="shared" si="1"/>
        <v>0</v>
      </c>
      <c r="I39" s="12"/>
      <c r="J39" s="12"/>
      <c r="K39" s="12"/>
      <c r="L39" s="15"/>
      <c r="M39" s="12"/>
      <c r="N39" s="12"/>
      <c r="O39" s="12"/>
    </row>
    <row r="40" spans="1:15" s="13" customFormat="1" ht="27" customHeight="1">
      <c r="A40" s="12"/>
      <c r="B40" s="12"/>
      <c r="C40" s="12"/>
      <c r="D40" s="12"/>
      <c r="E40" s="12"/>
      <c r="F40" s="12"/>
      <c r="G40" s="12"/>
      <c r="H40" s="12"/>
      <c r="I40" s="12"/>
      <c r="J40" s="12"/>
      <c r="K40" s="12"/>
      <c r="L40" s="12"/>
      <c r="M40" s="12"/>
      <c r="N40" s="12"/>
      <c r="O40" s="12"/>
    </row>
    <row r="41" spans="1:15" s="13" customFormat="1" ht="27" customHeight="1">
      <c r="A41" s="436" t="s">
        <v>605</v>
      </c>
      <c r="B41" s="436"/>
      <c r="C41" s="436"/>
      <c r="D41" s="436"/>
      <c r="E41" s="436"/>
      <c r="F41" s="436"/>
      <c r="G41" s="436"/>
      <c r="H41" s="436"/>
      <c r="I41" s="12"/>
      <c r="J41" s="12"/>
      <c r="K41" s="12"/>
      <c r="L41" s="12"/>
      <c r="M41" s="12"/>
      <c r="N41" s="12"/>
      <c r="O41" s="12"/>
    </row>
    <row r="42" spans="1:15" s="184" customFormat="1">
      <c r="A42" s="427" t="s">
        <v>719</v>
      </c>
      <c r="B42" s="428"/>
      <c r="C42" s="428"/>
      <c r="D42" s="428"/>
      <c r="E42" s="428"/>
      <c r="F42" s="428"/>
      <c r="G42" s="428"/>
      <c r="H42" s="429"/>
      <c r="I42" s="183"/>
      <c r="J42" s="183"/>
      <c r="K42" s="183"/>
      <c r="L42" s="183"/>
      <c r="M42" s="183"/>
      <c r="N42" s="183"/>
      <c r="O42" s="183"/>
    </row>
    <row r="43" spans="1:15" s="184" customFormat="1">
      <c r="A43" s="430"/>
      <c r="B43" s="431"/>
      <c r="C43" s="431"/>
      <c r="D43" s="431"/>
      <c r="E43" s="431"/>
      <c r="F43" s="431"/>
      <c r="G43" s="431"/>
      <c r="H43" s="432"/>
      <c r="I43" s="183"/>
      <c r="J43" s="183"/>
      <c r="K43" s="183"/>
      <c r="L43" s="183"/>
      <c r="M43" s="183"/>
      <c r="N43" s="183"/>
      <c r="O43" s="183"/>
    </row>
    <row r="44" spans="1:15" s="184" customFormat="1">
      <c r="A44" s="430"/>
      <c r="B44" s="431"/>
      <c r="C44" s="431"/>
      <c r="D44" s="431"/>
      <c r="E44" s="431"/>
      <c r="F44" s="431"/>
      <c r="G44" s="431"/>
      <c r="H44" s="432"/>
      <c r="I44" s="183"/>
      <c r="J44" s="183"/>
      <c r="K44" s="183"/>
      <c r="L44" s="183"/>
      <c r="M44" s="183"/>
      <c r="N44" s="183"/>
      <c r="O44" s="183"/>
    </row>
    <row r="45" spans="1:15" s="184" customFormat="1">
      <c r="A45" s="433"/>
      <c r="B45" s="434"/>
      <c r="C45" s="434"/>
      <c r="D45" s="434"/>
      <c r="E45" s="434"/>
      <c r="F45" s="434"/>
      <c r="G45" s="434"/>
      <c r="H45" s="435"/>
      <c r="I45" s="183"/>
      <c r="J45" s="183"/>
      <c r="K45" s="183"/>
      <c r="L45" s="183"/>
      <c r="M45" s="183"/>
      <c r="N45" s="183"/>
      <c r="O45" s="183"/>
    </row>
    <row r="46" spans="1:15" s="182" customFormat="1" ht="45" customHeight="1">
      <c r="A46" s="178" t="s">
        <v>668</v>
      </c>
      <c r="B46" s="178" t="s">
        <v>100</v>
      </c>
      <c r="C46" s="179" t="s">
        <v>894</v>
      </c>
      <c r="D46" s="179" t="s">
        <v>102</v>
      </c>
      <c r="E46" s="179" t="s">
        <v>895</v>
      </c>
      <c r="F46" s="179" t="s">
        <v>723</v>
      </c>
      <c r="G46" s="180" t="s">
        <v>724</v>
      </c>
      <c r="H46" s="180" t="s">
        <v>603</v>
      </c>
      <c r="I46" s="181"/>
      <c r="J46" s="181"/>
      <c r="K46" s="181"/>
      <c r="L46" s="181"/>
      <c r="M46" s="181"/>
      <c r="N46" s="181"/>
      <c r="O46" s="181"/>
    </row>
    <row r="47" spans="1:15" s="13" customFormat="1" ht="27" customHeight="1">
      <c r="A47" s="210" t="str">
        <f>IF($A$2="Health - Related Institutions", "Aerospace Technology¹", "Aerospace Technology")</f>
        <v>Aerospace Technology</v>
      </c>
      <c r="B47" s="259">
        <f>IF(A2&lt;&gt;"Health - Related Institutions",SUMIFS(InputResearch[Aerospace Fed],InputResearch[Institution Name],$A$1),"N/A")</f>
        <v>0</v>
      </c>
      <c r="C47" s="260">
        <f>IF(A2&lt;&gt;"Health - Related Institutions",SUMIFS(InputResearch[Aerospace St. Approp.],InputResearch[Institution Name],$A$1),"N/A")</f>
        <v>0</v>
      </c>
      <c r="D47" s="260">
        <f>IF(A2&lt;&gt;"Health - Related Institutions",SUMIFS(InputResearch[Aerospace St. C&amp;G],InputResearch[Institution Name],$A$1),"N/A")</f>
        <v>0</v>
      </c>
      <c r="E47" s="260">
        <f>IF(A2&lt;&gt;"Health - Related Institutions",SUMIFS(InputResearch[Aerospace Inst Res],InputResearch[Institution Name],$A$1),"N/A")</f>
        <v>0</v>
      </c>
      <c r="F47" s="260">
        <f>IF(A2&lt;&gt;"Health - Related Institutions",SUMIFS(InputResearch[Aerospace PFP],InputResearch[Institution Name],$A$1),"N/A")</f>
        <v>0</v>
      </c>
      <c r="G47" s="261">
        <f>IF(A2&lt;&gt;"Health - Related Institutions",SUMIFS(InputResearch[Aerospace PNP],InputResearch[Institution Name],$A$1),"N/A")</f>
        <v>0</v>
      </c>
      <c r="H47" s="320">
        <f t="shared" ref="H47:H60" si="2">SUM(B47:G47)</f>
        <v>0</v>
      </c>
      <c r="I47" s="12"/>
      <c r="J47" s="12"/>
      <c r="K47" s="12"/>
      <c r="L47" s="12"/>
      <c r="M47" s="12"/>
      <c r="N47" s="12"/>
      <c r="O47" s="12"/>
    </row>
    <row r="48" spans="1:15" s="13" customFormat="1" ht="27" customHeight="1">
      <c r="A48" s="210" t="str">
        <f>IF($A$2="Health - Related Institutions","Aging","Aging¹")</f>
        <v>Aging¹</v>
      </c>
      <c r="B48" s="206" t="str">
        <f>IF(OR(A2="Health - Related Institutions",A2="Texas Public Universities with Medical Schools"),SUMIFS(InputResearch[Aging Fed],InputResearch[Institution Name],$A$1),"N/A")</f>
        <v>N/A</v>
      </c>
      <c r="C48" s="207" t="str">
        <f>IF(OR(A2="Health - Related Institutions",A2="Texas Public Universities with Medical Schools"),SUMIFS(InputResearch[Aging St. Approp.],InputResearch[Institution Name],$A$1),"N/A")</f>
        <v>N/A</v>
      </c>
      <c r="D48" s="207" t="str">
        <f>IF(OR(A2="Health - Related Institutions",A2="Texas Public Universities with Medical Schools"),SUMIFS(InputResearch[Aging St. C&amp;G],InputResearch[Institution Name],$A$1),"N/A")</f>
        <v>N/A</v>
      </c>
      <c r="E48" s="207" t="str">
        <f>IF(OR(A2="Health - Related Institutions",A2="Texas Public Universities with Medical Schools"),SUMIFS(InputResearch[Aging Inst Res],InputResearch[Institution Name],$A$1),"N/A")</f>
        <v>N/A</v>
      </c>
      <c r="F48" s="207" t="str">
        <f>IF(OR(A2="Health - Related Institutions",A2="Texas Public Universities with Medical Schools"),SUMIFS(InputResearch[Aging PFP],InputResearch[Institution Name],$A$1),"N/A")</f>
        <v>N/A</v>
      </c>
      <c r="G48" s="208" t="str">
        <f>IF(OR(A2="Health - Related Institutions",A2="Texas Public Universities with Medical Schools"),SUMIFS(InputResearch[Aging PNP],InputResearch[Institution Name],$A$1),"N/A")</f>
        <v>N/A</v>
      </c>
      <c r="H48" s="320">
        <f t="shared" si="2"/>
        <v>0</v>
      </c>
      <c r="I48" s="12"/>
      <c r="J48" s="12"/>
      <c r="K48" s="12"/>
      <c r="L48" s="12"/>
      <c r="M48" s="12"/>
      <c r="N48" s="12"/>
      <c r="O48" s="12"/>
    </row>
    <row r="49" spans="1:15" s="13" customFormat="1" ht="27" customHeight="1">
      <c r="A49" s="210" t="str">
        <f>IF($A$2="Health - Related Institutions","Biotechnology¹","Biotechnology")</f>
        <v>Biotechnology</v>
      </c>
      <c r="B49" s="206">
        <f>IF(A2&lt;&gt;"Health - Related Institutions",SUMIFS(InputResearch[BioTech Fed],InputResearch[Institution Name],$A$1),"N/A")</f>
        <v>0</v>
      </c>
      <c r="C49" s="207">
        <f>IF(A2&lt;&gt;"Health - Related Institutions",SUMIFS(InputResearch[BioTech St. Approp.],InputResearch[Institution Name],$A$1),"N/A")</f>
        <v>0</v>
      </c>
      <c r="D49" s="207">
        <f>IF(A2&lt;&gt;"Health - Related Institutions",SUMIFS(InputResearch[BioTech St. C&amp;G],InputResearch[Institution Name],$A$1),"N/A")</f>
        <v>0</v>
      </c>
      <c r="E49" s="207">
        <f>IF(A2&lt;&gt;"Health - Related Institutions",SUMIFS(InputResearch[BioTech Inst Res],InputResearch[Institution Name],$A$1),"N/A")</f>
        <v>0</v>
      </c>
      <c r="F49" s="207">
        <f>IF(A2&lt;&gt;"Health - Related Institutions",SUMIFS(InputResearch[BioTech PFP],InputResearch[Institution Name],$A$1),"N/A")</f>
        <v>0</v>
      </c>
      <c r="G49" s="208">
        <f>IF(A2&lt;&gt;"Health - Related Institutions",SUMIFS(InputResearch[BioTech PNP],InputResearch[Institution Name],$A$1),"N/A")</f>
        <v>0</v>
      </c>
      <c r="H49" s="320">
        <f t="shared" si="2"/>
        <v>0</v>
      </c>
      <c r="I49" s="12"/>
      <c r="J49" s="12"/>
      <c r="K49" s="12"/>
      <c r="L49" s="12"/>
      <c r="M49" s="12"/>
      <c r="N49" s="12"/>
      <c r="O49" s="12"/>
    </row>
    <row r="50" spans="1:15" s="13" customFormat="1" ht="27" customHeight="1">
      <c r="A50" s="210" t="str">
        <f>IF($A$2="Health - Related Institutions", "Cancer Research","Cancer Research¹")</f>
        <v>Cancer Research¹</v>
      </c>
      <c r="B50" s="206" t="str">
        <f>IF(OR(A2="Health - Related Institutions",A2="Texas Public Universities with Medical Schools"),SUMIFS(InputResearch[Cancer Fed],InputResearch[Institution Name],$A$1),"N/A")</f>
        <v>N/A</v>
      </c>
      <c r="C50" s="207" t="str">
        <f>IF(OR(A2="Health - Related Institutions",A2="Texas Public Universities with Medical Schools"),SUMIFS(InputResearch[Cancer St. Approp.],InputResearch[Institution Name],$A$1),"N/A")</f>
        <v>N/A</v>
      </c>
      <c r="D50" s="207" t="str">
        <f>IF(OR(A2="Health - Related Institutions",A2="Texas Public Universities with Medical Schools"),SUMIFS(InputResearch[Cancer St. C&amp;G],InputResearch[Institution Name],$A$1),"N/A")</f>
        <v>N/A</v>
      </c>
      <c r="E50" s="207" t="str">
        <f>IF(OR(A2="Health - Related Institutions",A2="Texas Public Universities with Medical Schools"),SUMIFS(InputResearch[Cancer Inst Res],InputResearch[Institution Name],$A$1),"N/A")</f>
        <v>N/A</v>
      </c>
      <c r="F50" s="207" t="str">
        <f>IF(OR(A2="Health - Related Institutions",A2="Texas Public Universities with Medical Schools"),SUMIFS(InputResearch[Cancer PFP],InputResearch[Institution Name],$A$1),"N/A")</f>
        <v>N/A</v>
      </c>
      <c r="G50" s="208" t="str">
        <f>IF(OR(A2="Health - Related Institutions",A2="Texas Public Universities with Medical Schools"),SUMIFS(InputResearch[Cancer PNP],InputResearch[Institution Name],$A$1),"N/A")</f>
        <v>N/A</v>
      </c>
      <c r="H50" s="320">
        <f t="shared" si="2"/>
        <v>0</v>
      </c>
      <c r="I50" s="12"/>
      <c r="J50" s="12"/>
      <c r="K50" s="12"/>
      <c r="L50" s="12"/>
      <c r="M50" s="12"/>
      <c r="N50" s="12"/>
      <c r="O50" s="12"/>
    </row>
    <row r="51" spans="1:15" s="13" customFormat="1" ht="27" customHeight="1">
      <c r="A51" s="210" t="str">
        <f>IF($A$2="Health - Related Institutions", "Cardiovascular Research","Cardiovascular Research¹")</f>
        <v>Cardiovascular Research¹</v>
      </c>
      <c r="B51" s="206" t="str">
        <f>IF(OR(A2="Health - Related Institutions",A2="Texas Public Universities with Medical Schools"),SUMIFS(InputResearch[Cardiovascular Fed],InputResearch[Institution Name],$A$1),"N/A")</f>
        <v>N/A</v>
      </c>
      <c r="C51" s="207" t="str">
        <f>IF(OR(A2="Health - Related Institutions",A2="Texas Public Universities with Medical Schools"),SUMIFS(InputResearch[Cardiovascular St. Approp.],InputResearch[Institution Name],$A$1),"N/A")</f>
        <v>N/A</v>
      </c>
      <c r="D51" s="207" t="str">
        <f>IF(OR(A2="Health - Related Institutions",A2="Texas Public Universities with Medical Schools"),SUMIFS(InputResearch[Cardiovascular St. C&amp;G],InputResearch[Institution Name],$A$1),"N/A")</f>
        <v>N/A</v>
      </c>
      <c r="E51" s="207" t="str">
        <f>IF(OR(A2="Health - Related Institutions",A2="Texas Public Universities with Medical Schools"),SUMIFS(InputResearch[Cardiovascular Inst Res],InputResearch[Institution Name],$A$1),"N/A")</f>
        <v>N/A</v>
      </c>
      <c r="F51" s="207" t="str">
        <f>IF(OR(A2="Health - Related Institutions",A2="Texas Public Universities with Medical Schools"),SUMIFS(InputResearch[Cardiovascular PFP],InputResearch[Institution Name],$A$1),"N/A")</f>
        <v>N/A</v>
      </c>
      <c r="G51" s="208" t="str">
        <f>IF(OR(A2="Health - Related Institutions",A2="Texas Public Universities with Medical Schools"),SUMIFS(InputResearch[Cardiovascular PNP],InputResearch[Institution Name],$A$1),"N/A")</f>
        <v>N/A</v>
      </c>
      <c r="H51" s="320">
        <f t="shared" si="2"/>
        <v>0</v>
      </c>
      <c r="I51" s="12"/>
      <c r="J51" s="12"/>
      <c r="K51" s="12"/>
      <c r="L51" s="12"/>
      <c r="M51" s="12"/>
      <c r="N51" s="12"/>
      <c r="O51" s="12"/>
    </row>
    <row r="52" spans="1:15" s="13" customFormat="1" ht="27" customHeight="1">
      <c r="A52" s="210" t="str">
        <f>IF($A$2="Health - Related Institutions", "Energy¹", "Energy")</f>
        <v>Energy</v>
      </c>
      <c r="B52" s="206">
        <f>IF(A2&lt;&gt;"Health - Related Institutions",SUMIFS(InputResearch[Energy Fed],InputResearch[Institution Name],$A$1),"N/A")</f>
        <v>0</v>
      </c>
      <c r="C52" s="207">
        <f>IF(A2&lt;&gt;"Health - Related Institutions",SUMIFS(InputResearch[Energy St. Approp.],InputResearch[Institution Name],$A$1),"N/A")</f>
        <v>0</v>
      </c>
      <c r="D52" s="207">
        <f>IF(A2&lt;&gt;"Health - Related Institutions",SUMIFS(InputResearch[Energy St. C&amp;G],InputResearch[Institution Name],$A$1),"N/A")</f>
        <v>0</v>
      </c>
      <c r="E52" s="207">
        <f>IF(A2&lt;&gt;"Health - Related Institutions",SUMIFS(InputResearch[Energy Inst Res],InputResearch[Institution Name],$A$1),"N/A")</f>
        <v>0</v>
      </c>
      <c r="F52" s="207">
        <f>IF(A2&lt;&gt;"Health - Related Institutions",SUMIFS(InputResearch[Energy PFP],InputResearch[Institution Name],$A$1),"N/A")</f>
        <v>0</v>
      </c>
      <c r="G52" s="208">
        <f>IF(A2&lt;&gt;"Health - Related Institutions",SUMIFS(InputResearch[Energy PNP],InputResearch[Institution Name],$A$1),"N/A")</f>
        <v>0</v>
      </c>
      <c r="H52" s="320">
        <f t="shared" si="2"/>
        <v>0</v>
      </c>
      <c r="I52" s="12"/>
      <c r="J52" s="12"/>
      <c r="K52" s="12"/>
      <c r="L52" s="12"/>
      <c r="M52" s="12"/>
      <c r="N52" s="12"/>
      <c r="O52" s="12"/>
    </row>
    <row r="53" spans="1:15" s="13" customFormat="1" ht="27" customHeight="1">
      <c r="A53" s="210" t="str">
        <f>IF($A$2="Health - Related Institutions", "Child Health and Human Development","Child Health and Human Development¹")</f>
        <v>Child Health and Human Development¹</v>
      </c>
      <c r="B53" s="206" t="str">
        <f>IF(OR(A2="Health - Related Institutions",A2="Texas Public Universities with Medical Schools"),SUMIFS(InputResearch[CHHD Fed],InputResearch[Institution Name],$A$1),"N/A")</f>
        <v>N/A</v>
      </c>
      <c r="C53" s="207" t="str">
        <f>IF(OR(A2="Health - Related Institutions",A2="Texas Public Universities with Medical Schools"),SUMIFS(InputResearch[CHHD St. Approp.],InputResearch[Institution Name],$A$1),"N/A")</f>
        <v>N/A</v>
      </c>
      <c r="D53" s="207" t="str">
        <f>IF(OR(A2="Health - Related Institutions",A2="Texas Public Universities with Medical Schools"),SUMIFS(InputResearch[CHHD St. C&amp;G],InputResearch[Institution Name],$A$1),"N/A")</f>
        <v>N/A</v>
      </c>
      <c r="E53" s="207" t="str">
        <f>IF(OR(A2="Health - Related Institutions",A2="Texas Public Universities with Medical Schools"),SUMIFS(InputResearch[CHHD Inst Res],InputResearch[Institution Name],$A$1),"N/A")</f>
        <v>N/A</v>
      </c>
      <c r="F53" s="207" t="str">
        <f>IF(OR(A2="Health - Related Institutions",A2="Texas Public Universities with Medical Schools"),SUMIFS(InputResearch[CHHD PFP],InputResearch[Institution Name],$A$1),"N/A")</f>
        <v>N/A</v>
      </c>
      <c r="G53" s="208" t="str">
        <f>IF(OR(A2="Health - Related Institutions",A2="Texas Public Universities with Medical Schools"),SUMIFS(InputResearch[CHHD PNP],InputResearch[Institution Name],$A$1),"N/A")</f>
        <v>N/A</v>
      </c>
      <c r="H53" s="320">
        <f t="shared" si="2"/>
        <v>0</v>
      </c>
      <c r="I53" s="12"/>
      <c r="J53" s="12"/>
      <c r="K53" s="12"/>
      <c r="L53" s="12"/>
      <c r="M53" s="12"/>
      <c r="N53" s="12"/>
      <c r="O53" s="12"/>
    </row>
    <row r="54" spans="1:15" s="13" customFormat="1" ht="27" customHeight="1">
      <c r="A54" s="210" t="str">
        <f>IF($A$2="Health - Related Institutions", "Manufacturing Technology¹", "Manufacturing Technology")</f>
        <v>Manufacturing Technology</v>
      </c>
      <c r="B54" s="206">
        <f>IF(A2&lt;&gt;"Health - Related Institutions",SUMIFS(InputResearch[Manufacturing Tech Fed],InputResearch[Institution Name],$A$1),"N/A")</f>
        <v>0</v>
      </c>
      <c r="C54" s="207">
        <f>IF(A2&lt;&gt;"Health - Related Institutions",SUMIFS(InputResearch[Manufacturing Tech St. Approp.],InputResearch[Institution Name],$A$1),"N/A")</f>
        <v>0</v>
      </c>
      <c r="D54" s="207">
        <f>IF(A2&lt;&gt;"Health - Related Institutions",SUMIFS(InputResearch[Manufacturing Tech St. C&amp;G],InputResearch[Institution Name],$A$1),"N/A")</f>
        <v>0</v>
      </c>
      <c r="E54" s="207">
        <f>IF(A2&lt;&gt;"Health - Related Institutions",SUMIFS(InputResearch[Manufacturing Tech Inst Res],InputResearch[Institution Name],$A$1),"N/A")</f>
        <v>0</v>
      </c>
      <c r="F54" s="207">
        <f>IF(A2&lt;&gt;"Health - Related Institutions",SUMIFS(InputResearch[Manufacturing Tech PFP],InputResearch[Institution Name],$A$1),"N/A")</f>
        <v>0</v>
      </c>
      <c r="G54" s="208">
        <f>IF(A2&lt;&gt;"Health - Related Institutions",SUMIFS(InputResearch[Manufacturing Tech PNP],InputResearch[Institution Name],$A$1),"N/A")</f>
        <v>0</v>
      </c>
      <c r="H54" s="320">
        <f t="shared" si="2"/>
        <v>0</v>
      </c>
      <c r="I54" s="12"/>
      <c r="J54" s="12"/>
      <c r="K54" s="12"/>
      <c r="L54" s="12"/>
      <c r="M54" s="12"/>
      <c r="N54" s="12"/>
      <c r="O54" s="12"/>
    </row>
    <row r="55" spans="1:15" s="13" customFormat="1" ht="27" customHeight="1">
      <c r="A55" s="210" t="str">
        <f>IF($A$2="Health - Related Institutions", "Mental Health","Mental Health¹")</f>
        <v>Mental Health¹</v>
      </c>
      <c r="B55" s="206" t="str">
        <f>IF(OR(A2="Health - Related Institutions",A2="Texas Public Universities with Medical Schools"),SUMIFS(InputResearch[Mental Hlth Fed],InputResearch[Institution Name],$A$1),"N/A")</f>
        <v>N/A</v>
      </c>
      <c r="C55" s="207" t="str">
        <f>IF(OR(A2="Health - Related Institutions",A2="Texas Public Universities with Medical Schools"),SUMIFS(InputResearch[Mental Hlth St. Approp.],InputResearch[Institution Name],$A$1),"N/A")</f>
        <v>N/A</v>
      </c>
      <c r="D55" s="207" t="str">
        <f>IF(OR(A2="Health - Related Institutions",A2="Texas Public Universities with Medical Schools"),SUMIFS(InputResearch[Mental Hlth St. C&amp;G],InputResearch[Institution Name],$A$1),"N/A")</f>
        <v>N/A</v>
      </c>
      <c r="E55" s="207" t="str">
        <f>IF(OR(A2="Health - Related Institutions",A2="Texas Public Universities with Medical Schools"),SUMIFS(InputResearch[Mental Hlth Inst Res],InputResearch[Institution Name],$A$1),"N/A")</f>
        <v>N/A</v>
      </c>
      <c r="F55" s="207" t="str">
        <f>IF(OR(A2="Health - Related Institutions",A2="Texas Public Universities with Medical Schools"),SUMIFS(InputResearch[Mental Hlth PFP],InputResearch[Institution Name],$A$1),"N/A")</f>
        <v>N/A</v>
      </c>
      <c r="G55" s="208" t="str">
        <f>IF(OR(A2="Health - Related Institutions",A2="Texas Public Universities with Medical Schools"),SUMIFS(InputResearch[Mental Hlth PNP],InputResearch[Institution Name],$A$1),"N/A")</f>
        <v>N/A</v>
      </c>
      <c r="H55" s="320">
        <f t="shared" si="2"/>
        <v>0</v>
      </c>
      <c r="I55" s="12"/>
      <c r="J55" s="12"/>
      <c r="K55" s="12"/>
      <c r="L55" s="12"/>
      <c r="M55" s="12"/>
      <c r="N55" s="12"/>
      <c r="O55" s="12"/>
    </row>
    <row r="56" spans="1:15" s="13" customFormat="1" ht="27" customHeight="1">
      <c r="A56" s="210" t="str">
        <f>IF($A$2="Health - Related Institutions", "Materials Science¹", "Materials Science")</f>
        <v>Materials Science</v>
      </c>
      <c r="B56" s="206">
        <f>IF(A2&lt;&gt;"Health - Related Institutions",SUMIFS(InputResearch[Materials Sci. Fed],InputResearch[Institution Name],$A$1),"N/A")</f>
        <v>0</v>
      </c>
      <c r="C56" s="207">
        <f>IF(A2&lt;&gt;"Health - Related Institutions",SUMIFS(InputResearch[Materials Sci. St. Approp.],InputResearch[Institution Name],$A$1),"N/A")</f>
        <v>0</v>
      </c>
      <c r="D56" s="207">
        <f>IF(A2&lt;&gt;"Health - Related Institutions",SUMIFS(InputResearch[Materials Sci. St. C&amp;G],InputResearch[Institution Name],$A$1),"N/A")</f>
        <v>0</v>
      </c>
      <c r="E56" s="207">
        <f>IF(A2&lt;&gt;"Health - Related Institutions",SUMIFS(InputResearch[Materials Sci. Inst Res],InputResearch[Institution Name],$A$1),"N/A")</f>
        <v>0</v>
      </c>
      <c r="F56" s="207">
        <f>IF(A2&lt;&gt;"Health - Related Institutions",SUMIFS(InputResearch[Materials Sci. PFP],InputResearch[Institution Name],$A$1),"N/A")</f>
        <v>0</v>
      </c>
      <c r="G56" s="208">
        <f>IF(A2&lt;&gt;"Health - Related Institutions",SUMIFS(InputResearch[Materials Sci. PNP],InputResearch[Institution Name],$A$1),"N/A")</f>
        <v>0</v>
      </c>
      <c r="H56" s="320">
        <f t="shared" si="2"/>
        <v>0</v>
      </c>
      <c r="I56" s="12"/>
      <c r="J56" s="12"/>
      <c r="K56" s="12"/>
      <c r="L56" s="12"/>
      <c r="M56" s="12"/>
      <c r="N56" s="12"/>
      <c r="O56" s="12"/>
    </row>
    <row r="57" spans="1:15" s="13" customFormat="1" ht="27" customHeight="1">
      <c r="A57" s="210" t="str">
        <f>IF($A$2="Health - Related Institutions", "Microelectronics and Computer Technology¹", "Microelectronics and Computer Technology")</f>
        <v>Microelectronics and Computer Technology</v>
      </c>
      <c r="B57" s="206">
        <f>IF(A2&lt;&gt;"Health - Related Institutions",SUMIFS(InputResearch[Micro &amp; Comp. Tech Fed],InputResearch[Institution Name],$A$1),"N/A")</f>
        <v>0</v>
      </c>
      <c r="C57" s="207">
        <f>IF(A2&lt;&gt;"Health - Related Institutions",SUMIFS(InputResearch[Micro &amp; Comp. Tech St. Approp.],InputResearch[Institution Name],$A$1),"N/A")</f>
        <v>0</v>
      </c>
      <c r="D57" s="207">
        <f>IF(A2&lt;&gt;"Health - Related Institutions",SUMIFS(InputResearch[Micro &amp; Comp. Tech St. C&amp;G],InputResearch[Institution Name],$A$1),"N/A")</f>
        <v>0</v>
      </c>
      <c r="E57" s="207">
        <f>IF(A2&lt;&gt;"Health - Related Institutions",SUMIFS(InputResearch[Micro &amp; Comp. Tech Inst Res],InputResearch[Institution Name],$A$1),"N/A")</f>
        <v>0</v>
      </c>
      <c r="F57" s="207">
        <f>IF(A2&lt;&gt;"Health - Related Institutions",SUMIFS(InputResearch[Micro &amp; Comp. Tech PFP],InputResearch[Institution Name],$A$1),"N/A")</f>
        <v>0</v>
      </c>
      <c r="G57" s="208">
        <f>IF(A2&lt;&gt;"Health - Related Institutions",SUMIFS(InputResearch[Micro &amp; Comp. Tech PNP],InputResearch[Institution Name],$A$1),"N/A")</f>
        <v>0</v>
      </c>
      <c r="H57" s="320">
        <f t="shared" si="2"/>
        <v>0</v>
      </c>
      <c r="I57" s="12"/>
      <c r="J57" s="12"/>
      <c r="K57" s="12"/>
      <c r="L57" s="12"/>
      <c r="M57" s="12"/>
      <c r="N57" s="12"/>
      <c r="O57" s="12"/>
    </row>
    <row r="58" spans="1:15" s="13" customFormat="1" ht="27" customHeight="1">
      <c r="A58" s="210" t="str">
        <f>IF($A$2="Health - Related Institutions", "Water Resources¹", "Water Resources")</f>
        <v>Water Resources</v>
      </c>
      <c r="B58" s="206">
        <f>IF(A2&lt;&gt;"Health - Related Institutions",SUMIFS(InputResearch[Water Resources Fed],InputResearch[Institution Name],$A$1),"N/A")</f>
        <v>0</v>
      </c>
      <c r="C58" s="207">
        <f>IF(A2&lt;&gt;"Health - Related Institutions",SUMIFS(InputResearch[Water Resources St. Approp.],InputResearch[Institution Name],$A$1),"N/A")</f>
        <v>0</v>
      </c>
      <c r="D58" s="207">
        <f>IF(A2&lt;&gt;"Health - Related Institutions",SUMIFS(InputResearch[Water Resources St. C&amp;G],InputResearch[Institution Name],$A$1),"N/A")</f>
        <v>0</v>
      </c>
      <c r="E58" s="207">
        <f>IF(A2&lt;&gt;"Health - Related Institutions",SUMIFS(InputResearch[Water Resources Inst Res],InputResearch[Institution Name],$A$1),"N/A")</f>
        <v>0</v>
      </c>
      <c r="F58" s="207">
        <f>IF(A2&lt;&gt;"Health - Related Institutions",SUMIFS(InputResearch[Water Resources PFP],InputResearch[Institution Name],$A$1),"N/A")</f>
        <v>0</v>
      </c>
      <c r="G58" s="208">
        <f>IF(A2&lt;&gt;"Health - Related Institutions",SUMIFS(InputResearch[Water Resources PNP],InputResearch[Institution Name],$A$1),"N/A")</f>
        <v>0</v>
      </c>
      <c r="H58" s="320">
        <f t="shared" si="2"/>
        <v>0</v>
      </c>
      <c r="I58" s="12"/>
      <c r="J58" s="12"/>
      <c r="K58" s="12"/>
      <c r="L58" s="12"/>
      <c r="M58" s="12"/>
      <c r="N58" s="12"/>
      <c r="O58" s="12"/>
    </row>
    <row r="59" spans="1:15" s="13" customFormat="1" ht="27" customHeight="1">
      <c r="A59" s="210" t="s">
        <v>741</v>
      </c>
      <c r="B59" s="206">
        <f>SUMIFS(InputResearch[Stem Cell - Adult Fed],InputResearch[Institution Name],$A$1)</f>
        <v>0</v>
      </c>
      <c r="C59" s="207">
        <f>SUMIFS(InputResearch[Stem Cell - Adult St. Approp.],InputResearch[Institution Name],$A$1)</f>
        <v>0</v>
      </c>
      <c r="D59" s="207">
        <f>SUMIFS(InputResearch[Stem Cell - Adult St. C&amp;G],InputResearch[Institution Name],$A$1)</f>
        <v>0</v>
      </c>
      <c r="E59" s="207">
        <f>SUMIFS(InputResearch[Stem Cell - Adult Inst Res],InputResearch[Institution Name],$A$1)</f>
        <v>0</v>
      </c>
      <c r="F59" s="207">
        <f>SUMIFS(InputResearch[Stem Cell - Adult PFP],InputResearch[Institution Name],$A$1)</f>
        <v>0</v>
      </c>
      <c r="G59" s="208">
        <f>SUMIFS(InputResearch[Stem Cell - Adult PNP],InputResearch[Institution Name],$A$1)</f>
        <v>0</v>
      </c>
      <c r="H59" s="320">
        <f t="shared" si="2"/>
        <v>0</v>
      </c>
      <c r="I59" s="12"/>
      <c r="J59" s="12"/>
      <c r="K59" s="12"/>
      <c r="L59" s="12"/>
      <c r="M59" s="12"/>
      <c r="N59" s="12"/>
      <c r="O59" s="12"/>
    </row>
    <row r="60" spans="1:15" s="13" customFormat="1" ht="27" customHeight="1" thickBot="1">
      <c r="A60" s="210" t="s">
        <v>742</v>
      </c>
      <c r="B60" s="206">
        <f>SUMIFS(InputResearch[Stem Cell - Embryonic Fed],InputResearch[Institution Name],$A$1)</f>
        <v>0</v>
      </c>
      <c r="C60" s="207">
        <f>SUMIFS(InputResearch[Stem Cell - Embryonic St. Approp.],InputResearch[Institution Name],$A$1)</f>
        <v>0</v>
      </c>
      <c r="D60" s="207">
        <f>SUMIFS(InputResearch[Stem Cell - Embryonic St. C&amp;G],InputResearch[Institution Name],$A$1)</f>
        <v>0</v>
      </c>
      <c r="E60" s="207">
        <f>SUMIFS(InputResearch[Stem Cell - Embryonic Inst Res],InputResearch[Institution Name],$A$1)</f>
        <v>0</v>
      </c>
      <c r="F60" s="207">
        <f>SUMIFS(InputResearch[Stem Cell - Embryonic PFP],InputResearch[Institution Name],$A$1)</f>
        <v>0</v>
      </c>
      <c r="G60" s="208">
        <f>SUMIFS(InputResearch[Stem Cell - Embryonic PNP],InputResearch[Institution Name],$A$1)</f>
        <v>0</v>
      </c>
      <c r="H60" s="320">
        <f t="shared" si="2"/>
        <v>0</v>
      </c>
      <c r="I60" s="12"/>
      <c r="J60" s="12"/>
      <c r="K60" s="12"/>
      <c r="L60" s="12"/>
      <c r="M60" s="12"/>
      <c r="N60" s="12"/>
      <c r="O60" s="12"/>
    </row>
    <row r="61" spans="1:15" s="13" customFormat="1" ht="27" customHeight="1" thickTop="1">
      <c r="A61" s="205" t="s">
        <v>603</v>
      </c>
      <c r="B61" s="278">
        <f t="shared" ref="B61:G61" si="3">SUM(B47:B60)</f>
        <v>0</v>
      </c>
      <c r="C61" s="276">
        <f t="shared" si="3"/>
        <v>0</v>
      </c>
      <c r="D61" s="276">
        <f t="shared" si="3"/>
        <v>0</v>
      </c>
      <c r="E61" s="276">
        <f t="shared" si="3"/>
        <v>0</v>
      </c>
      <c r="F61" s="276">
        <f t="shared" si="3"/>
        <v>0</v>
      </c>
      <c r="G61" s="277">
        <f t="shared" si="3"/>
        <v>0</v>
      </c>
      <c r="H61" s="277">
        <f>SUM(H48:H60)</f>
        <v>0</v>
      </c>
      <c r="I61" s="12"/>
      <c r="J61" s="12"/>
      <c r="K61" s="12"/>
      <c r="L61" s="12"/>
      <c r="M61" s="12"/>
      <c r="N61" s="12"/>
      <c r="O61" s="12"/>
    </row>
    <row r="62" spans="1:15" s="13" customFormat="1" ht="27" customHeight="1">
      <c r="A62" s="426" t="s">
        <v>740</v>
      </c>
      <c r="B62" s="426"/>
      <c r="C62" s="426"/>
      <c r="D62" s="426"/>
      <c r="E62" s="426"/>
      <c r="F62" s="426"/>
      <c r="G62" s="426"/>
      <c r="H62" s="426"/>
      <c r="I62" s="12"/>
      <c r="J62" s="12"/>
      <c r="K62" s="12"/>
      <c r="L62" s="12"/>
      <c r="M62" s="12"/>
      <c r="N62" s="12"/>
      <c r="O62" s="12"/>
    </row>
    <row r="63" spans="1:15" s="13" customFormat="1" ht="27" customHeight="1">
      <c r="A63" s="426"/>
      <c r="B63" s="426"/>
      <c r="C63" s="426"/>
      <c r="D63" s="426"/>
      <c r="E63" s="426"/>
      <c r="F63" s="426"/>
      <c r="G63" s="426"/>
      <c r="H63" s="426"/>
      <c r="I63" s="12"/>
      <c r="J63" s="12"/>
      <c r="K63" s="12"/>
      <c r="L63" s="12"/>
      <c r="M63" s="12"/>
      <c r="N63" s="12"/>
      <c r="O63" s="12"/>
    </row>
    <row r="64" spans="1:15" s="13" customFormat="1" ht="27" customHeight="1">
      <c r="A64" s="426"/>
      <c r="B64" s="426"/>
      <c r="C64" s="426"/>
      <c r="D64" s="426"/>
      <c r="E64" s="426"/>
      <c r="F64" s="426"/>
      <c r="G64" s="426"/>
      <c r="H64" s="426"/>
      <c r="I64" s="12"/>
      <c r="J64" s="12"/>
      <c r="K64" s="12"/>
      <c r="L64" s="12"/>
      <c r="M64" s="12"/>
      <c r="N64" s="12"/>
      <c r="O64" s="12"/>
    </row>
    <row r="65" spans="1:15">
      <c r="A65" s="9"/>
      <c r="B65" s="9"/>
      <c r="C65" s="9"/>
      <c r="D65" s="9"/>
      <c r="E65" s="9"/>
      <c r="F65" s="9"/>
      <c r="G65" s="9"/>
      <c r="H65" s="9"/>
      <c r="I65" s="9"/>
      <c r="J65" s="9"/>
      <c r="K65" s="9"/>
      <c r="L65" s="9"/>
      <c r="M65" s="9"/>
      <c r="N65" s="9"/>
      <c r="O65" s="9"/>
    </row>
    <row r="66" spans="1:15">
      <c r="A66" s="9"/>
      <c r="B66" s="9"/>
      <c r="C66" s="9"/>
      <c r="D66" s="9"/>
      <c r="E66" s="9"/>
      <c r="F66" s="9"/>
      <c r="G66" s="9"/>
      <c r="H66" s="9"/>
      <c r="I66" s="9"/>
      <c r="J66" s="9"/>
      <c r="K66" s="9"/>
      <c r="L66" s="9"/>
      <c r="M66" s="9"/>
      <c r="N66" s="9"/>
      <c r="O66" s="9"/>
    </row>
    <row r="71" spans="1:15" ht="15">
      <c r="F71" s="258"/>
    </row>
    <row r="72" spans="1:15">
      <c r="F72" s="10" t="s">
        <v>915</v>
      </c>
    </row>
  </sheetData>
  <sheetProtection algorithmName="SHA-512" hashValue="ONE3coJOIY+OoFwaO0NT0Cr+T9lqTAn31CEEUtBNiQt/OOTPLlGaNaKNhV+Gq+EfXThOjBLZBa3RqXVu1Z576Q==" saltValue="G6wNTYeT7Ir1vj2mbI0G4w==" spinCount="100000" sheet="1" objects="1" scenarios="1"/>
  <mergeCells count="29">
    <mergeCell ref="A62:H64"/>
    <mergeCell ref="A42:H45"/>
    <mergeCell ref="A12:F12"/>
    <mergeCell ref="A13:F13"/>
    <mergeCell ref="A14:F14"/>
    <mergeCell ref="A41:H41"/>
    <mergeCell ref="A21:H21"/>
    <mergeCell ref="A18:G18"/>
    <mergeCell ref="A19:G19"/>
    <mergeCell ref="I1:N1"/>
    <mergeCell ref="I2:K2"/>
    <mergeCell ref="A1:C1"/>
    <mergeCell ref="A3:C3"/>
    <mergeCell ref="A2:C2"/>
    <mergeCell ref="I3:K3"/>
    <mergeCell ref="M3:N3"/>
    <mergeCell ref="A7:F7"/>
    <mergeCell ref="J26:K26"/>
    <mergeCell ref="A15:F15"/>
    <mergeCell ref="A11:F11"/>
    <mergeCell ref="M2:N2"/>
    <mergeCell ref="J7:K8"/>
    <mergeCell ref="J9:K9"/>
    <mergeCell ref="A4:H6"/>
    <mergeCell ref="A10:F10"/>
    <mergeCell ref="A8:F8"/>
    <mergeCell ref="A9:F9"/>
    <mergeCell ref="A16:F16"/>
    <mergeCell ref="A17:F17"/>
  </mergeCells>
  <conditionalFormatting sqref="A2:C2">
    <cfRule type="cellIs" dxfId="9" priority="3" operator="equal">
      <formula>"▲ Select from dropdown ▲"</formula>
    </cfRule>
  </conditionalFormatting>
  <conditionalFormatting sqref="B47:G60">
    <cfRule type="cellIs" dxfId="8" priority="1" operator="equal">
      <formula>"N/A"</formula>
    </cfRule>
  </conditionalFormatting>
  <conditionalFormatting sqref="L26">
    <cfRule type="expression" dxfId="7" priority="4">
      <formula>$M$26&lt;&gt;0</formula>
    </cfRule>
  </conditionalFormatting>
  <dataValidations count="1">
    <dataValidation type="list" allowBlank="1" showInputMessage="1" showErrorMessage="1" sqref="A1:C1" xr:uid="{8921792B-1A9E-4DC0-833C-1316DC26D0B3}">
      <formula1>NamesList</formula1>
    </dataValidation>
  </dataValidations>
  <pageMargins left="0.5" right="0.5" top="0.5" bottom="0.5" header="0.3" footer="0.3"/>
  <pageSetup scale="27" orientation="portrait" r:id="rId1"/>
  <headerFooter>
    <oddFooter>&amp;RPrinted on: &amp;D</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132E4-636D-49EA-AE2D-ACA00E545E49}">
  <sheetPr codeName="Sheet10">
    <tabColor theme="5"/>
    <pageSetUpPr fitToPage="1"/>
  </sheetPr>
  <dimension ref="A1:M129"/>
  <sheetViews>
    <sheetView zoomScale="70" zoomScaleNormal="70" workbookViewId="0">
      <pane xSplit="1" ySplit="1" topLeftCell="B3" activePane="bottomRight" state="frozen"/>
      <selection pane="topRight" activeCell="B1" sqref="B1"/>
      <selection pane="bottomLeft" activeCell="A2" sqref="A2"/>
      <selection pane="bottomRight" sqref="A1:K1"/>
    </sheetView>
  </sheetViews>
  <sheetFormatPr defaultColWidth="8.81640625" defaultRowHeight="15" outlineLevelCol="1"/>
  <cols>
    <col min="1" max="1" width="61.1796875" style="48" bestFit="1" customWidth="1"/>
    <col min="2" max="2" width="8.81640625" style="225" hidden="1" customWidth="1" outlineLevel="1"/>
    <col min="3" max="3" width="10.81640625" style="48" hidden="1" customWidth="1" outlineLevel="1"/>
    <col min="4" max="4" width="18.81640625" style="48" customWidth="1" collapsed="1"/>
    <col min="5" max="6" width="22.81640625" style="48" customWidth="1"/>
    <col min="7" max="7" width="18.81640625" style="48" customWidth="1"/>
    <col min="8" max="8" width="27.6328125" style="48" customWidth="1"/>
    <col min="9" max="9" width="22.81640625" style="48" customWidth="1"/>
    <col min="10" max="12" width="18.81640625" style="48" customWidth="1"/>
    <col min="13" max="13" width="5.81640625" style="48" customWidth="1"/>
    <col min="14" max="16384" width="8.81640625" style="48"/>
  </cols>
  <sheetData>
    <row r="1" spans="1:13" ht="39.9" customHeight="1">
      <c r="A1" s="441" t="s">
        <v>602</v>
      </c>
      <c r="B1" s="441"/>
      <c r="C1" s="441"/>
      <c r="D1" s="441"/>
      <c r="E1" s="441"/>
      <c r="F1" s="441"/>
      <c r="G1" s="441"/>
      <c r="H1" s="441"/>
      <c r="I1" s="441"/>
      <c r="J1" s="441"/>
      <c r="K1" s="441"/>
      <c r="L1" s="56"/>
      <c r="M1" s="56"/>
    </row>
    <row r="2" spans="1:13" s="116" customFormat="1" ht="39.9" hidden="1" customHeight="1">
      <c r="A2" s="279"/>
      <c r="B2" s="279"/>
      <c r="C2" s="279"/>
      <c r="D2" s="279"/>
      <c r="E2" s="279"/>
      <c r="F2" s="279"/>
      <c r="G2" s="279"/>
      <c r="H2" s="279"/>
      <c r="I2" s="279"/>
      <c r="J2" s="279"/>
      <c r="K2" s="279"/>
      <c r="L2" s="115"/>
      <c r="M2" s="115"/>
    </row>
    <row r="3" spans="1:13" ht="21">
      <c r="A3" s="439" t="s">
        <v>645</v>
      </c>
      <c r="B3" s="440"/>
      <c r="C3" s="440"/>
      <c r="D3" s="440"/>
      <c r="E3" s="440"/>
      <c r="F3" s="440"/>
      <c r="G3" s="440"/>
      <c r="H3" s="440"/>
      <c r="I3" s="440"/>
      <c r="J3" s="440"/>
      <c r="K3" s="440"/>
      <c r="L3" s="440"/>
      <c r="M3" s="56"/>
    </row>
    <row r="4" spans="1:13" ht="17.399999999999999">
      <c r="A4" s="438">
        <f>Hidden!$A$4</f>
        <v>45412</v>
      </c>
      <c r="B4" s="438"/>
      <c r="C4" s="438"/>
      <c r="D4" s="438"/>
      <c r="E4" s="438"/>
      <c r="F4" s="438"/>
      <c r="G4" s="438"/>
      <c r="H4" s="438"/>
      <c r="I4" s="438"/>
      <c r="J4" s="438"/>
      <c r="K4" s="438"/>
      <c r="L4" s="438"/>
      <c r="M4" s="56"/>
    </row>
    <row r="5" spans="1:13">
      <c r="A5" s="54"/>
      <c r="B5" s="55"/>
      <c r="C5" s="55"/>
      <c r="D5" s="55"/>
      <c r="E5" s="55"/>
      <c r="F5" s="55"/>
      <c r="G5" s="55"/>
      <c r="H5" s="55"/>
      <c r="I5" s="55"/>
      <c r="J5" s="55"/>
      <c r="K5" s="55"/>
      <c r="L5" s="56"/>
      <c r="M5" s="56"/>
    </row>
    <row r="6" spans="1:13" s="51" customFormat="1" ht="31.2">
      <c r="A6" s="58" t="s">
        <v>1</v>
      </c>
      <c r="B6" s="75" t="s">
        <v>889</v>
      </c>
      <c r="C6" s="50" t="s">
        <v>2</v>
      </c>
      <c r="D6" s="50" t="s">
        <v>801</v>
      </c>
      <c r="E6" s="50" t="s">
        <v>802</v>
      </c>
      <c r="F6" s="50" t="s">
        <v>799</v>
      </c>
      <c r="G6" s="50" t="s">
        <v>800</v>
      </c>
      <c r="H6" s="50" t="s">
        <v>806</v>
      </c>
      <c r="I6" s="50" t="s">
        <v>803</v>
      </c>
      <c r="J6" s="304" t="s">
        <v>804</v>
      </c>
      <c r="K6" s="50" t="s">
        <v>849</v>
      </c>
      <c r="L6" s="50" t="s">
        <v>850</v>
      </c>
      <c r="M6" s="57"/>
    </row>
    <row r="7" spans="1:13" ht="15.6">
      <c r="A7" s="48" t="s">
        <v>385</v>
      </c>
      <c r="B7" s="225">
        <f>VLOOKUP(SummaryHRI[[#This Row],[Institution Name]],InputResearch[],3,FALSE)</f>
        <v>390</v>
      </c>
      <c r="C7" s="52">
        <v>30</v>
      </c>
      <c r="D7" s="62">
        <f>SUMIFS(InputResearch[SRECNP Res. Exp.],InputResearch[Institution Name],SummaryHRI[[#This Row],[Institution Name]])</f>
        <v>544068173</v>
      </c>
      <c r="E7" s="62">
        <f>SUMIFS(InputResearch[R &amp; D Exp Not meeting narrow def],InputResearch[Institution Name],SummaryHRI[[#This Row],[Institution Name]])</f>
        <v>0</v>
      </c>
      <c r="F7" s="62">
        <f>SUMIFS(InputResearch[IDC assoc w/Exp for R &amp; D],InputResearch[Institution Name],SummaryHRI[[#This Row],[Institution Name]])</f>
        <v>123331361</v>
      </c>
      <c r="G7" s="62">
        <f>SUMIFS(InputResearch[Capital Outlay (Res Equip)],InputResearch[Institution Name],SummaryHRI[[#This Row],[Institution Name]])</f>
        <v>17570170</v>
      </c>
      <c r="H7" s="62">
        <f>SUMIFS(InputResearch[R&amp;D Exp - Inst foundation/501(c)(3)],InputResearch[Institution Name],SummaryHRI[[#This Row],[Institution Name]])</f>
        <v>30976222</v>
      </c>
      <c r="I7" s="62">
        <f>SUMIFS(InputResearch[Pass-Thru from other Texas A&amp;M members],InputResearch[Institution Name],SummaryHRI[[#This Row],[Institution Name]])</f>
        <v>0</v>
      </c>
      <c r="J7"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715945926</v>
      </c>
      <c r="K7" s="62">
        <f>SUMIFS(InputResearch[Total R &amp; D Exp as a Sub],InputResearch[Institution Name],SummaryHRI[[#This Row],[Institution Name]])</f>
        <v>42384837</v>
      </c>
      <c r="L7" s="62">
        <f>SUMIFS(InputResearch[Total R &amp; D Exp to a Sub],InputResearch[Institution Name],SummaryHRI[[#This Row],[Institution Name]])</f>
        <v>37310110.590000004</v>
      </c>
      <c r="M7" s="56"/>
    </row>
    <row r="8" spans="1:13" ht="15.6">
      <c r="A8" s="48" t="s">
        <v>386</v>
      </c>
      <c r="B8" s="225">
        <f>VLOOKUP(SummaryHRI[[#This Row],[Institution Name]],InputResearch[],3,FALSE)</f>
        <v>400</v>
      </c>
      <c r="C8" s="52">
        <v>104952</v>
      </c>
      <c r="D8" s="62">
        <f>SUMIFS(InputResearch[SRECNP Res. Exp.],InputResearch[Institution Name],SummaryHRI[[#This Row],[Institution Name]])</f>
        <v>148305353</v>
      </c>
      <c r="E8" s="62">
        <f>SUMIFS(InputResearch[R &amp; D Exp Not meeting narrow def],InputResearch[Institution Name],SummaryHRI[[#This Row],[Institution Name]])</f>
        <v>0</v>
      </c>
      <c r="F8" s="62">
        <f>SUMIFS(InputResearch[IDC assoc w/Exp for R &amp; D],InputResearch[Institution Name],SummaryHRI[[#This Row],[Institution Name]])</f>
        <v>45835211</v>
      </c>
      <c r="G8" s="62">
        <f>SUMIFS(InputResearch[Capital Outlay (Res Equip)],InputResearch[Institution Name],SummaryHRI[[#This Row],[Institution Name]])</f>
        <v>7834535</v>
      </c>
      <c r="H8" s="62">
        <f>SUMIFS(InputResearch[R&amp;D Exp - Inst foundation/501(c)(3)],InputResearch[Institution Name],SummaryHRI[[#This Row],[Institution Name]])</f>
        <v>0</v>
      </c>
      <c r="I8" s="62">
        <f>SUMIFS(InputResearch[Pass-Thru from other Texas A&amp;M members],InputResearch[Institution Name],SummaryHRI[[#This Row],[Institution Name]])</f>
        <v>0</v>
      </c>
      <c r="J8"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201975099</v>
      </c>
      <c r="K8" s="62">
        <f>SUMIFS(InputResearch[Total R &amp; D Exp as a Sub],InputResearch[Institution Name],SummaryHRI[[#This Row],[Institution Name]])</f>
        <v>8069674</v>
      </c>
      <c r="L8" s="62">
        <f>SUMIFS(InputResearch[Total R &amp; D Exp to a Sub],InputResearch[Institution Name],SummaryHRI[[#This Row],[Institution Name]])</f>
        <v>1330079</v>
      </c>
      <c r="M8" s="56"/>
    </row>
    <row r="9" spans="1:13" ht="15.6">
      <c r="A9" s="48" t="s">
        <v>387</v>
      </c>
      <c r="B9" s="225">
        <f>VLOOKUP(SummaryHRI[[#This Row],[Institution Name]],InputResearch[],3,FALSE)</f>
        <v>410</v>
      </c>
      <c r="C9" s="52">
        <v>11618</v>
      </c>
      <c r="D9" s="62">
        <f>SUMIFS(InputResearch[SRECNP Res. Exp.],InputResearch[Institution Name],SummaryHRI[[#This Row],[Institution Name]])</f>
        <v>274818772</v>
      </c>
      <c r="E9" s="62">
        <f>SUMIFS(InputResearch[R &amp; D Exp Not meeting narrow def],InputResearch[Institution Name],SummaryHRI[[#This Row],[Institution Name]])</f>
        <v>11899240</v>
      </c>
      <c r="F9" s="62">
        <f>SUMIFS(InputResearch[IDC assoc w/Exp for R &amp; D],InputResearch[Institution Name],SummaryHRI[[#This Row],[Institution Name]])</f>
        <v>65422558</v>
      </c>
      <c r="G9" s="62">
        <f>SUMIFS(InputResearch[Capital Outlay (Res Equip)],InputResearch[Institution Name],SummaryHRI[[#This Row],[Institution Name]])</f>
        <v>10017846</v>
      </c>
      <c r="H9" s="62">
        <f>SUMIFS(InputResearch[R&amp;D Exp - Inst foundation/501(c)(3)],InputResearch[Institution Name],SummaryHRI[[#This Row],[Institution Name]])</f>
        <v>0</v>
      </c>
      <c r="I9" s="62">
        <f>SUMIFS(InputResearch[Pass-Thru from other Texas A&amp;M members],InputResearch[Institution Name],SummaryHRI[[#This Row],[Institution Name]])</f>
        <v>0</v>
      </c>
      <c r="J9"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338359936</v>
      </c>
      <c r="K9" s="62">
        <f>SUMIFS(InputResearch[Total R &amp; D Exp as a Sub],InputResearch[Institution Name],SummaryHRI[[#This Row],[Institution Name]])</f>
        <v>13985110</v>
      </c>
      <c r="L9" s="62">
        <f>SUMIFS(InputResearch[Total R &amp; D Exp to a Sub],InputResearch[Institution Name],SummaryHRI[[#This Row],[Institution Name]])</f>
        <v>0</v>
      </c>
      <c r="M9" s="56"/>
    </row>
    <row r="10" spans="1:13" ht="15.6">
      <c r="A10" s="48" t="s">
        <v>388</v>
      </c>
      <c r="B10" s="225">
        <f>VLOOKUP(SummaryHRI[[#This Row],[Institution Name]],InputResearch[],3,FALSE)</f>
        <v>420</v>
      </c>
      <c r="C10" s="52">
        <v>40</v>
      </c>
      <c r="D10" s="62">
        <f>SUMIFS(InputResearch[SRECNP Res. Exp.],InputResearch[Institution Name],SummaryHRI[[#This Row],[Institution Name]])</f>
        <v>199544008</v>
      </c>
      <c r="E10" s="62">
        <f>SUMIFS(InputResearch[R &amp; D Exp Not meeting narrow def],InputResearch[Institution Name],SummaryHRI[[#This Row],[Institution Name]])</f>
        <v>5530948</v>
      </c>
      <c r="F10" s="62">
        <f>SUMIFS(InputResearch[IDC assoc w/Exp for R &amp; D],InputResearch[Institution Name],SummaryHRI[[#This Row],[Institution Name]])</f>
        <v>42189067</v>
      </c>
      <c r="G10" s="62">
        <f>SUMIFS(InputResearch[Capital Outlay (Res Equip)],InputResearch[Institution Name],SummaryHRI[[#This Row],[Institution Name]])</f>
        <v>15687510</v>
      </c>
      <c r="H10" s="62">
        <f>SUMIFS(InputResearch[R&amp;D Exp - Inst foundation/501(c)(3)],InputResearch[Institution Name],SummaryHRI[[#This Row],[Institution Name]])</f>
        <v>9111154</v>
      </c>
      <c r="I10" s="62">
        <f>SUMIFS(InputResearch[Pass-Thru from other Texas A&amp;M members],InputResearch[Institution Name],SummaryHRI[[#This Row],[Institution Name]])</f>
        <v>0</v>
      </c>
      <c r="J10"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261000791</v>
      </c>
      <c r="K10" s="62">
        <f>SUMIFS(InputResearch[Total R &amp; D Exp as a Sub],InputResearch[Institution Name],SummaryHRI[[#This Row],[Institution Name]])</f>
        <v>-495289</v>
      </c>
      <c r="L10" s="62">
        <f>SUMIFS(InputResearch[Total R &amp; D Exp to a Sub],InputResearch[Institution Name],SummaryHRI[[#This Row],[Institution Name]])</f>
        <v>0</v>
      </c>
      <c r="M10" s="56"/>
    </row>
    <row r="11" spans="1:13" ht="15.6">
      <c r="A11" s="48" t="s">
        <v>389</v>
      </c>
      <c r="B11" s="225">
        <f>VLOOKUP(SummaryHRI[[#This Row],[Institution Name]],InputResearch[],3,FALSE)</f>
        <v>430</v>
      </c>
      <c r="C11" s="52">
        <v>25554</v>
      </c>
      <c r="D11" s="62">
        <f>SUMIFS(InputResearch[SRECNP Res. Exp.],InputResearch[Institution Name],SummaryHRI[[#This Row],[Institution Name]])</f>
        <v>1007618780</v>
      </c>
      <c r="E11" s="62">
        <f>SUMIFS(InputResearch[R &amp; D Exp Not meeting narrow def],InputResearch[Institution Name],SummaryHRI[[#This Row],[Institution Name]])</f>
        <v>19500205</v>
      </c>
      <c r="F11" s="62">
        <f>SUMIFS(InputResearch[IDC assoc w/Exp for R &amp; D],InputResearch[Institution Name],SummaryHRI[[#This Row],[Institution Name]])</f>
        <v>138648772</v>
      </c>
      <c r="G11" s="62">
        <f>SUMIFS(InputResearch[Capital Outlay (Res Equip)],InputResearch[Institution Name],SummaryHRI[[#This Row],[Institution Name]])</f>
        <v>33963424</v>
      </c>
      <c r="H11" s="62">
        <f>SUMIFS(InputResearch[R&amp;D Exp - Inst foundation/501(c)(3)],InputResearch[Institution Name],SummaryHRI[[#This Row],[Institution Name]])</f>
        <v>0</v>
      </c>
      <c r="I11" s="62">
        <f>SUMIFS(InputResearch[Pass-Thru from other Texas A&amp;M members],InputResearch[Institution Name],SummaryHRI[[#This Row],[Institution Name]])</f>
        <v>0</v>
      </c>
      <c r="J11"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1160730771</v>
      </c>
      <c r="K11" s="62">
        <f>SUMIFS(InputResearch[Total R &amp; D Exp as a Sub],InputResearch[Institution Name],SummaryHRI[[#This Row],[Institution Name]])</f>
        <v>41326349</v>
      </c>
      <c r="L11" s="62">
        <f>SUMIFS(InputResearch[Total R &amp; D Exp to a Sub],InputResearch[Institution Name],SummaryHRI[[#This Row],[Institution Name]])</f>
        <v>22902702</v>
      </c>
      <c r="M11" s="56"/>
    </row>
    <row r="12" spans="1:13" ht="15.6">
      <c r="A12" s="48" t="s">
        <v>390</v>
      </c>
      <c r="B12" s="225">
        <f>VLOOKUP(SummaryHRI[[#This Row],[Institution Name]],InputResearch[],3,FALSE)</f>
        <v>440</v>
      </c>
      <c r="C12" s="52">
        <v>42439</v>
      </c>
      <c r="D12" s="62">
        <f>SUMIFS(InputResearch[SRECNP Res. Exp.],InputResearch[Institution Name],SummaryHRI[[#This Row],[Institution Name]])</f>
        <v>26873975</v>
      </c>
      <c r="E12" s="62">
        <f>SUMIFS(InputResearch[R &amp; D Exp Not meeting narrow def],InputResearch[Institution Name],SummaryHRI[[#This Row],[Institution Name]])</f>
        <v>2607786</v>
      </c>
      <c r="F12" s="62">
        <f>SUMIFS(InputResearch[IDC assoc w/Exp for R &amp; D],InputResearch[Institution Name],SummaryHRI[[#This Row],[Institution Name]])</f>
        <v>3329733</v>
      </c>
      <c r="G12" s="62">
        <f>SUMIFS(InputResearch[Capital Outlay (Res Equip)],InputResearch[Institution Name],SummaryHRI[[#This Row],[Institution Name]])</f>
        <v>687200</v>
      </c>
      <c r="H12" s="62">
        <f>SUMIFS(InputResearch[R&amp;D Exp - Inst foundation/501(c)(3)],InputResearch[Institution Name],SummaryHRI[[#This Row],[Institution Name]])</f>
        <v>0</v>
      </c>
      <c r="I12" s="62">
        <f>SUMIFS(InputResearch[Pass-Thru from other Texas A&amp;M members],InputResearch[Institution Name],SummaryHRI[[#This Row],[Institution Name]])</f>
        <v>0</v>
      </c>
      <c r="J12"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28283122</v>
      </c>
      <c r="K12" s="62">
        <f>SUMIFS(InputResearch[Total R &amp; D Exp as a Sub],InputResearch[Institution Name],SummaryHRI[[#This Row],[Institution Name]])</f>
        <v>2534227</v>
      </c>
      <c r="L12" s="62">
        <f>SUMIFS(InputResearch[Total R &amp; D Exp to a Sub],InputResearch[Institution Name],SummaryHRI[[#This Row],[Institution Name]])</f>
        <v>713939</v>
      </c>
      <c r="M12" s="56"/>
    </row>
    <row r="13" spans="1:13" ht="15.6">
      <c r="A13" s="48" t="s">
        <v>391</v>
      </c>
      <c r="B13" s="225">
        <f>VLOOKUP(SummaryHRI[[#This Row],[Institution Name]],InputResearch[],3,FALSE)</f>
        <v>450</v>
      </c>
      <c r="C13" s="52">
        <v>89</v>
      </c>
      <c r="D13" s="62">
        <f>SUMIFS(InputResearch[SRECNP Res. Exp.],InputResearch[Institution Name],SummaryHRI[[#This Row],[Institution Name]])</f>
        <v>101477011</v>
      </c>
      <c r="E13" s="62">
        <f>SUMIFS(InputResearch[R &amp; D Exp Not meeting narrow def],InputResearch[Institution Name],SummaryHRI[[#This Row],[Institution Name]])</f>
        <v>7662417</v>
      </c>
      <c r="F13" s="62">
        <f>SUMIFS(InputResearch[IDC assoc w/Exp for R &amp; D],InputResearch[Institution Name],SummaryHRI[[#This Row],[Institution Name]])</f>
        <v>16712057</v>
      </c>
      <c r="G13" s="62">
        <f>SUMIFS(InputResearch[Capital Outlay (Res Equip)],InputResearch[Institution Name],SummaryHRI[[#This Row],[Institution Name]])</f>
        <v>3496165</v>
      </c>
      <c r="H13" s="62">
        <f>SUMIFS(InputResearch[R&amp;D Exp - Inst foundation/501(c)(3)],InputResearch[Institution Name],SummaryHRI[[#This Row],[Institution Name]])</f>
        <v>48549346</v>
      </c>
      <c r="I13" s="62">
        <f>SUMIFS(InputResearch[Pass-Thru from other Texas A&amp;M members],InputResearch[Institution Name],SummaryHRI[[#This Row],[Institution Name]])</f>
        <v>10131213</v>
      </c>
      <c r="J13"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172703375</v>
      </c>
      <c r="K13" s="62">
        <f>SUMIFS(InputResearch[Total R &amp; D Exp as a Sub],InputResearch[Institution Name],SummaryHRI[[#This Row],[Institution Name]])</f>
        <v>24626994</v>
      </c>
      <c r="L13" s="62">
        <f>SUMIFS(InputResearch[Total R &amp; D Exp to a Sub],InputResearch[Institution Name],SummaryHRI[[#This Row],[Institution Name]])</f>
        <v>6372816</v>
      </c>
      <c r="M13" s="56"/>
    </row>
    <row r="14" spans="1:13" ht="15.6">
      <c r="A14" s="48" t="s">
        <v>392</v>
      </c>
      <c r="B14" s="225">
        <f>VLOOKUP(SummaryHRI[[#This Row],[Institution Name]],InputResearch[],3,FALSE)</f>
        <v>461</v>
      </c>
      <c r="C14" s="52">
        <v>130</v>
      </c>
      <c r="D14" s="62">
        <f>SUMIFS(InputResearch[SRECNP Res. Exp.],InputResearch[Institution Name],SummaryHRI[[#This Row],[Institution Name]])</f>
        <v>70498523</v>
      </c>
      <c r="E14" s="62">
        <f>SUMIFS(InputResearch[R &amp; D Exp Not meeting narrow def],InputResearch[Institution Name],SummaryHRI[[#This Row],[Institution Name]])</f>
        <v>2950629</v>
      </c>
      <c r="F14" s="62">
        <f>SUMIFS(InputResearch[IDC assoc w/Exp for R &amp; D],InputResearch[Institution Name],SummaryHRI[[#This Row],[Institution Name]])</f>
        <v>14533915</v>
      </c>
      <c r="G14" s="62">
        <f>SUMIFS(InputResearch[Capital Outlay (Res Equip)],InputResearch[Institution Name],SummaryHRI[[#This Row],[Institution Name]])</f>
        <v>706894</v>
      </c>
      <c r="H14" s="62">
        <f>SUMIFS(InputResearch[R&amp;D Exp - Inst foundation/501(c)(3)],InputResearch[Institution Name],SummaryHRI[[#This Row],[Institution Name]])</f>
        <v>0</v>
      </c>
      <c r="I14" s="62">
        <f>SUMIFS(InputResearch[Pass-Thru from other Texas A&amp;M members],InputResearch[Institution Name],SummaryHRI[[#This Row],[Institution Name]])</f>
        <v>0</v>
      </c>
      <c r="J14"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82788703</v>
      </c>
      <c r="K14" s="62">
        <f>SUMIFS(InputResearch[Total R &amp; D Exp as a Sub],InputResearch[Institution Name],SummaryHRI[[#This Row],[Institution Name]])</f>
        <v>2950629</v>
      </c>
      <c r="L14" s="62">
        <f>SUMIFS(InputResearch[Total R &amp; D Exp to a Sub],InputResearch[Institution Name],SummaryHRI[[#This Row],[Institution Name]])</f>
        <v>2950629</v>
      </c>
      <c r="M14" s="56"/>
    </row>
    <row r="15" spans="1:13" ht="15.6">
      <c r="A15" s="48" t="s">
        <v>393</v>
      </c>
      <c r="B15" s="225">
        <f>VLOOKUP(SummaryHRI[[#This Row],[Institution Name]],InputResearch[],3,FALSE)</f>
        <v>470</v>
      </c>
      <c r="C15" s="52">
        <v>412</v>
      </c>
      <c r="D15" s="62">
        <f>SUMIFS(InputResearch[SRECNP Res. Exp.],InputResearch[Institution Name],SummaryHRI[[#This Row],[Institution Name]])</f>
        <v>41279347</v>
      </c>
      <c r="E15" s="62">
        <f>SUMIFS(InputResearch[R &amp; D Exp Not meeting narrow def],InputResearch[Institution Name],SummaryHRI[[#This Row],[Institution Name]])</f>
        <v>125514</v>
      </c>
      <c r="F15" s="62">
        <f>SUMIFS(InputResearch[IDC assoc w/Exp for R &amp; D],InputResearch[Institution Name],SummaryHRI[[#This Row],[Institution Name]])</f>
        <v>5064482</v>
      </c>
      <c r="G15" s="62">
        <f>SUMIFS(InputResearch[Capital Outlay (Res Equip)],InputResearch[Institution Name],SummaryHRI[[#This Row],[Institution Name]])</f>
        <v>2460613</v>
      </c>
      <c r="H15" s="62">
        <f>SUMIFS(InputResearch[R&amp;D Exp - Inst foundation/501(c)(3)],InputResearch[Institution Name],SummaryHRI[[#This Row],[Institution Name]])</f>
        <v>0</v>
      </c>
      <c r="I15" s="62">
        <f>SUMIFS(InputResearch[Pass-Thru from other Texas A&amp;M members],InputResearch[Institution Name],SummaryHRI[[#This Row],[Institution Name]])</f>
        <v>0</v>
      </c>
      <c r="J15"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48678928</v>
      </c>
      <c r="K15" s="62">
        <f>SUMIFS(InputResearch[Total R &amp; D Exp as a Sub],InputResearch[Institution Name],SummaryHRI[[#This Row],[Institution Name]])</f>
        <v>2231752</v>
      </c>
      <c r="L15" s="62">
        <f>SUMIFS(InputResearch[Total R &amp; D Exp to a Sub],InputResearch[Institution Name],SummaryHRI[[#This Row],[Institution Name]])</f>
        <v>1037657</v>
      </c>
      <c r="M15" s="56"/>
    </row>
    <row r="16" spans="1:13" ht="15.6">
      <c r="A16" s="48" t="s">
        <v>394</v>
      </c>
      <c r="B16" s="225">
        <f>VLOOKUP(SummaryHRI[[#This Row],[Institution Name]],InputResearch[],3,FALSE)</f>
        <v>480</v>
      </c>
      <c r="C16" s="52">
        <v>862</v>
      </c>
      <c r="D16" s="62">
        <f>SUMIFS(InputResearch[SRECNP Res. Exp.],InputResearch[Institution Name],SummaryHRI[[#This Row],[Institution Name]])</f>
        <v>11692499</v>
      </c>
      <c r="E16" s="62">
        <f>SUMIFS(InputResearch[R &amp; D Exp Not meeting narrow def],InputResearch[Institution Name],SummaryHRI[[#This Row],[Institution Name]])</f>
        <v>90904</v>
      </c>
      <c r="F16" s="62">
        <f>SUMIFS(InputResearch[IDC assoc w/Exp for R &amp; D],InputResearch[Institution Name],SummaryHRI[[#This Row],[Institution Name]])</f>
        <v>887193</v>
      </c>
      <c r="G16" s="62">
        <f>SUMIFS(InputResearch[Capital Outlay (Res Equip)],InputResearch[Institution Name],SummaryHRI[[#This Row],[Institution Name]])</f>
        <v>172398</v>
      </c>
      <c r="H16" s="62">
        <f>SUMIFS(InputResearch[R&amp;D Exp - Inst foundation/501(c)(3)],InputResearch[Institution Name],SummaryHRI[[#This Row],[Institution Name]])</f>
        <v>0</v>
      </c>
      <c r="I16" s="62">
        <f>SUMIFS(InputResearch[Pass-Thru from other Texas A&amp;M members],InputResearch[Institution Name],SummaryHRI[[#This Row],[Institution Name]])</f>
        <v>0</v>
      </c>
      <c r="J16"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12661186</v>
      </c>
      <c r="K16" s="62">
        <f>SUMIFS(InputResearch[Total R &amp; D Exp as a Sub],InputResearch[Institution Name],SummaryHRI[[#This Row],[Institution Name]])</f>
        <v>708871</v>
      </c>
      <c r="L16" s="62">
        <f>SUMIFS(InputResearch[Total R &amp; D Exp to a Sub],InputResearch[Institution Name],SummaryHRI[[#This Row],[Institution Name]])</f>
        <v>93426</v>
      </c>
      <c r="M16" s="56"/>
    </row>
    <row r="17" spans="1:13" ht="15.6">
      <c r="A17" s="48" t="s">
        <v>839</v>
      </c>
      <c r="B17" s="225">
        <f>VLOOKUP(SummaryHRI[[#This Row],[Institution Name]],InputResearch[],3,FALSE)</f>
        <v>500</v>
      </c>
      <c r="C17" s="52">
        <v>203599</v>
      </c>
      <c r="D17" s="62">
        <f>SUMIFS(InputResearch[SRECNP Res. Exp.],InputResearch[Institution Name],SummaryHRI[[#This Row],[Institution Name]])</f>
        <v>2402974</v>
      </c>
      <c r="E17" s="62">
        <f>SUMIFS(InputResearch[R &amp; D Exp Not meeting narrow def],InputResearch[Institution Name],SummaryHRI[[#This Row],[Institution Name]])</f>
        <v>93757</v>
      </c>
      <c r="F17" s="62">
        <f>SUMIFS(InputResearch[IDC assoc w/Exp for R &amp; D],InputResearch[Institution Name],SummaryHRI[[#This Row],[Institution Name]])</f>
        <v>852163</v>
      </c>
      <c r="G17" s="62">
        <f>SUMIFS(InputResearch[Capital Outlay (Res Equip)],InputResearch[Institution Name],SummaryHRI[[#This Row],[Institution Name]])</f>
        <v>1253834</v>
      </c>
      <c r="H17" s="62">
        <f>SUMIFS(InputResearch[R&amp;D Exp - Inst foundation/501(c)(3)],InputResearch[Institution Name],SummaryHRI[[#This Row],[Institution Name]])</f>
        <v>0</v>
      </c>
      <c r="I17" s="62">
        <f>SUMIFS(InputResearch[Pass-Thru from other Texas A&amp;M members],InputResearch[Institution Name],SummaryHRI[[#This Row],[Institution Name]])</f>
        <v>0</v>
      </c>
      <c r="J17"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4415214</v>
      </c>
      <c r="K17" s="62">
        <f>SUMIFS(InputResearch[Total R &amp; D Exp as a Sub],InputResearch[Institution Name],SummaryHRI[[#This Row],[Institution Name]])</f>
        <v>841627</v>
      </c>
      <c r="L17" s="62">
        <f>SUMIFS(InputResearch[Total R &amp; D Exp to a Sub],InputResearch[Institution Name],SummaryHRI[[#This Row],[Institution Name]])</f>
        <v>70367</v>
      </c>
      <c r="M17" s="56"/>
    </row>
    <row r="18" spans="1:13" ht="15.6">
      <c r="A18" s="48" t="s">
        <v>837</v>
      </c>
      <c r="B18" s="225">
        <f>VLOOKUP(SummaryHRI[[#This Row],[Institution Name]],InputResearch[],3,FALSE)</f>
        <v>510</v>
      </c>
      <c r="C18" s="52">
        <v>203658</v>
      </c>
      <c r="D18" s="62">
        <f>SUMIFS(InputResearch[SRECNP Res. Exp.],InputResearch[Institution Name],SummaryHRI[[#This Row],[Institution Name]])</f>
        <v>40901858</v>
      </c>
      <c r="E18" s="62">
        <f>SUMIFS(InputResearch[R &amp; D Exp Not meeting narrow def],InputResearch[Institution Name],SummaryHRI[[#This Row],[Institution Name]])</f>
        <v>171584</v>
      </c>
      <c r="F18" s="62">
        <f>SUMIFS(InputResearch[IDC assoc w/Exp for R &amp; D],InputResearch[Institution Name],SummaryHRI[[#This Row],[Institution Name]])</f>
        <v>4953537</v>
      </c>
      <c r="G18" s="62">
        <f>SUMIFS(InputResearch[Capital Outlay (Res Equip)],InputResearch[Institution Name],SummaryHRI[[#This Row],[Institution Name]])</f>
        <v>331054</v>
      </c>
      <c r="H18" s="62">
        <f>SUMIFS(InputResearch[R&amp;D Exp - Inst foundation/501(c)(3)],InputResearch[Institution Name],SummaryHRI[[#This Row],[Institution Name]])</f>
        <v>961414</v>
      </c>
      <c r="I18" s="62">
        <f>SUMIFS(InputResearch[Pass-Thru from other Texas A&amp;M members],InputResearch[Institution Name],SummaryHRI[[#This Row],[Institution Name]])</f>
        <v>0</v>
      </c>
      <c r="J18"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46976279</v>
      </c>
      <c r="K18" s="62">
        <f>SUMIFS(InputResearch[Total R &amp; D Exp as a Sub],InputResearch[Institution Name],SummaryHRI[[#This Row],[Institution Name]])</f>
        <v>564252</v>
      </c>
      <c r="L18" s="62">
        <f>SUMIFS(InputResearch[Total R &amp; D Exp to a Sub],InputResearch[Institution Name],SummaryHRI[[#This Row],[Institution Name]])</f>
        <v>0</v>
      </c>
      <c r="M18" s="56"/>
    </row>
    <row r="19" spans="1:13" ht="15.6">
      <c r="A19" s="48" t="s">
        <v>838</v>
      </c>
      <c r="B19" s="225">
        <f>VLOOKUP(SummaryHRI[[#This Row],[Institution Name]],InputResearch[],3,FALSE)</f>
        <v>520</v>
      </c>
      <c r="C19" s="52">
        <v>203652</v>
      </c>
      <c r="D19" s="62">
        <f>SUMIFS(InputResearch[SRECNP Res. Exp.],InputResearch[Institution Name],SummaryHRI[[#This Row],[Institution Name]])</f>
        <v>1078416</v>
      </c>
      <c r="E19" s="62">
        <f>SUMIFS(InputResearch[R &amp; D Exp Not meeting narrow def],InputResearch[Institution Name],SummaryHRI[[#This Row],[Institution Name]])</f>
        <v>175833</v>
      </c>
      <c r="F19" s="62">
        <f>SUMIFS(InputResearch[IDC assoc w/Exp for R &amp; D],InputResearch[Institution Name],SummaryHRI[[#This Row],[Institution Name]])</f>
        <v>135964</v>
      </c>
      <c r="G19" s="62">
        <f>SUMIFS(InputResearch[Capital Outlay (Res Equip)],InputResearch[Institution Name],SummaryHRI[[#This Row],[Institution Name]])</f>
        <v>0</v>
      </c>
      <c r="H19" s="62">
        <f>SUMIFS(InputResearch[R&amp;D Exp - Inst foundation/501(c)(3)],InputResearch[Institution Name],SummaryHRI[[#This Row],[Institution Name]])</f>
        <v>0</v>
      </c>
      <c r="I19" s="62">
        <f>SUMIFS(InputResearch[Pass-Thru from other Texas A&amp;M members],InputResearch[Institution Name],SummaryHRI[[#This Row],[Institution Name]])</f>
        <v>0</v>
      </c>
      <c r="J19"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1038547</v>
      </c>
      <c r="K19" s="62">
        <f>SUMIFS(InputResearch[Total R &amp; D Exp as a Sub],InputResearch[Institution Name],SummaryHRI[[#This Row],[Institution Name]])</f>
        <v>0</v>
      </c>
      <c r="L19" s="62">
        <f>SUMIFS(InputResearch[Total R &amp; D Exp to a Sub],InputResearch[Institution Name],SummaryHRI[[#This Row],[Institution Name]])</f>
        <v>0</v>
      </c>
      <c r="M19" s="56"/>
    </row>
    <row r="20" spans="1:13" ht="15.6">
      <c r="A20" s="48" t="s">
        <v>398</v>
      </c>
      <c r="B20" s="225">
        <f>VLOOKUP(SummaryHRI[[#This Row],[Institution Name]],InputResearch[],3,FALSE)</f>
        <v>530</v>
      </c>
      <c r="C20" s="52">
        <v>103606</v>
      </c>
      <c r="D20" s="62">
        <f>SUMIFS(InputResearch[SRECNP Res. Exp.],InputResearch[Institution Name],SummaryHRI[[#This Row],[Institution Name]])</f>
        <v>547948</v>
      </c>
      <c r="E20" s="62">
        <f>SUMIFS(InputResearch[R &amp; D Exp Not meeting narrow def],InputResearch[Institution Name],SummaryHRI[[#This Row],[Institution Name]])</f>
        <v>0</v>
      </c>
      <c r="F20" s="62">
        <f>SUMIFS(InputResearch[IDC assoc w/Exp for R &amp; D],InputResearch[Institution Name],SummaryHRI[[#This Row],[Institution Name]])</f>
        <v>35747</v>
      </c>
      <c r="G20" s="62">
        <f>SUMIFS(InputResearch[Capital Outlay (Res Equip)],InputResearch[Institution Name],SummaryHRI[[#This Row],[Institution Name]])</f>
        <v>132706</v>
      </c>
      <c r="H20" s="62">
        <f>SUMIFS(InputResearch[R&amp;D Exp - Inst foundation/501(c)(3)],InputResearch[Institution Name],SummaryHRI[[#This Row],[Institution Name]])</f>
        <v>0</v>
      </c>
      <c r="I20" s="62">
        <f>SUMIFS(InputResearch[Pass-Thru from other Texas A&amp;M members],InputResearch[Institution Name],SummaryHRI[[#This Row],[Institution Name]])</f>
        <v>0</v>
      </c>
      <c r="J20" s="311">
        <f>SUMIFS(InputResearch[R &amp; D Expenses],InputResearch[Institution Name],SummaryHRI[[#This Row],[Institution Name]])+SummaryHRI[[#This Row],[Indirect Costs Associated w/ R &amp; D]]+SummaryHRI[[#This Row],[Capital Outlay for Research]]+SummaryHRI[[#This Row],[R &amp; D for 501(c)(3) or Institution''s Foundation]]+SummaryHRI[[#This Row],[Pass-Thru From 
TX Eng. Exp. Station]]</f>
        <v>716401</v>
      </c>
      <c r="K20" s="62">
        <f>SUMIFS(InputResearch[Total R &amp; D Exp as a Sub],InputResearch[Institution Name],SummaryHRI[[#This Row],[Institution Name]])</f>
        <v>0</v>
      </c>
      <c r="L20" s="62">
        <f>SUMIFS(InputResearch[Total R &amp; D Exp to a Sub],InputResearch[Institution Name],SummaryHRI[[#This Row],[Institution Name]])</f>
        <v>0</v>
      </c>
      <c r="M20" s="56"/>
    </row>
    <row r="21" spans="1:13" ht="15.6">
      <c r="B21" s="226"/>
      <c r="C21" s="52"/>
      <c r="D21" s="313">
        <f>SUBTOTAL(109,SummaryHRI[Research Exp. 
Per SRECNA])</f>
        <v>2471107637</v>
      </c>
      <c r="E21" s="313">
        <f>SUBTOTAL(109,SummaryHRI[R &amp; D Not Meeting 
the Definition])</f>
        <v>50808817</v>
      </c>
      <c r="F21" s="313">
        <f>SUBTOTAL(109,SummaryHRI[Indirect Costs Associated w/ R &amp; D])</f>
        <v>461931760</v>
      </c>
      <c r="G21" s="313">
        <f>SUBTOTAL(109,SummaryHRI[Capital Outlay for Research])</f>
        <v>94314349</v>
      </c>
      <c r="H21" s="313">
        <f>SUBTOTAL(109,SummaryHRI[R &amp; D for 501(c)(3) or Institution''s Foundation])</f>
        <v>89598136</v>
      </c>
      <c r="I21" s="313">
        <f>SUBTOTAL(109,SummaryHRI[Pass-Thru From 
TX Eng. Exp. Station])</f>
        <v>10131213</v>
      </c>
      <c r="J21" s="312">
        <f>SUBTOTAL(109,SummaryHRI[Total Research Expenditures])</f>
        <v>3076274278</v>
      </c>
      <c r="K21" s="313">
        <f>SUBTOTAL(109,SummaryHRI[Pass-Thru as a Subrecipient])</f>
        <v>139729033</v>
      </c>
      <c r="L21" s="313">
        <f>SUBTOTAL(109,SummaryHRI[Pass-Thru to a Subrecipient])</f>
        <v>72781725.590000004</v>
      </c>
      <c r="M21" s="56"/>
    </row>
    <row r="22" spans="1:13">
      <c r="B22" s="55"/>
      <c r="C22" s="55"/>
      <c r="D22" s="55"/>
      <c r="E22" s="55"/>
      <c r="F22" s="55"/>
      <c r="G22" s="55"/>
      <c r="H22" s="55"/>
      <c r="I22" s="55"/>
      <c r="J22" s="55"/>
      <c r="K22" s="55"/>
      <c r="L22" s="56"/>
      <c r="M22" s="56"/>
    </row>
    <row r="23" spans="1:13" ht="21">
      <c r="A23" s="439" t="s">
        <v>992</v>
      </c>
      <c r="B23" s="440"/>
      <c r="C23" s="440"/>
      <c r="D23" s="440"/>
      <c r="E23" s="440"/>
      <c r="F23" s="440"/>
      <c r="G23" s="440"/>
      <c r="H23" s="440"/>
      <c r="I23" s="440"/>
      <c r="J23" s="440"/>
      <c r="K23" s="440"/>
      <c r="L23" s="440"/>
      <c r="M23" s="56"/>
    </row>
    <row r="24" spans="1:13" ht="17.399999999999999">
      <c r="A24" s="438">
        <f>Hidden!$A$4</f>
        <v>45412</v>
      </c>
      <c r="B24" s="438"/>
      <c r="C24" s="438"/>
      <c r="D24" s="438"/>
      <c r="E24" s="438"/>
      <c r="F24" s="438"/>
      <c r="G24" s="438"/>
      <c r="H24" s="438"/>
      <c r="I24" s="438"/>
      <c r="J24" s="438"/>
      <c r="K24" s="438"/>
      <c r="L24" s="438"/>
      <c r="M24" s="56"/>
    </row>
    <row r="25" spans="1:13">
      <c r="A25" s="54"/>
      <c r="B25" s="55"/>
      <c r="C25" s="55"/>
      <c r="D25" s="55"/>
      <c r="E25" s="55"/>
      <c r="F25" s="55"/>
      <c r="G25" s="55"/>
      <c r="H25" s="55"/>
      <c r="I25" s="55"/>
      <c r="J25" s="55"/>
      <c r="K25" s="55"/>
      <c r="L25" s="56"/>
      <c r="M25" s="56"/>
    </row>
    <row r="26" spans="1:13" s="51" customFormat="1" ht="31.2">
      <c r="A26" s="58" t="s">
        <v>1</v>
      </c>
      <c r="B26" s="75" t="s">
        <v>889</v>
      </c>
      <c r="C26" s="50" t="s">
        <v>2</v>
      </c>
      <c r="D26" s="50" t="s">
        <v>801</v>
      </c>
      <c r="E26" s="50" t="s">
        <v>802</v>
      </c>
      <c r="F26" s="50" t="s">
        <v>799</v>
      </c>
      <c r="G26" s="50" t="s">
        <v>800</v>
      </c>
      <c r="H26" s="50" t="s">
        <v>806</v>
      </c>
      <c r="I26" s="50" t="s">
        <v>803</v>
      </c>
      <c r="J26" s="304" t="s">
        <v>804</v>
      </c>
      <c r="K26" s="50" t="s">
        <v>849</v>
      </c>
      <c r="L26" s="50" t="s">
        <v>850</v>
      </c>
      <c r="M26" s="57"/>
    </row>
    <row r="27" spans="1:13" ht="15.6">
      <c r="A27" s="48" t="s">
        <v>63</v>
      </c>
      <c r="B27" s="225">
        <f>VLOOKUP(SummaryTSTC[[#This Row],[Institution Name]],InputResearch[],3,FALSE)</f>
        <v>490</v>
      </c>
      <c r="C27" s="280">
        <v>36273</v>
      </c>
      <c r="D27" s="62">
        <f>SUMIFS(InputResearch[SRECNP Res. Exp.],InputResearch[Institution Name],SummaryTSTC[[#This Row],[Institution Name]])</f>
        <v>0</v>
      </c>
      <c r="E27" s="62">
        <f>SUMIFS(InputResearch[R &amp; D Exp Not meeting narrow def],InputResearch[Institution Name],SummaryTSTC[[#This Row],[Institution Name]])</f>
        <v>0</v>
      </c>
      <c r="F27" s="62">
        <f>SUMIFS(InputResearch[IDC assoc w/Exp for R &amp; D],InputResearch[Institution Name],SummaryTSTC[[#This Row],[Institution Name]])</f>
        <v>0</v>
      </c>
      <c r="G27" s="62">
        <f>SUMIFS(InputResearch[Capital Outlay (Res Equip)],InputResearch[Institution Name],SummaryTSTC[[#This Row],[Institution Name]])</f>
        <v>0</v>
      </c>
      <c r="H27" s="62">
        <f>SUMIFS(InputResearch[R&amp;D Exp - Inst foundation/501(c)(3)],InputResearch[Institution Name],SummaryTSTC[[#This Row],[Institution Name]])</f>
        <v>0</v>
      </c>
      <c r="I27" s="62">
        <f>SUMIFS(InputResearch[Pass-Thru from other Texas A&amp;M members],InputResearch[Institution Name],SummaryTSTC[[#This Row],[Institution Name]])</f>
        <v>0</v>
      </c>
      <c r="J27" s="311">
        <f>SUMIFS(InputResearch[R &amp; D Expenses],InputResearch[Institution Name],SummaryTSTC[[#This Row],[Institution Name]])+SummaryTSTC[[#This Row],[Indirect Costs Associated w/ R &amp; D]]+SummaryTSTC[[#This Row],[Capital Outlay for Research]]+SummaryTSTC[[#This Row],[R &amp; D for 501(c)(3) or Institution''s Foundation]]+SummaryTSTC[[#This Row],[Pass-Thru From 
TX Eng. Exp. Station]]</f>
        <v>0</v>
      </c>
      <c r="K27" s="62">
        <f>SUMIFS(InputResearch[Total R &amp; D Exp as a Sub],InputResearch[Institution Name],SummaryTSTC[[#This Row],[Institution Name]])</f>
        <v>0</v>
      </c>
      <c r="L27" s="62">
        <f>SUMIFS(InputResearch[Total R &amp; D Exp to a Sub],InputResearch[Institution Name],SummaryTSTC[[#This Row],[Institution Name]])</f>
        <v>0</v>
      </c>
      <c r="M27" s="56"/>
    </row>
    <row r="28" spans="1:13" ht="15.6">
      <c r="A28" s="48" t="s">
        <v>64</v>
      </c>
      <c r="B28" s="225">
        <f>VLOOKUP(SummaryTSTC[[#This Row],[Institution Name]],InputResearch[],3,FALSE)</f>
        <v>500</v>
      </c>
      <c r="C28" s="280">
        <v>23582</v>
      </c>
      <c r="D28" s="62">
        <f>SUMIFS(InputResearch[SRECNP Res. Exp.],InputResearch[Institution Name],SummaryTSTC[[#This Row],[Institution Name]])</f>
        <v>0</v>
      </c>
      <c r="E28" s="62">
        <f>SUMIFS(InputResearch[R &amp; D Exp Not meeting narrow def],InputResearch[Institution Name],SummaryTSTC[[#This Row],[Institution Name]])</f>
        <v>0</v>
      </c>
      <c r="F28" s="62">
        <f>SUMIFS(InputResearch[IDC assoc w/Exp for R &amp; D],InputResearch[Institution Name],SummaryTSTC[[#This Row],[Institution Name]])</f>
        <v>0</v>
      </c>
      <c r="G28" s="62">
        <f>SUMIFS(InputResearch[Capital Outlay (Res Equip)],InputResearch[Institution Name],SummaryTSTC[[#This Row],[Institution Name]])</f>
        <v>0</v>
      </c>
      <c r="H28" s="62">
        <f>SUMIFS(InputResearch[R&amp;D Exp - Inst foundation/501(c)(3)],InputResearch[Institution Name],SummaryTSTC[[#This Row],[Institution Name]])</f>
        <v>0</v>
      </c>
      <c r="I28" s="62">
        <f>SUMIFS(InputResearch[Pass-Thru from other Texas A&amp;M members],InputResearch[Institution Name],SummaryTSTC[[#This Row],[Institution Name]])</f>
        <v>0</v>
      </c>
      <c r="J28" s="311">
        <f>SUMIFS(InputResearch[R &amp; D Expenses],InputResearch[Institution Name],SummaryTSTC[[#This Row],[Institution Name]])+SummaryTSTC[[#This Row],[Indirect Costs Associated w/ R &amp; D]]+SummaryTSTC[[#This Row],[Capital Outlay for Research]]+SummaryTSTC[[#This Row],[R &amp; D for 501(c)(3) or Institution''s Foundation]]+SummaryTSTC[[#This Row],[Pass-Thru From 
TX Eng. Exp. Station]]</f>
        <v>0</v>
      </c>
      <c r="K28" s="62">
        <f>SUMIFS(InputResearch[Total R &amp; D Exp as a Sub],InputResearch[Institution Name],SummaryTSTC[[#This Row],[Institution Name]])</f>
        <v>0</v>
      </c>
      <c r="L28" s="62">
        <f>SUMIFS(InputResearch[Total R &amp; D Exp to a Sub],InputResearch[Institution Name],SummaryTSTC[[#This Row],[Institution Name]])</f>
        <v>0</v>
      </c>
      <c r="M28" s="56"/>
    </row>
    <row r="29" spans="1:13" ht="15.6">
      <c r="A29" s="48" t="s">
        <v>65</v>
      </c>
      <c r="B29" s="225">
        <f>VLOOKUP(SummaryTSTC[[#This Row],[Institution Name]],InputResearch[],3,FALSE)</f>
        <v>510</v>
      </c>
      <c r="C29" s="280">
        <v>23485</v>
      </c>
      <c r="D29" s="62">
        <f>SUMIFS(InputResearch[SRECNP Res. Exp.],InputResearch[Institution Name],SummaryTSTC[[#This Row],[Institution Name]])</f>
        <v>0</v>
      </c>
      <c r="E29" s="62">
        <f>SUMIFS(InputResearch[R &amp; D Exp Not meeting narrow def],InputResearch[Institution Name],SummaryTSTC[[#This Row],[Institution Name]])</f>
        <v>0</v>
      </c>
      <c r="F29" s="62">
        <f>SUMIFS(InputResearch[IDC assoc w/Exp for R &amp; D],InputResearch[Institution Name],SummaryTSTC[[#This Row],[Institution Name]])</f>
        <v>0</v>
      </c>
      <c r="G29" s="62">
        <f>SUMIFS(InputResearch[Capital Outlay (Res Equip)],InputResearch[Institution Name],SummaryTSTC[[#This Row],[Institution Name]])</f>
        <v>0</v>
      </c>
      <c r="H29" s="62">
        <f>SUMIFS(InputResearch[R&amp;D Exp - Inst foundation/501(c)(3)],InputResearch[Institution Name],SummaryTSTC[[#This Row],[Institution Name]])</f>
        <v>0</v>
      </c>
      <c r="I29" s="62">
        <f>SUMIFS(InputResearch[Pass-Thru from other Texas A&amp;M members],InputResearch[Institution Name],SummaryTSTC[[#This Row],[Institution Name]])</f>
        <v>0</v>
      </c>
      <c r="J29" s="311">
        <f>SUMIFS(InputResearch[R &amp; D Expenses],InputResearch[Institution Name],SummaryTSTC[[#This Row],[Institution Name]])+SummaryTSTC[[#This Row],[Indirect Costs Associated w/ R &amp; D]]+SummaryTSTC[[#This Row],[Capital Outlay for Research]]+SummaryTSTC[[#This Row],[R &amp; D for 501(c)(3) or Institution''s Foundation]]+SummaryTSTC[[#This Row],[Pass-Thru From 
TX Eng. Exp. Station]]</f>
        <v>0</v>
      </c>
      <c r="K29" s="62">
        <f>SUMIFS(InputResearch[Total R &amp; D Exp as a Sub],InputResearch[Institution Name],SummaryTSTC[[#This Row],[Institution Name]])</f>
        <v>0</v>
      </c>
      <c r="L29" s="62">
        <f>SUMIFS(InputResearch[Total R &amp; D Exp to a Sub],InputResearch[Institution Name],SummaryTSTC[[#This Row],[Institution Name]])</f>
        <v>0</v>
      </c>
      <c r="M29" s="56"/>
    </row>
    <row r="30" spans="1:13" ht="15.6">
      <c r="A30" s="48" t="s">
        <v>66</v>
      </c>
      <c r="B30" s="225">
        <f>VLOOKUP(SummaryTSTC[[#This Row],[Institution Name]],InputResearch[],3,FALSE)</f>
        <v>520</v>
      </c>
      <c r="C30" s="280">
        <v>9225</v>
      </c>
      <c r="D30" s="62">
        <f>SUMIFS(InputResearch[SRECNP Res. Exp.],InputResearch[Institution Name],SummaryTSTC[[#This Row],[Institution Name]])</f>
        <v>5994</v>
      </c>
      <c r="E30" s="62">
        <f>SUMIFS(InputResearch[R &amp; D Exp Not meeting narrow def],InputResearch[Institution Name],SummaryTSTC[[#This Row],[Institution Name]])</f>
        <v>5994</v>
      </c>
      <c r="F30" s="62">
        <f>SUMIFS(InputResearch[IDC assoc w/Exp for R &amp; D],InputResearch[Institution Name],SummaryTSTC[[#This Row],[Institution Name]])</f>
        <v>0</v>
      </c>
      <c r="G30" s="62">
        <f>SUMIFS(InputResearch[Capital Outlay (Res Equip)],InputResearch[Institution Name],SummaryTSTC[[#This Row],[Institution Name]])</f>
        <v>95852</v>
      </c>
      <c r="H30" s="62">
        <f>SUMIFS(InputResearch[R&amp;D Exp - Inst foundation/501(c)(3)],InputResearch[Institution Name],SummaryTSTC[[#This Row],[Institution Name]])</f>
        <v>0</v>
      </c>
      <c r="I30" s="62">
        <f>SUMIFS(InputResearch[Pass-Thru from other Texas A&amp;M members],InputResearch[Institution Name],SummaryTSTC[[#This Row],[Institution Name]])</f>
        <v>0</v>
      </c>
      <c r="J30" s="311">
        <f>SUMIFS(InputResearch[R &amp; D Expenses],InputResearch[Institution Name],SummaryTSTC[[#This Row],[Institution Name]])+SummaryTSTC[[#This Row],[Indirect Costs Associated w/ R &amp; D]]+SummaryTSTC[[#This Row],[Capital Outlay for Research]]+SummaryTSTC[[#This Row],[R &amp; D for 501(c)(3) or Institution''s Foundation]]+SummaryTSTC[[#This Row],[Pass-Thru From 
TX Eng. Exp. Station]]</f>
        <v>95852</v>
      </c>
      <c r="K30" s="62">
        <f>SUMIFS(InputResearch[Total R &amp; D Exp as a Sub],InputResearch[Institution Name],SummaryTSTC[[#This Row],[Institution Name]])</f>
        <v>95852</v>
      </c>
      <c r="L30" s="62">
        <f>SUMIFS(InputResearch[Total R &amp; D Exp to a Sub],InputResearch[Institution Name],SummaryTSTC[[#This Row],[Institution Name]])</f>
        <v>0</v>
      </c>
      <c r="M30" s="56"/>
    </row>
    <row r="31" spans="1:13" ht="15.6">
      <c r="A31" s="48" t="s">
        <v>67</v>
      </c>
      <c r="B31" s="225">
        <f>VLOOKUP(SummaryTSTC[[#This Row],[Institution Name]],InputResearch[],3,FALSE)</f>
        <v>530</v>
      </c>
      <c r="C31" s="280">
        <v>9932</v>
      </c>
      <c r="D31" s="62">
        <f>SUMIFS(InputResearch[SRECNP Res. Exp.],InputResearch[Institution Name],SummaryTSTC[[#This Row],[Institution Name]])</f>
        <v>0</v>
      </c>
      <c r="E31" s="62">
        <f>SUMIFS(InputResearch[R &amp; D Exp Not meeting narrow def],InputResearch[Institution Name],SummaryTSTC[[#This Row],[Institution Name]])</f>
        <v>0</v>
      </c>
      <c r="F31" s="62">
        <f>SUMIFS(InputResearch[IDC assoc w/Exp for R &amp; D],InputResearch[Institution Name],SummaryTSTC[[#This Row],[Institution Name]])</f>
        <v>0</v>
      </c>
      <c r="G31" s="62">
        <f>SUMIFS(InputResearch[Capital Outlay (Res Equip)],InputResearch[Institution Name],SummaryTSTC[[#This Row],[Institution Name]])</f>
        <v>0</v>
      </c>
      <c r="H31" s="62">
        <f>SUMIFS(InputResearch[R&amp;D Exp - Inst foundation/501(c)(3)],InputResearch[Institution Name],SummaryTSTC[[#This Row],[Institution Name]])</f>
        <v>0</v>
      </c>
      <c r="I31" s="62">
        <f>SUMIFS(InputResearch[Pass-Thru from other Texas A&amp;M members],InputResearch[Institution Name],SummaryTSTC[[#This Row],[Institution Name]])</f>
        <v>0</v>
      </c>
      <c r="J31" s="311">
        <f>SUMIFS(InputResearch[R &amp; D Expenses],InputResearch[Institution Name],SummaryTSTC[[#This Row],[Institution Name]])+SummaryTSTC[[#This Row],[Indirect Costs Associated w/ R &amp; D]]+SummaryTSTC[[#This Row],[Capital Outlay for Research]]+SummaryTSTC[[#This Row],[R &amp; D for 501(c)(3) or Institution''s Foundation]]+SummaryTSTC[[#This Row],[Pass-Thru From 
TX Eng. Exp. Station]]</f>
        <v>0</v>
      </c>
      <c r="K31" s="62">
        <f>SUMIFS(InputResearch[Total R &amp; D Exp as a Sub],InputResearch[Institution Name],SummaryTSTC[[#This Row],[Institution Name]])</f>
        <v>0</v>
      </c>
      <c r="L31" s="62">
        <f>SUMIFS(InputResearch[Total R &amp; D Exp to a Sub],InputResearch[Institution Name],SummaryTSTC[[#This Row],[Institution Name]])</f>
        <v>0</v>
      </c>
      <c r="M31" s="56"/>
    </row>
    <row r="32" spans="1:13" ht="15.6">
      <c r="A32" s="48" t="s">
        <v>68</v>
      </c>
      <c r="B32" s="225">
        <f>VLOOKUP(SummaryTSTC[[#This Row],[Institution Name]],InputResearch[],3,FALSE)</f>
        <v>540</v>
      </c>
      <c r="C32" s="280">
        <v>33965</v>
      </c>
      <c r="D32" s="62">
        <f>SUMIFS(InputResearch[SRECNP Res. Exp.],InputResearch[Institution Name],SummaryTSTC[[#This Row],[Institution Name]])</f>
        <v>0</v>
      </c>
      <c r="E32" s="62">
        <f>SUMIFS(InputResearch[R &amp; D Exp Not meeting narrow def],InputResearch[Institution Name],SummaryTSTC[[#This Row],[Institution Name]])</f>
        <v>0</v>
      </c>
      <c r="F32" s="62">
        <f>SUMIFS(InputResearch[IDC assoc w/Exp for R &amp; D],InputResearch[Institution Name],SummaryTSTC[[#This Row],[Institution Name]])</f>
        <v>0</v>
      </c>
      <c r="G32" s="62">
        <f>SUMIFS(InputResearch[Capital Outlay (Res Equip)],InputResearch[Institution Name],SummaryTSTC[[#This Row],[Institution Name]])</f>
        <v>0</v>
      </c>
      <c r="H32" s="62">
        <f>SUMIFS(InputResearch[R&amp;D Exp - Inst foundation/501(c)(3)],InputResearch[Institution Name],SummaryTSTC[[#This Row],[Institution Name]])</f>
        <v>0</v>
      </c>
      <c r="I32" s="62">
        <f>SUMIFS(InputResearch[Pass-Thru from other Texas A&amp;M members],InputResearch[Institution Name],SummaryTSTC[[#This Row],[Institution Name]])</f>
        <v>0</v>
      </c>
      <c r="J32" s="311">
        <f>SUMIFS(InputResearch[R &amp; D Expenses],InputResearch[Institution Name],SummaryTSTC[[#This Row],[Institution Name]])+SummaryTSTC[[#This Row],[Indirect Costs Associated w/ R &amp; D]]+SummaryTSTC[[#This Row],[Capital Outlay for Research]]+SummaryTSTC[[#This Row],[R &amp; D for 501(c)(3) or Institution''s Foundation]]+SummaryTSTC[[#This Row],[Pass-Thru From 
TX Eng. Exp. Station]]</f>
        <v>0</v>
      </c>
      <c r="K32" s="62">
        <f>SUMIFS(InputResearch[Total R &amp; D Exp as a Sub],InputResearch[Institution Name],SummaryTSTC[[#This Row],[Institution Name]])</f>
        <v>0</v>
      </c>
      <c r="L32" s="62">
        <f>SUMIFS(InputResearch[Total R &amp; D Exp to a Sub],InputResearch[Institution Name],SummaryTSTC[[#This Row],[Institution Name]])</f>
        <v>0</v>
      </c>
      <c r="M32" s="56"/>
    </row>
    <row r="33" spans="1:13" ht="15.6">
      <c r="A33" s="48" t="s">
        <v>69</v>
      </c>
      <c r="B33" s="225">
        <f>VLOOKUP(SummaryTSTC[[#This Row],[Institution Name]],InputResearch[],3,FALSE)</f>
        <v>550</v>
      </c>
      <c r="C33" s="280">
        <v>3634</v>
      </c>
      <c r="D33" s="62">
        <f>SUMIFS(InputResearch[SRECNP Res. Exp.],InputResearch[Institution Name],SummaryTSTC[[#This Row],[Institution Name]])</f>
        <v>21198</v>
      </c>
      <c r="E33" s="62">
        <f>SUMIFS(InputResearch[R &amp; D Exp Not meeting narrow def],InputResearch[Institution Name],SummaryTSTC[[#This Row],[Institution Name]])</f>
        <v>21198</v>
      </c>
      <c r="F33" s="62">
        <f>SUMIFS(InputResearch[IDC assoc w/Exp for R &amp; D],InputResearch[Institution Name],SummaryTSTC[[#This Row],[Institution Name]])</f>
        <v>0</v>
      </c>
      <c r="G33" s="62">
        <f>SUMIFS(InputResearch[Capital Outlay (Res Equip)],InputResearch[Institution Name],SummaryTSTC[[#This Row],[Institution Name]])</f>
        <v>0</v>
      </c>
      <c r="H33" s="62">
        <f>SUMIFS(InputResearch[R&amp;D Exp - Inst foundation/501(c)(3)],InputResearch[Institution Name],SummaryTSTC[[#This Row],[Institution Name]])</f>
        <v>0</v>
      </c>
      <c r="I33" s="62">
        <f>SUMIFS(InputResearch[Pass-Thru from other Texas A&amp;M members],InputResearch[Institution Name],SummaryTSTC[[#This Row],[Institution Name]])</f>
        <v>0</v>
      </c>
      <c r="J33" s="311">
        <f>SUMIFS(InputResearch[R &amp; D Expenses],InputResearch[Institution Name],SummaryTSTC[[#This Row],[Institution Name]])+SummaryTSTC[[#This Row],[Indirect Costs Associated w/ R &amp; D]]+SummaryTSTC[[#This Row],[Capital Outlay for Research]]+SummaryTSTC[[#This Row],[R &amp; D for 501(c)(3) or Institution''s Foundation]]+SummaryTSTC[[#This Row],[Pass-Thru From 
TX Eng. Exp. Station]]</f>
        <v>0</v>
      </c>
      <c r="K33" s="62">
        <f>SUMIFS(InputResearch[Total R &amp; D Exp as a Sub],InputResearch[Institution Name],SummaryTSTC[[#This Row],[Institution Name]])</f>
        <v>0</v>
      </c>
      <c r="L33" s="62">
        <f>SUMIFS(InputResearch[Total R &amp; D Exp to a Sub],InputResearch[Institution Name],SummaryTSTC[[#This Row],[Institution Name]])</f>
        <v>0</v>
      </c>
      <c r="M33" s="56"/>
    </row>
    <row r="34" spans="1:13" ht="15.6">
      <c r="A34" s="48" t="s">
        <v>70</v>
      </c>
      <c r="B34" s="225">
        <f>VLOOKUP(SummaryTSTC[[#This Row],[Institution Name]],InputResearch[],3,FALSE)</f>
        <v>552</v>
      </c>
      <c r="C34" s="280">
        <v>133965</v>
      </c>
      <c r="D34" s="62">
        <f>SUMIFS(InputResearch[SRECNP Res. Exp.],InputResearch[Institution Name],SummaryTSTC[[#This Row],[Institution Name]])</f>
        <v>0</v>
      </c>
      <c r="E34" s="62">
        <f>SUMIFS(InputResearch[R &amp; D Exp Not meeting narrow def],InputResearch[Institution Name],SummaryTSTC[[#This Row],[Institution Name]])</f>
        <v>0</v>
      </c>
      <c r="F34" s="62">
        <f>SUMIFS(InputResearch[IDC assoc w/Exp for R &amp; D],InputResearch[Institution Name],SummaryTSTC[[#This Row],[Institution Name]])</f>
        <v>0</v>
      </c>
      <c r="G34" s="62">
        <f>SUMIFS(InputResearch[Capital Outlay (Res Equip)],InputResearch[Institution Name],SummaryTSTC[[#This Row],[Institution Name]])</f>
        <v>0</v>
      </c>
      <c r="H34" s="62">
        <f>SUMIFS(InputResearch[R&amp;D Exp - Inst foundation/501(c)(3)],InputResearch[Institution Name],SummaryTSTC[[#This Row],[Institution Name]])</f>
        <v>0</v>
      </c>
      <c r="I34" s="62">
        <f>SUMIFS(InputResearch[Pass-Thru from other Texas A&amp;M members],InputResearch[Institution Name],SummaryTSTC[[#This Row],[Institution Name]])</f>
        <v>0</v>
      </c>
      <c r="J34" s="311">
        <f>SUMIFS(InputResearch[R &amp; D Expenses],InputResearch[Institution Name],SummaryTSTC[[#This Row],[Institution Name]])+SummaryTSTC[[#This Row],[Indirect Costs Associated w/ R &amp; D]]+SummaryTSTC[[#This Row],[Capital Outlay for Research]]+SummaryTSTC[[#This Row],[R &amp; D for 501(c)(3) or Institution''s Foundation]]+SummaryTSTC[[#This Row],[Pass-Thru From 
TX Eng. Exp. Station]]</f>
        <v>0</v>
      </c>
      <c r="K34" s="62">
        <f>SUMIFS(InputResearch[Total R &amp; D Exp as a Sub],InputResearch[Institution Name],SummaryTSTC[[#This Row],[Institution Name]])</f>
        <v>0</v>
      </c>
      <c r="L34" s="62">
        <f>SUMIFS(InputResearch[Total R &amp; D Exp to a Sub],InputResearch[Institution Name],SummaryTSTC[[#This Row],[Institution Name]])</f>
        <v>0</v>
      </c>
      <c r="M34" s="56"/>
    </row>
    <row r="35" spans="1:13" ht="15.6">
      <c r="A35" s="48" t="s">
        <v>71</v>
      </c>
      <c r="B35" s="225">
        <f>VLOOKUP(SummaryTSTC[[#This Row],[Institution Name]],InputResearch[],3,FALSE)</f>
        <v>553</v>
      </c>
      <c r="C35" s="280">
        <v>203634</v>
      </c>
      <c r="D35" s="62">
        <f>SUMIFS(InputResearch[SRECNP Res. Exp.],InputResearch[Institution Name],SummaryTSTC[[#This Row],[Institution Name]])</f>
        <v>0</v>
      </c>
      <c r="E35" s="62">
        <f>SUMIFS(InputResearch[R &amp; D Exp Not meeting narrow def],InputResearch[Institution Name],SummaryTSTC[[#This Row],[Institution Name]])</f>
        <v>0</v>
      </c>
      <c r="F35" s="62">
        <f>SUMIFS(InputResearch[IDC assoc w/Exp for R &amp; D],InputResearch[Institution Name],SummaryTSTC[[#This Row],[Institution Name]])</f>
        <v>0</v>
      </c>
      <c r="G35" s="62">
        <f>SUMIFS(InputResearch[Capital Outlay (Res Equip)],InputResearch[Institution Name],SummaryTSTC[[#This Row],[Institution Name]])</f>
        <v>0</v>
      </c>
      <c r="H35" s="62">
        <f>SUMIFS(InputResearch[R&amp;D Exp - Inst foundation/501(c)(3)],InputResearch[Institution Name],SummaryTSTC[[#This Row],[Institution Name]])</f>
        <v>0</v>
      </c>
      <c r="I35" s="62">
        <f>SUMIFS(InputResearch[Pass-Thru from other Texas A&amp;M members],InputResearch[Institution Name],SummaryTSTC[[#This Row],[Institution Name]])</f>
        <v>0</v>
      </c>
      <c r="J35" s="311">
        <f>SUMIFS(InputResearch[R &amp; D Expenses],InputResearch[Institution Name],SummaryTSTC[[#This Row],[Institution Name]])+SummaryTSTC[[#This Row],[Indirect Costs Associated w/ R &amp; D]]+SummaryTSTC[[#This Row],[Capital Outlay for Research]]+SummaryTSTC[[#This Row],[R &amp; D for 501(c)(3) or Institution''s Foundation]]+SummaryTSTC[[#This Row],[Pass-Thru From 
TX Eng. Exp. Station]]</f>
        <v>0</v>
      </c>
      <c r="K35" s="62">
        <f>SUMIFS(InputResearch[Total R &amp; D Exp as a Sub],InputResearch[Institution Name],SummaryTSTC[[#This Row],[Institution Name]])</f>
        <v>0</v>
      </c>
      <c r="L35" s="62">
        <f>SUMIFS(InputResearch[Total R &amp; D Exp to a Sub],InputResearch[Institution Name],SummaryTSTC[[#This Row],[Institution Name]])</f>
        <v>0</v>
      </c>
      <c r="M35" s="56"/>
    </row>
    <row r="36" spans="1:13" ht="15.6">
      <c r="B36" s="226"/>
      <c r="C36" s="52"/>
      <c r="D36" s="313">
        <f>SUBTOTAL(109,SummaryTSTC[Research Exp. 
Per SRECNA])</f>
        <v>27192</v>
      </c>
      <c r="E36" s="313">
        <f>SUBTOTAL(109,SummaryTSTC[R &amp; D Not Meeting 
the Definition])</f>
        <v>27192</v>
      </c>
      <c r="F36" s="313">
        <f>SUBTOTAL(109,SummaryTSTC[Indirect Costs Associated w/ R &amp; D])</f>
        <v>0</v>
      </c>
      <c r="G36" s="313">
        <f>SUBTOTAL(109,SummaryTSTC[Capital Outlay for Research])</f>
        <v>95852</v>
      </c>
      <c r="H36" s="313">
        <f>SUBTOTAL(109,SummaryTSTC[R &amp; D for 501(c)(3) or Institution''s Foundation])</f>
        <v>0</v>
      </c>
      <c r="I36" s="313">
        <f>SUBTOTAL(109,SummaryTSTC[Pass-Thru From 
TX Eng. Exp. Station])</f>
        <v>0</v>
      </c>
      <c r="J36" s="312">
        <f>SUBTOTAL(109,SummaryTSTC[Total Research Expenditures])</f>
        <v>95852</v>
      </c>
      <c r="K36" s="313">
        <f>SUBTOTAL(109,SummaryTSTC[Pass-Thru as a Subrecipient])</f>
        <v>95852</v>
      </c>
      <c r="L36" s="313">
        <f>SUBTOTAL(109,SummaryTSTC[Pass-Thru to a Subrecipient])</f>
        <v>0</v>
      </c>
      <c r="M36" s="56"/>
    </row>
    <row r="37" spans="1:13">
      <c r="B37" s="55"/>
      <c r="C37" s="55"/>
      <c r="D37" s="55"/>
      <c r="E37" s="55"/>
      <c r="F37" s="55"/>
      <c r="G37" s="55"/>
      <c r="H37" s="55"/>
      <c r="I37" s="55"/>
      <c r="J37" s="55"/>
      <c r="K37" s="55"/>
      <c r="L37" s="56"/>
      <c r="M37" s="56"/>
    </row>
    <row r="38" spans="1:13" ht="21">
      <c r="A38" s="439" t="s">
        <v>0</v>
      </c>
      <c r="B38" s="440"/>
      <c r="C38" s="440"/>
      <c r="D38" s="440"/>
      <c r="E38" s="440"/>
      <c r="F38" s="440"/>
      <c r="G38" s="440"/>
      <c r="H38" s="440"/>
      <c r="I38" s="440"/>
      <c r="J38" s="440"/>
      <c r="K38" s="440"/>
      <c r="L38" s="440"/>
      <c r="M38" s="56"/>
    </row>
    <row r="39" spans="1:13" ht="17.399999999999999">
      <c r="A39" s="438">
        <f>Hidden!$A$4</f>
        <v>45412</v>
      </c>
      <c r="B39" s="438"/>
      <c r="C39" s="438"/>
      <c r="D39" s="438"/>
      <c r="E39" s="438"/>
      <c r="F39" s="438"/>
      <c r="G39" s="438"/>
      <c r="H39" s="438"/>
      <c r="I39" s="438"/>
      <c r="J39" s="438"/>
      <c r="K39" s="438"/>
      <c r="L39" s="438"/>
      <c r="M39" s="56"/>
    </row>
    <row r="40" spans="1:13">
      <c r="A40" s="54"/>
      <c r="B40" s="55"/>
      <c r="C40" s="55"/>
      <c r="D40" s="55"/>
      <c r="E40" s="55"/>
      <c r="F40" s="55"/>
      <c r="G40" s="55"/>
      <c r="H40" s="55"/>
      <c r="I40" s="55"/>
      <c r="J40" s="55"/>
      <c r="K40" s="55"/>
      <c r="L40" s="56"/>
      <c r="M40" s="56"/>
    </row>
    <row r="41" spans="1:13" s="51" customFormat="1" ht="31.2">
      <c r="A41" s="58" t="s">
        <v>1</v>
      </c>
      <c r="B41" s="75" t="s">
        <v>889</v>
      </c>
      <c r="C41" s="50" t="s">
        <v>2</v>
      </c>
      <c r="D41" s="50" t="s">
        <v>801</v>
      </c>
      <c r="E41" s="50" t="s">
        <v>802</v>
      </c>
      <c r="F41" s="50" t="s">
        <v>799</v>
      </c>
      <c r="G41" s="50" t="s">
        <v>800</v>
      </c>
      <c r="H41" s="50" t="s">
        <v>806</v>
      </c>
      <c r="I41" s="50" t="s">
        <v>803</v>
      </c>
      <c r="J41" s="304" t="s">
        <v>804</v>
      </c>
      <c r="K41" s="50" t="s">
        <v>849</v>
      </c>
      <c r="L41" s="50" t="s">
        <v>850</v>
      </c>
      <c r="M41" s="57"/>
    </row>
    <row r="42" spans="1:13" ht="15.6">
      <c r="A42" s="48" t="s">
        <v>20</v>
      </c>
      <c r="B42" s="225">
        <f>VLOOKUP(SummaryUNIV[[#This Row],[Institution Name]],InputResearch[],3,FALSE)</f>
        <v>40</v>
      </c>
      <c r="C42" s="280">
        <v>3656</v>
      </c>
      <c r="D42" s="62">
        <f>SUMIFS(InputResearch[SRECNP Res. Exp.],InputResearch[Institution Name],SummaryUNIV[[#This Row],[Institution Name]])</f>
        <v>112969711</v>
      </c>
      <c r="E42" s="62">
        <f>SUMIFS(InputResearch[R &amp; D Exp Not meeting narrow def],InputResearch[Institution Name],SummaryUNIV[[#This Row],[Institution Name]])</f>
        <v>4591864</v>
      </c>
      <c r="F42" s="62">
        <f>SUMIFS(InputResearch[IDC assoc w/Exp for R &amp; D],InputResearch[Institution Name],SummaryUNIV[[#This Row],[Institution Name]])</f>
        <v>15957418</v>
      </c>
      <c r="G42" s="62">
        <f>SUMIFS(InputResearch[Capital Outlay (Res Equip)],InputResearch[Institution Name],SummaryUNIV[[#This Row],[Institution Name]])</f>
        <v>9835287</v>
      </c>
      <c r="H42" s="62">
        <f>SUMIFS(InputResearch[R&amp;D Exp - Inst foundation/501(c)(3)],InputResearch[Institution Name],SummaryUNIV[[#This Row],[Institution Name]])</f>
        <v>0</v>
      </c>
      <c r="I42" s="62">
        <f>SUMIFS(InputResearch[Pass-Thru from other Texas A&amp;M members],InputResearch[Institution Name],SummaryUNIV[[#This Row],[Institution Name]])</f>
        <v>0</v>
      </c>
      <c r="J42"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134170552</v>
      </c>
      <c r="K42" s="62">
        <f>SUMIFS(InputResearch[Total R &amp; D Exp as a Sub],InputResearch[Institution Name],SummaryUNIV[[#This Row],[Institution Name]])</f>
        <v>12362591</v>
      </c>
      <c r="L42" s="62">
        <f>SUMIFS(InputResearch[Total R &amp; D Exp to a Sub],InputResearch[Institution Name],SummaryUNIV[[#This Row],[Institution Name]])</f>
        <v>2034485</v>
      </c>
      <c r="M42" s="56"/>
    </row>
    <row r="43" spans="1:13" ht="15.6">
      <c r="A43" s="48" t="s">
        <v>714</v>
      </c>
      <c r="B43" s="225">
        <f>VLOOKUP(SummaryUNIV[[#This Row],[Institution Name]],InputResearch[],3,FALSE)</f>
        <v>51</v>
      </c>
      <c r="C43" s="280">
        <v>3658</v>
      </c>
      <c r="D43" s="62">
        <f>SUMIFS(InputResearch[SRECNP Res. Exp.],InputResearch[Institution Name],SummaryUNIV[[#This Row],[Institution Name]])</f>
        <v>809739316</v>
      </c>
      <c r="E43" s="62">
        <f>SUMIFS(InputResearch[R &amp; D Exp Not meeting narrow def],InputResearch[Institution Name],SummaryUNIV[[#This Row],[Institution Name]])</f>
        <v>2751223</v>
      </c>
      <c r="F43" s="62">
        <f>SUMIFS(InputResearch[IDC assoc w/Exp for R &amp; D],InputResearch[Institution Name],SummaryUNIV[[#This Row],[Institution Name]])</f>
        <v>152198610</v>
      </c>
      <c r="G43" s="62">
        <f>SUMIFS(InputResearch[Capital Outlay (Res Equip)],InputResearch[Institution Name],SummaryUNIV[[#This Row],[Institution Name]])</f>
        <v>-48586683</v>
      </c>
      <c r="H43" s="62">
        <f>SUMIFS(InputResearch[R&amp;D Exp - Inst foundation/501(c)(3)],InputResearch[Institution Name],SummaryUNIV[[#This Row],[Institution Name]])</f>
        <v>-961414</v>
      </c>
      <c r="I43" s="62">
        <f>SUMIFS(InputResearch[Pass-Thru from other Texas A&amp;M members],InputResearch[Institution Name],SummaryUNIV[[#This Row],[Institution Name]])</f>
        <v>0</v>
      </c>
      <c r="J43"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909638606</v>
      </c>
      <c r="K43" s="62">
        <f>SUMIFS(InputResearch[Total R &amp; D Exp as a Sub],InputResearch[Institution Name],SummaryUNIV[[#This Row],[Institution Name]])</f>
        <v>23919084</v>
      </c>
      <c r="L43" s="62">
        <f>SUMIFS(InputResearch[Total R &amp; D Exp to a Sub],InputResearch[Institution Name],SummaryUNIV[[#This Row],[Institution Name]])</f>
        <v>0</v>
      </c>
      <c r="M43" s="56"/>
    </row>
    <row r="44" spans="1:13" ht="15.6">
      <c r="A44" s="48" t="s">
        <v>21</v>
      </c>
      <c r="B44" s="225">
        <f>VLOOKUP(SummaryUNIV[[#This Row],[Institution Name]],InputResearch[],3,FALSE)</f>
        <v>60</v>
      </c>
      <c r="C44" s="280">
        <v>9741</v>
      </c>
      <c r="D44" s="62">
        <f>SUMIFS(InputResearch[SRECNP Res. Exp.],InputResearch[Institution Name],SummaryUNIV[[#This Row],[Institution Name]])</f>
        <v>114572375</v>
      </c>
      <c r="E44" s="62">
        <f>SUMIFS(InputResearch[R &amp; D Exp Not meeting narrow def],InputResearch[Institution Name],SummaryUNIV[[#This Row],[Institution Name]])</f>
        <v>1735302</v>
      </c>
      <c r="F44" s="62">
        <f>SUMIFS(InputResearch[IDC assoc w/Exp for R &amp; D],InputResearch[Institution Name],SummaryUNIV[[#This Row],[Institution Name]])</f>
        <v>21021187</v>
      </c>
      <c r="G44" s="62">
        <f>SUMIFS(InputResearch[Capital Outlay (Res Equip)],InputResearch[Institution Name],SummaryUNIV[[#This Row],[Institution Name]])</f>
        <v>11185619</v>
      </c>
      <c r="H44" s="62">
        <f>SUMIFS(InputResearch[R&amp;D Exp - Inst foundation/501(c)(3)],InputResearch[Institution Name],SummaryUNIV[[#This Row],[Institution Name]])</f>
        <v>0</v>
      </c>
      <c r="I44" s="62">
        <f>SUMIFS(InputResearch[Pass-Thru from other Texas A&amp;M members],InputResearch[Institution Name],SummaryUNIV[[#This Row],[Institution Name]])</f>
        <v>0</v>
      </c>
      <c r="J44"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145043879</v>
      </c>
      <c r="K44" s="62">
        <f>SUMIFS(InputResearch[Total R &amp; D Exp as a Sub],InputResearch[Institution Name],SummaryUNIV[[#This Row],[Institution Name]])</f>
        <v>15238370</v>
      </c>
      <c r="L44" s="62">
        <f>SUMIFS(InputResearch[Total R &amp; D Exp to a Sub],InputResearch[Institution Name],SummaryUNIV[[#This Row],[Institution Name]])</f>
        <v>1735302</v>
      </c>
      <c r="M44" s="56"/>
    </row>
    <row r="45" spans="1:13" ht="15.6">
      <c r="A45" s="48" t="s">
        <v>22</v>
      </c>
      <c r="B45" s="225">
        <f>VLOOKUP(SummaryUNIV[[#This Row],[Institution Name]],InputResearch[],3,FALSE)</f>
        <v>70</v>
      </c>
      <c r="C45" s="280">
        <v>3661</v>
      </c>
      <c r="D45" s="62">
        <f>SUMIFS(InputResearch[SRECNP Res. Exp.],InputResearch[Institution Name],SummaryUNIV[[#This Row],[Institution Name]])</f>
        <v>116964966</v>
      </c>
      <c r="E45" s="62">
        <f>SUMIFS(InputResearch[R &amp; D Exp Not meeting narrow def],InputResearch[Institution Name],SummaryUNIV[[#This Row],[Institution Name]])</f>
        <v>3701855</v>
      </c>
      <c r="F45" s="62">
        <f>SUMIFS(InputResearch[IDC assoc w/Exp for R &amp; D],InputResearch[Institution Name],SummaryUNIV[[#This Row],[Institution Name]])</f>
        <v>17740880</v>
      </c>
      <c r="G45" s="62">
        <f>SUMIFS(InputResearch[Capital Outlay (Res Equip)],InputResearch[Institution Name],SummaryUNIV[[#This Row],[Institution Name]])</f>
        <v>8613890</v>
      </c>
      <c r="H45" s="62">
        <f>SUMIFS(InputResearch[R&amp;D Exp - Inst foundation/501(c)(3)],InputResearch[Institution Name],SummaryUNIV[[#This Row],[Institution Name]])</f>
        <v>0</v>
      </c>
      <c r="I45" s="62">
        <f>SUMIFS(InputResearch[Pass-Thru from other Texas A&amp;M members],InputResearch[Institution Name],SummaryUNIV[[#This Row],[Institution Name]])</f>
        <v>0</v>
      </c>
      <c r="J45"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139617881</v>
      </c>
      <c r="K45" s="62">
        <f>SUMIFS(InputResearch[Total R &amp; D Exp as a Sub],InputResearch[Institution Name],SummaryUNIV[[#This Row],[Institution Name]])</f>
        <v>1723107</v>
      </c>
      <c r="L45" s="62">
        <f>SUMIFS(InputResearch[Total R &amp; D Exp to a Sub],InputResearch[Institution Name],SummaryUNIV[[#This Row],[Institution Name]])</f>
        <v>0</v>
      </c>
      <c r="M45" s="56"/>
    </row>
    <row r="46" spans="1:13" ht="15.6">
      <c r="A46" s="48" t="s">
        <v>715</v>
      </c>
      <c r="B46" s="225">
        <f>VLOOKUP(SummaryUNIV[[#This Row],[Institution Name]],InputResearch[],3,FALSE)</f>
        <v>91</v>
      </c>
      <c r="C46" s="280">
        <v>3599</v>
      </c>
      <c r="D46" s="62">
        <f>SUMIFS(InputResearch[SRECNP Res. Exp.],InputResearch[Institution Name],SummaryUNIV[[#This Row],[Institution Name]])</f>
        <v>57764191</v>
      </c>
      <c r="E46" s="62">
        <f>SUMIFS(InputResearch[R &amp; D Exp Not meeting narrow def],InputResearch[Institution Name],SummaryUNIV[[#This Row],[Institution Name]])</f>
        <v>4901544</v>
      </c>
      <c r="F46" s="62">
        <f>SUMIFS(InputResearch[IDC assoc w/Exp for R &amp; D],InputResearch[Institution Name],SummaryUNIV[[#This Row],[Institution Name]])</f>
        <v>5298491</v>
      </c>
      <c r="G46" s="62">
        <f>SUMIFS(InputResearch[Capital Outlay (Res Equip)],InputResearch[Institution Name],SummaryUNIV[[#This Row],[Institution Name]])</f>
        <v>14943266</v>
      </c>
      <c r="H46" s="62">
        <f>SUMIFS(InputResearch[R&amp;D Exp - Inst foundation/501(c)(3)],InputResearch[Institution Name],SummaryUNIV[[#This Row],[Institution Name]])</f>
        <v>0</v>
      </c>
      <c r="I46" s="62">
        <f>SUMIFS(InputResearch[Pass-Thru from other Texas A&amp;M members],InputResearch[Institution Name],SummaryUNIV[[#This Row],[Institution Name]])</f>
        <v>0</v>
      </c>
      <c r="J46"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73104404</v>
      </c>
      <c r="K46" s="62">
        <f>SUMIFS(InputResearch[Total R &amp; D Exp as a Sub],InputResearch[Institution Name],SummaryUNIV[[#This Row],[Institution Name]])</f>
        <v>3798114</v>
      </c>
      <c r="L46" s="62">
        <f>SUMIFS(InputResearch[Total R &amp; D Exp to a Sub],InputResearch[Institution Name],SummaryUNIV[[#This Row],[Institution Name]])</f>
        <v>1886146</v>
      </c>
      <c r="M46" s="56"/>
    </row>
    <row r="47" spans="1:13" ht="15.6">
      <c r="A47" s="48" t="s">
        <v>23</v>
      </c>
      <c r="B47" s="225">
        <f>VLOOKUP(SummaryUNIV[[#This Row],[Institution Name]],InputResearch[],3,FALSE)</f>
        <v>100</v>
      </c>
      <c r="C47" s="280">
        <v>9930</v>
      </c>
      <c r="D47" s="62">
        <f>SUMIFS(InputResearch[SRECNP Res. Exp.],InputResearch[Institution Name],SummaryUNIV[[#This Row],[Institution Name]])</f>
        <v>3339375</v>
      </c>
      <c r="E47" s="62">
        <f>SUMIFS(InputResearch[R &amp; D Exp Not meeting narrow def],InputResearch[Institution Name],SummaryUNIV[[#This Row],[Institution Name]])</f>
        <v>0</v>
      </c>
      <c r="F47" s="62">
        <f>SUMIFS(InputResearch[IDC assoc w/Exp for R &amp; D],InputResearch[Institution Name],SummaryUNIV[[#This Row],[Institution Name]])</f>
        <v>405989</v>
      </c>
      <c r="G47" s="62">
        <f>SUMIFS(InputResearch[Capital Outlay (Res Equip)],InputResearch[Institution Name],SummaryUNIV[[#This Row],[Institution Name]])</f>
        <v>9765</v>
      </c>
      <c r="H47" s="62">
        <f>SUMIFS(InputResearch[R&amp;D Exp - Inst foundation/501(c)(3)],InputResearch[Institution Name],SummaryUNIV[[#This Row],[Institution Name]])</f>
        <v>0</v>
      </c>
      <c r="I47" s="62">
        <f>SUMIFS(InputResearch[Pass-Thru from other Texas A&amp;M members],InputResearch[Institution Name],SummaryUNIV[[#This Row],[Institution Name]])</f>
        <v>0</v>
      </c>
      <c r="J47"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3755129</v>
      </c>
      <c r="K47" s="62">
        <f>SUMIFS(InputResearch[Total R &amp; D Exp as a Sub],InputResearch[Institution Name],SummaryUNIV[[#This Row],[Institution Name]])</f>
        <v>71186</v>
      </c>
      <c r="L47" s="62">
        <f>SUMIFS(InputResearch[Total R &amp; D Exp to a Sub],InputResearch[Institution Name],SummaryUNIV[[#This Row],[Institution Name]])</f>
        <v>0</v>
      </c>
      <c r="M47" s="56"/>
    </row>
    <row r="48" spans="1:13" ht="15.6">
      <c r="A48" s="48" t="s">
        <v>24</v>
      </c>
      <c r="B48" s="225">
        <f>VLOOKUP(SummaryUNIV[[#This Row],[Institution Name]],InputResearch[],3,FALSE)</f>
        <v>110</v>
      </c>
      <c r="C48" s="280">
        <v>10115</v>
      </c>
      <c r="D48" s="62">
        <f>SUMIFS(InputResearch[SRECNP Res. Exp.],InputResearch[Institution Name],SummaryUNIV[[#This Row],[Institution Name]])</f>
        <v>134882766</v>
      </c>
      <c r="E48" s="62">
        <f>SUMIFS(InputResearch[R &amp; D Exp Not meeting narrow def],InputResearch[Institution Name],SummaryUNIV[[#This Row],[Institution Name]])</f>
        <v>1973722</v>
      </c>
      <c r="F48" s="62">
        <f>SUMIFS(InputResearch[IDC assoc w/Exp for R &amp; D],InputResearch[Institution Name],SummaryUNIV[[#This Row],[Institution Name]])</f>
        <v>13364698</v>
      </c>
      <c r="G48" s="62">
        <f>SUMIFS(InputResearch[Capital Outlay (Res Equip)],InputResearch[Institution Name],SummaryUNIV[[#This Row],[Institution Name]])</f>
        <v>4060641</v>
      </c>
      <c r="H48" s="62">
        <f>SUMIFS(InputResearch[R&amp;D Exp - Inst foundation/501(c)(3)],InputResearch[Institution Name],SummaryUNIV[[#This Row],[Institution Name]])</f>
        <v>0</v>
      </c>
      <c r="I48" s="62">
        <f>SUMIFS(InputResearch[Pass-Thru from other Texas A&amp;M members],InputResearch[Institution Name],SummaryUNIV[[#This Row],[Institution Name]])</f>
        <v>0</v>
      </c>
      <c r="J48"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150334383</v>
      </c>
      <c r="K48" s="62">
        <f>SUMIFS(InputResearch[Total R &amp; D Exp as a Sub],InputResearch[Institution Name],SummaryUNIV[[#This Row],[Institution Name]])</f>
        <v>8637001</v>
      </c>
      <c r="L48" s="62">
        <f>SUMIFS(InputResearch[Total R &amp; D Exp to a Sub],InputResearch[Institution Name],SummaryUNIV[[#This Row],[Institution Name]])</f>
        <v>8309237</v>
      </c>
      <c r="M48" s="56"/>
    </row>
    <row r="49" spans="1:13" ht="15.6">
      <c r="A49" s="48" t="s">
        <v>25</v>
      </c>
      <c r="B49" s="225">
        <f>VLOOKUP(SummaryUNIV[[#This Row],[Institution Name]],InputResearch[],3,FALSE)</f>
        <v>120</v>
      </c>
      <c r="C49" s="280">
        <v>11163</v>
      </c>
      <c r="D49" s="62">
        <f>SUMIFS(InputResearch[SRECNP Res. Exp.],InputResearch[Institution Name],SummaryUNIV[[#This Row],[Institution Name]])</f>
        <v>3881427</v>
      </c>
      <c r="E49" s="62">
        <f>SUMIFS(InputResearch[R &amp; D Exp Not meeting narrow def],InputResearch[Institution Name],SummaryUNIV[[#This Row],[Institution Name]])</f>
        <v>39795</v>
      </c>
      <c r="F49" s="62">
        <f>SUMIFS(InputResearch[IDC assoc w/Exp for R &amp; D],InputResearch[Institution Name],SummaryUNIV[[#This Row],[Institution Name]])</f>
        <v>416652</v>
      </c>
      <c r="G49" s="62">
        <f>SUMIFS(InputResearch[Capital Outlay (Res Equip)],InputResearch[Institution Name],SummaryUNIV[[#This Row],[Institution Name]])</f>
        <v>88472</v>
      </c>
      <c r="H49" s="62">
        <f>SUMIFS(InputResearch[R&amp;D Exp - Inst foundation/501(c)(3)],InputResearch[Institution Name],SummaryUNIV[[#This Row],[Institution Name]])</f>
        <v>0</v>
      </c>
      <c r="I49" s="62">
        <f>SUMIFS(InputResearch[Pass-Thru from other Texas A&amp;M members],InputResearch[Institution Name],SummaryUNIV[[#This Row],[Institution Name]])</f>
        <v>0</v>
      </c>
      <c r="J49"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4346756</v>
      </c>
      <c r="K49" s="62">
        <f>SUMIFS(InputResearch[Total R &amp; D Exp as a Sub],InputResearch[Institution Name],SummaryUNIV[[#This Row],[Institution Name]])</f>
        <v>181091</v>
      </c>
      <c r="L49" s="62">
        <f>SUMIFS(InputResearch[Total R &amp; D Exp to a Sub],InputResearch[Institution Name],SummaryUNIV[[#This Row],[Institution Name]])</f>
        <v>0</v>
      </c>
      <c r="M49" s="56"/>
    </row>
    <row r="50" spans="1:13" ht="15.6">
      <c r="A50" s="48" t="s">
        <v>27</v>
      </c>
      <c r="B50" s="225">
        <f>VLOOKUP(SummaryUNIV[[#This Row],[Institution Name]],InputResearch[],3,FALSE)</f>
        <v>130</v>
      </c>
      <c r="C50" s="280">
        <v>3632</v>
      </c>
      <c r="D50" s="62">
        <v>842361874</v>
      </c>
      <c r="E50" s="62">
        <v>44168068</v>
      </c>
      <c r="F50" s="62">
        <v>113105241</v>
      </c>
      <c r="G50" s="62">
        <v>53707110</v>
      </c>
      <c r="H50" s="62">
        <v>66034307</v>
      </c>
      <c r="I50" s="62">
        <v>826464</v>
      </c>
      <c r="J50" s="311">
        <v>1039591592</v>
      </c>
      <c r="K50" s="62">
        <v>129119192</v>
      </c>
      <c r="L50" s="62">
        <v>80054877</v>
      </c>
      <c r="M50" s="56"/>
    </row>
    <row r="51" spans="1:13" ht="15.6">
      <c r="A51" s="48" t="s">
        <v>28</v>
      </c>
      <c r="B51" s="225">
        <f>VLOOKUP(SummaryUNIV[[#This Row],[Institution Name]],InputResearch[],3,FALSE)</f>
        <v>140</v>
      </c>
      <c r="C51" s="280">
        <v>10298</v>
      </c>
      <c r="D51" s="62">
        <f>SUMIFS(InputResearch[SRECNP Res. Exp.],InputResearch[Institution Name],SummaryUNIV[[#This Row],[Institution Name]])</f>
        <v>13541023</v>
      </c>
      <c r="E51" s="62">
        <f>SUMIFS(InputResearch[R &amp; D Exp Not meeting narrow def],InputResearch[Institution Name],SummaryUNIV[[#This Row],[Institution Name]])</f>
        <v>1085737</v>
      </c>
      <c r="F51" s="62">
        <f>SUMIFS(InputResearch[IDC assoc w/Exp for R &amp; D],InputResearch[Institution Name],SummaryUNIV[[#This Row],[Institution Name]])</f>
        <v>1722702</v>
      </c>
      <c r="G51" s="62">
        <f>SUMIFS(InputResearch[Capital Outlay (Res Equip)],InputResearch[Institution Name],SummaryUNIV[[#This Row],[Institution Name]])</f>
        <v>587734</v>
      </c>
      <c r="H51" s="62">
        <f>SUMIFS(InputResearch[R&amp;D Exp - Inst foundation/501(c)(3)],InputResearch[Institution Name],SummaryUNIV[[#This Row],[Institution Name]])</f>
        <v>0</v>
      </c>
      <c r="I51" s="62">
        <f>SUMIFS(InputResearch[Pass-Thru from other Texas A&amp;M members],InputResearch[Institution Name],SummaryUNIV[[#This Row],[Institution Name]])</f>
        <v>0</v>
      </c>
      <c r="J51"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14765722</v>
      </c>
      <c r="K51" s="62">
        <f>SUMIFS(InputResearch[Total R &amp; D Exp as a Sub],InputResearch[Institution Name],SummaryUNIV[[#This Row],[Institution Name]])</f>
        <v>1305132</v>
      </c>
      <c r="L51" s="62">
        <f>SUMIFS(InputResearch[Total R &amp; D Exp to a Sub],InputResearch[Institution Name],SummaryUNIV[[#This Row],[Institution Name]])</f>
        <v>2215067</v>
      </c>
      <c r="M51" s="56"/>
    </row>
    <row r="52" spans="1:13" ht="15.6">
      <c r="A52" s="48" t="s">
        <v>29</v>
      </c>
      <c r="B52" s="225">
        <f>VLOOKUP(SummaryUNIV[[#This Row],[Institution Name]],InputResearch[],3,FALSE)</f>
        <v>150</v>
      </c>
      <c r="C52" s="280">
        <v>3630</v>
      </c>
      <c r="D52" s="62">
        <f>SUMIFS(InputResearch[SRECNP Res. Exp.],InputResearch[Institution Name],SummaryUNIV[[#This Row],[Institution Name]])</f>
        <v>21394771</v>
      </c>
      <c r="E52" s="62">
        <f>SUMIFS(InputResearch[R &amp; D Exp Not meeting narrow def],InputResearch[Institution Name],SummaryUNIV[[#This Row],[Institution Name]])</f>
        <v>2758436</v>
      </c>
      <c r="F52" s="62">
        <f>SUMIFS(InputResearch[IDC assoc w/Exp for R &amp; D],InputResearch[Institution Name],SummaryUNIV[[#This Row],[Institution Name]])</f>
        <v>1957671</v>
      </c>
      <c r="G52" s="62">
        <f>SUMIFS(InputResearch[Capital Outlay (Res Equip)],InputResearch[Institution Name],SummaryUNIV[[#This Row],[Institution Name]])</f>
        <v>1176448</v>
      </c>
      <c r="H52" s="62">
        <f>SUMIFS(InputResearch[R&amp;D Exp - Inst foundation/501(c)(3)],InputResearch[Institution Name],SummaryUNIV[[#This Row],[Institution Name]])</f>
        <v>0</v>
      </c>
      <c r="I52" s="62">
        <f>SUMIFS(InputResearch[Pass-Thru from other Texas A&amp;M members],InputResearch[Institution Name],SummaryUNIV[[#This Row],[Institution Name]])</f>
        <v>20393</v>
      </c>
      <c r="J52"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21790847</v>
      </c>
      <c r="K52" s="62">
        <f>SUMIFS(InputResearch[Total R &amp; D Exp as a Sub],InputResearch[Institution Name],SummaryUNIV[[#This Row],[Institution Name]])</f>
        <v>1463447</v>
      </c>
      <c r="L52" s="62">
        <f>SUMIFS(InputResearch[Total R &amp; D Exp to a Sub],InputResearch[Institution Name],SummaryUNIV[[#This Row],[Institution Name]])</f>
        <v>758982</v>
      </c>
      <c r="M52" s="56"/>
    </row>
    <row r="53" spans="1:13" ht="15.6">
      <c r="A53" s="48" t="s">
        <v>30</v>
      </c>
      <c r="B53" s="225">
        <f>VLOOKUP(SummaryUNIV[[#This Row],[Institution Name]],InputResearch[],3,FALSE)</f>
        <v>160</v>
      </c>
      <c r="C53" s="280">
        <v>3631</v>
      </c>
      <c r="D53" s="62">
        <f>SUMIFS(InputResearch[SRECNP Res. Exp.],InputResearch[Institution Name],SummaryUNIV[[#This Row],[Institution Name]])</f>
        <v>20375286</v>
      </c>
      <c r="E53" s="62">
        <f>SUMIFS(InputResearch[R &amp; D Exp Not meeting narrow def],InputResearch[Institution Name],SummaryUNIV[[#This Row],[Institution Name]])</f>
        <v>407837</v>
      </c>
      <c r="F53" s="62">
        <f>SUMIFS(InputResearch[IDC assoc w/Exp for R &amp; D],InputResearch[Institution Name],SummaryUNIV[[#This Row],[Institution Name]])</f>
        <v>1279616</v>
      </c>
      <c r="G53" s="62">
        <f>SUMIFS(InputResearch[Capital Outlay (Res Equip)],InputResearch[Institution Name],SummaryUNIV[[#This Row],[Institution Name]])</f>
        <v>496680</v>
      </c>
      <c r="H53" s="62">
        <f>SUMIFS(InputResearch[R&amp;D Exp - Inst foundation/501(c)(3)],InputResearch[Institution Name],SummaryUNIV[[#This Row],[Institution Name]])</f>
        <v>0</v>
      </c>
      <c r="I53" s="62">
        <f>SUMIFS(InputResearch[Pass-Thru from other Texas A&amp;M members],InputResearch[Institution Name],SummaryUNIV[[#This Row],[Institution Name]])</f>
        <v>2499</v>
      </c>
      <c r="J53"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21746244</v>
      </c>
      <c r="K53" s="62">
        <f>SUMIFS(InputResearch[Total R &amp; D Exp as a Sub],InputResearch[Institution Name],SummaryUNIV[[#This Row],[Institution Name]])</f>
        <v>1339114</v>
      </c>
      <c r="L53" s="62">
        <f>SUMIFS(InputResearch[Total R &amp; D Exp to a Sub],InputResearch[Institution Name],SummaryUNIV[[#This Row],[Institution Name]])</f>
        <v>121125</v>
      </c>
      <c r="M53" s="56"/>
    </row>
    <row r="54" spans="1:13" ht="15.6">
      <c r="A54" s="48" t="s">
        <v>31</v>
      </c>
      <c r="B54" s="225">
        <f>VLOOKUP(SummaryUNIV[[#This Row],[Institution Name]],InputResearch[],3,FALSE)</f>
        <v>170</v>
      </c>
      <c r="C54" s="280">
        <v>11161</v>
      </c>
      <c r="D54" s="62">
        <f>SUMIFS(InputResearch[SRECNP Res. Exp.],InputResearch[Institution Name],SummaryUNIV[[#This Row],[Institution Name]])</f>
        <v>33636340</v>
      </c>
      <c r="E54" s="62">
        <f>SUMIFS(InputResearch[R &amp; D Exp Not meeting narrow def],InputResearch[Institution Name],SummaryUNIV[[#This Row],[Institution Name]])</f>
        <v>1760084</v>
      </c>
      <c r="F54" s="62">
        <f>SUMIFS(InputResearch[IDC assoc w/Exp for R &amp; D],InputResearch[Institution Name],SummaryUNIV[[#This Row],[Institution Name]])</f>
        <v>4164490</v>
      </c>
      <c r="G54" s="62">
        <f>SUMIFS(InputResearch[Capital Outlay (Res Equip)],InputResearch[Institution Name],SummaryUNIV[[#This Row],[Institution Name]])</f>
        <v>1839746</v>
      </c>
      <c r="H54" s="62">
        <f>SUMIFS(InputResearch[R&amp;D Exp - Inst foundation/501(c)(3)],InputResearch[Institution Name],SummaryUNIV[[#This Row],[Institution Name]])</f>
        <v>0</v>
      </c>
      <c r="I54" s="62">
        <f>SUMIFS(InputResearch[Pass-Thru from other Texas A&amp;M members],InputResearch[Institution Name],SummaryUNIV[[#This Row],[Institution Name]])</f>
        <v>121724</v>
      </c>
      <c r="J54"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38002216</v>
      </c>
      <c r="K54" s="62">
        <f>SUMIFS(InputResearch[Total R &amp; D Exp as a Sub],InputResearch[Institution Name],SummaryUNIV[[#This Row],[Institution Name]])</f>
        <v>6962958</v>
      </c>
      <c r="L54" s="62">
        <f>SUMIFS(InputResearch[Total R &amp; D Exp to a Sub],InputResearch[Institution Name],SummaryUNIV[[#This Row],[Institution Name]])</f>
        <v>1663368</v>
      </c>
      <c r="M54" s="56"/>
    </row>
    <row r="55" spans="1:13" ht="15.6">
      <c r="A55" s="48" t="s">
        <v>32</v>
      </c>
      <c r="B55" s="225">
        <f>VLOOKUP(SummaryUNIV[[#This Row],[Institution Name]],InputResearch[],3,FALSE)</f>
        <v>180</v>
      </c>
      <c r="C55" s="280">
        <v>3639</v>
      </c>
      <c r="D55" s="62">
        <f>SUMIFS(InputResearch[SRECNP Res. Exp.],InputResearch[Institution Name],SummaryUNIV[[#This Row],[Institution Name]])</f>
        <v>20760760</v>
      </c>
      <c r="E55" s="62">
        <f>SUMIFS(InputResearch[R &amp; D Exp Not meeting narrow def],InputResearch[Institution Name],SummaryUNIV[[#This Row],[Institution Name]])</f>
        <v>111927</v>
      </c>
      <c r="F55" s="62">
        <f>SUMIFS(InputResearch[IDC assoc w/Exp for R &amp; D],InputResearch[Institution Name],SummaryUNIV[[#This Row],[Institution Name]])</f>
        <v>2079397</v>
      </c>
      <c r="G55" s="62">
        <f>SUMIFS(InputResearch[Capital Outlay (Res Equip)],InputResearch[Institution Name],SummaryUNIV[[#This Row],[Institution Name]])</f>
        <v>2035755</v>
      </c>
      <c r="H55" s="62">
        <f>SUMIFS(InputResearch[R&amp;D Exp - Inst foundation/501(c)(3)],InputResearch[Institution Name],SummaryUNIV[[#This Row],[Institution Name]])</f>
        <v>0</v>
      </c>
      <c r="I55" s="62">
        <f>SUMIFS(InputResearch[Pass-Thru from other Texas A&amp;M members],InputResearch[Institution Name],SummaryUNIV[[#This Row],[Institution Name]])</f>
        <v>22433</v>
      </c>
      <c r="J55"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24786418</v>
      </c>
      <c r="K55" s="62">
        <f>SUMIFS(InputResearch[Total R &amp; D Exp as a Sub],InputResearch[Institution Name],SummaryUNIV[[#This Row],[Institution Name]])</f>
        <v>2294667</v>
      </c>
      <c r="L55" s="62">
        <f>SUMIFS(InputResearch[Total R &amp; D Exp to a Sub],InputResearch[Institution Name],SummaryUNIV[[#This Row],[Institution Name]])</f>
        <v>223479</v>
      </c>
      <c r="M55" s="56"/>
    </row>
    <row r="56" spans="1:13" ht="15.6">
      <c r="A56" s="48" t="s">
        <v>33</v>
      </c>
      <c r="B56" s="225">
        <f>VLOOKUP(SummaryUNIV[[#This Row],[Institution Name]],InputResearch[],3,FALSE)</f>
        <v>190</v>
      </c>
      <c r="C56" s="280">
        <v>9651</v>
      </c>
      <c r="D56" s="62">
        <f>SUMIFS(InputResearch[SRECNP Res. Exp.],InputResearch[Institution Name],SummaryUNIV[[#This Row],[Institution Name]])</f>
        <v>4302986</v>
      </c>
      <c r="E56" s="62">
        <f>SUMIFS(InputResearch[R &amp; D Exp Not meeting narrow def],InputResearch[Institution Name],SummaryUNIV[[#This Row],[Institution Name]])</f>
        <v>0</v>
      </c>
      <c r="F56" s="62">
        <f>SUMIFS(InputResearch[IDC assoc w/Exp for R &amp; D],InputResearch[Institution Name],SummaryUNIV[[#This Row],[Institution Name]])</f>
        <v>221294</v>
      </c>
      <c r="G56" s="62">
        <f>SUMIFS(InputResearch[Capital Outlay (Res Equip)],InputResearch[Institution Name],SummaryUNIV[[#This Row],[Institution Name]])</f>
        <v>223966</v>
      </c>
      <c r="H56" s="62">
        <f>SUMIFS(InputResearch[R&amp;D Exp - Inst foundation/501(c)(3)],InputResearch[Institution Name],SummaryUNIV[[#This Row],[Institution Name]])</f>
        <v>0</v>
      </c>
      <c r="I56" s="62">
        <f>SUMIFS(InputResearch[Pass-Thru from other Texas A&amp;M members],InputResearch[Institution Name],SummaryUNIV[[#This Row],[Institution Name]])</f>
        <v>81718</v>
      </c>
      <c r="J56"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4829964</v>
      </c>
      <c r="K56" s="62">
        <f>SUMIFS(InputResearch[Total R &amp; D Exp as a Sub],InputResearch[Institution Name],SummaryUNIV[[#This Row],[Institution Name]])</f>
        <v>188555</v>
      </c>
      <c r="L56" s="62">
        <f>SUMIFS(InputResearch[Total R &amp; D Exp to a Sub],InputResearch[Institution Name],SummaryUNIV[[#This Row],[Institution Name]])</f>
        <v>0</v>
      </c>
      <c r="M56" s="56"/>
    </row>
    <row r="57" spans="1:13" ht="15.6">
      <c r="A57" s="48" t="s">
        <v>34</v>
      </c>
      <c r="B57" s="225">
        <f>VLOOKUP(SummaryUNIV[[#This Row],[Institution Name]],InputResearch[],3,FALSE)</f>
        <v>200</v>
      </c>
      <c r="C57" s="280">
        <v>3665</v>
      </c>
      <c r="D57" s="62">
        <f>SUMIFS(InputResearch[SRECNP Res. Exp.],InputResearch[Institution Name],SummaryUNIV[[#This Row],[Institution Name]])</f>
        <v>8899507</v>
      </c>
      <c r="E57" s="62">
        <f>SUMIFS(InputResearch[R &amp; D Exp Not meeting narrow def],InputResearch[Institution Name],SummaryUNIV[[#This Row],[Institution Name]])</f>
        <v>0</v>
      </c>
      <c r="F57" s="62">
        <f>SUMIFS(InputResearch[IDC assoc w/Exp for R &amp; D],InputResearch[Institution Name],SummaryUNIV[[#This Row],[Institution Name]])</f>
        <v>438966</v>
      </c>
      <c r="G57" s="62">
        <f>SUMIFS(InputResearch[Capital Outlay (Res Equip)],InputResearch[Institution Name],SummaryUNIV[[#This Row],[Institution Name]])</f>
        <v>472860</v>
      </c>
      <c r="H57" s="62">
        <f>SUMIFS(InputResearch[R&amp;D Exp - Inst foundation/501(c)(3)],InputResearch[Institution Name],SummaryUNIV[[#This Row],[Institution Name]])</f>
        <v>0</v>
      </c>
      <c r="I57" s="62">
        <f>SUMIFS(InputResearch[Pass-Thru from other Texas A&amp;M members],InputResearch[Institution Name],SummaryUNIV[[#This Row],[Institution Name]])</f>
        <v>132741</v>
      </c>
      <c r="J57"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9944074</v>
      </c>
      <c r="K57" s="62">
        <f>SUMIFS(InputResearch[Total R &amp; D Exp as a Sub],InputResearch[Institution Name],SummaryUNIV[[#This Row],[Institution Name]])</f>
        <v>233809</v>
      </c>
      <c r="L57" s="62">
        <f>SUMIFS(InputResearch[Total R &amp; D Exp to a Sub],InputResearch[Institution Name],SummaryUNIV[[#This Row],[Institution Name]])</f>
        <v>0</v>
      </c>
      <c r="M57" s="56"/>
    </row>
    <row r="58" spans="1:13" ht="15.6">
      <c r="A58" s="48" t="s">
        <v>35</v>
      </c>
      <c r="B58" s="225">
        <f>VLOOKUP(SummaryUNIV[[#This Row],[Institution Name]],InputResearch[],3,FALSE)</f>
        <v>210</v>
      </c>
      <c r="C58" s="280">
        <v>3565</v>
      </c>
      <c r="D58" s="62">
        <f>SUMIFS(InputResearch[SRECNP Res. Exp.],InputResearch[Institution Name],SummaryUNIV[[#This Row],[Institution Name]])</f>
        <v>5836544</v>
      </c>
      <c r="E58" s="62">
        <f>SUMIFS(InputResearch[R &amp; D Exp Not meeting narrow def],InputResearch[Institution Name],SummaryUNIV[[#This Row],[Institution Name]])</f>
        <v>17839</v>
      </c>
      <c r="F58" s="62">
        <f>SUMIFS(InputResearch[IDC assoc w/Exp for R &amp; D],InputResearch[Institution Name],SummaryUNIV[[#This Row],[Institution Name]])</f>
        <v>272589</v>
      </c>
      <c r="G58" s="62">
        <f>SUMIFS(InputResearch[Capital Outlay (Res Equip)],InputResearch[Institution Name],SummaryUNIV[[#This Row],[Institution Name]])</f>
        <v>938372</v>
      </c>
      <c r="H58" s="62">
        <f>SUMIFS(InputResearch[R&amp;D Exp - Inst foundation/501(c)(3)],InputResearch[Institution Name],SummaryUNIV[[#This Row],[Institution Name]])</f>
        <v>0</v>
      </c>
      <c r="I58" s="62">
        <f>SUMIFS(InputResearch[Pass-Thru from other Texas A&amp;M members],InputResearch[Institution Name],SummaryUNIV[[#This Row],[Institution Name]])</f>
        <v>11700</v>
      </c>
      <c r="J58"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7041366</v>
      </c>
      <c r="K58" s="62">
        <f>SUMIFS(InputResearch[Total R &amp; D Exp as a Sub],InputResearch[Institution Name],SummaryUNIV[[#This Row],[Institution Name]])</f>
        <v>152123</v>
      </c>
      <c r="L58" s="62">
        <f>SUMIFS(InputResearch[Total R &amp; D Exp to a Sub],InputResearch[Institution Name],SummaryUNIV[[#This Row],[Institution Name]])</f>
        <v>86</v>
      </c>
      <c r="M58" s="56"/>
    </row>
    <row r="59" spans="1:13" ht="15.6">
      <c r="A59" s="48" t="s">
        <v>36</v>
      </c>
      <c r="B59" s="225">
        <f>VLOOKUP(SummaryUNIV[[#This Row],[Institution Name]],InputResearch[],3,FALSE)</f>
        <v>220</v>
      </c>
      <c r="C59" s="280">
        <v>29269</v>
      </c>
      <c r="D59" s="62">
        <f>SUMIFS(InputResearch[SRECNP Res. Exp.],InputResearch[Institution Name],SummaryUNIV[[#This Row],[Institution Name]])</f>
        <v>13323</v>
      </c>
      <c r="E59" s="62">
        <f>SUMIFS(InputResearch[R &amp; D Exp Not meeting narrow def],InputResearch[Institution Name],SummaryUNIV[[#This Row],[Institution Name]])</f>
        <v>0</v>
      </c>
      <c r="F59" s="62">
        <f>SUMIFS(InputResearch[IDC assoc w/Exp for R &amp; D],InputResearch[Institution Name],SummaryUNIV[[#This Row],[Institution Name]])</f>
        <v>0</v>
      </c>
      <c r="G59" s="62">
        <f>SUMIFS(InputResearch[Capital Outlay (Res Equip)],InputResearch[Institution Name],SummaryUNIV[[#This Row],[Institution Name]])</f>
        <v>2600</v>
      </c>
      <c r="H59" s="62">
        <f>SUMIFS(InputResearch[R&amp;D Exp - Inst foundation/501(c)(3)],InputResearch[Institution Name],SummaryUNIV[[#This Row],[Institution Name]])</f>
        <v>0</v>
      </c>
      <c r="I59" s="62">
        <f>SUMIFS(InputResearch[Pass-Thru from other Texas A&amp;M members],InputResearch[Institution Name],SummaryUNIV[[#This Row],[Institution Name]])</f>
        <v>0</v>
      </c>
      <c r="J59"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15923</v>
      </c>
      <c r="K59" s="62">
        <f>SUMIFS(InputResearch[Total R &amp; D Exp as a Sub],InputResearch[Institution Name],SummaryUNIV[[#This Row],[Institution Name]])</f>
        <v>0</v>
      </c>
      <c r="L59" s="62">
        <f>SUMIFS(InputResearch[Total R &amp; D Exp to a Sub],InputResearch[Institution Name],SummaryUNIV[[#This Row],[Institution Name]])</f>
        <v>0</v>
      </c>
      <c r="M59" s="56"/>
    </row>
    <row r="60" spans="1:13" ht="15.6">
      <c r="A60" s="48" t="s">
        <v>37</v>
      </c>
      <c r="B60" s="225">
        <f>VLOOKUP(SummaryUNIV[[#This Row],[Institution Name]],InputResearch[],3,FALSE)</f>
        <v>223</v>
      </c>
      <c r="C60" s="280">
        <v>42295</v>
      </c>
      <c r="D60" s="62">
        <f>SUMIFS(InputResearch[SRECNP Res. Exp.],InputResearch[Institution Name],SummaryUNIV[[#This Row],[Institution Name]])</f>
        <v>1599710</v>
      </c>
      <c r="E60" s="62">
        <f>SUMIFS(InputResearch[R &amp; D Exp Not meeting narrow def],InputResearch[Institution Name],SummaryUNIV[[#This Row],[Institution Name]])</f>
        <v>334817</v>
      </c>
      <c r="F60" s="62">
        <f>SUMIFS(InputResearch[IDC assoc w/Exp for R &amp; D],InputResearch[Institution Name],SummaryUNIV[[#This Row],[Institution Name]])</f>
        <v>59958</v>
      </c>
      <c r="G60" s="62">
        <f>SUMIFS(InputResearch[Capital Outlay (Res Equip)],InputResearch[Institution Name],SummaryUNIV[[#This Row],[Institution Name]])</f>
        <v>0</v>
      </c>
      <c r="H60" s="62">
        <f>SUMIFS(InputResearch[R&amp;D Exp - Inst foundation/501(c)(3)],InputResearch[Institution Name],SummaryUNIV[[#This Row],[Institution Name]])</f>
        <v>0</v>
      </c>
      <c r="I60" s="62">
        <f>SUMIFS(InputResearch[Pass-Thru from other Texas A&amp;M members],InputResearch[Institution Name],SummaryUNIV[[#This Row],[Institution Name]])</f>
        <v>3686</v>
      </c>
      <c r="J60"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1328537</v>
      </c>
      <c r="K60" s="62">
        <f>SUMIFS(InputResearch[Total R &amp; D Exp as a Sub],InputResearch[Institution Name],SummaryUNIV[[#This Row],[Institution Name]])</f>
        <v>17255</v>
      </c>
      <c r="L60" s="62">
        <f>SUMIFS(InputResearch[Total R &amp; D Exp to a Sub],InputResearch[Institution Name],SummaryUNIV[[#This Row],[Institution Name]])</f>
        <v>48833</v>
      </c>
      <c r="M60" s="56"/>
    </row>
    <row r="61" spans="1:13" ht="15.6">
      <c r="A61" s="48" t="s">
        <v>38</v>
      </c>
      <c r="B61" s="225">
        <f>VLOOKUP(SummaryUNIV[[#This Row],[Institution Name]],InputResearch[],3,FALSE)</f>
        <v>226</v>
      </c>
      <c r="C61" s="280">
        <v>42485</v>
      </c>
      <c r="D61" s="62">
        <f>SUMIFS(InputResearch[SRECNP Res. Exp.],InputResearch[Institution Name],SummaryUNIV[[#This Row],[Institution Name]])</f>
        <v>3110671</v>
      </c>
      <c r="E61" s="62">
        <f>SUMIFS(InputResearch[R &amp; D Exp Not meeting narrow def],InputResearch[Institution Name],SummaryUNIV[[#This Row],[Institution Name]])</f>
        <v>1609269</v>
      </c>
      <c r="F61" s="62">
        <f>SUMIFS(InputResearch[IDC assoc w/Exp for R &amp; D],InputResearch[Institution Name],SummaryUNIV[[#This Row],[Institution Name]])</f>
        <v>228212</v>
      </c>
      <c r="G61" s="62">
        <f>SUMIFS(InputResearch[Capital Outlay (Res Equip)],InputResearch[Institution Name],SummaryUNIV[[#This Row],[Institution Name]])</f>
        <v>9205</v>
      </c>
      <c r="H61" s="62">
        <f>SUMIFS(InputResearch[R&amp;D Exp - Inst foundation/501(c)(3)],InputResearch[Institution Name],SummaryUNIV[[#This Row],[Institution Name]])</f>
        <v>0</v>
      </c>
      <c r="I61" s="62">
        <f>SUMIFS(InputResearch[Pass-Thru from other Texas A&amp;M members],InputResearch[Institution Name],SummaryUNIV[[#This Row],[Institution Name]])</f>
        <v>0</v>
      </c>
      <c r="J61"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1738819</v>
      </c>
      <c r="K61" s="62">
        <f>SUMIFS(InputResearch[Total R &amp; D Exp as a Sub],InputResearch[Institution Name],SummaryUNIV[[#This Row],[Institution Name]])</f>
        <v>81911</v>
      </c>
      <c r="L61" s="62">
        <f>SUMIFS(InputResearch[Total R &amp; D Exp to a Sub],InputResearch[Institution Name],SummaryUNIV[[#This Row],[Institution Name]])</f>
        <v>23702</v>
      </c>
      <c r="M61" s="56"/>
    </row>
    <row r="62" spans="1:13" ht="15.6">
      <c r="A62" s="48" t="s">
        <v>716</v>
      </c>
      <c r="B62" s="225">
        <f>VLOOKUP(SummaryUNIV[[#This Row],[Institution Name]],InputResearch[],3,FALSE)</f>
        <v>231</v>
      </c>
      <c r="C62" s="280">
        <v>3652</v>
      </c>
      <c r="D62" s="62">
        <f>SUMIFS(InputResearch[SRECNP Res. Exp.],InputResearch[Institution Name],SummaryUNIV[[#This Row],[Institution Name]])</f>
        <v>161356803</v>
      </c>
      <c r="E62" s="62">
        <f>SUMIFS(InputResearch[R &amp; D Exp Not meeting narrow def],InputResearch[Institution Name],SummaryUNIV[[#This Row],[Institution Name]])</f>
        <v>32222496</v>
      </c>
      <c r="F62" s="62">
        <f>SUMIFS(InputResearch[IDC assoc w/Exp for R &amp; D],InputResearch[Institution Name],SummaryUNIV[[#This Row],[Institution Name]])</f>
        <v>28690365</v>
      </c>
      <c r="G62" s="62">
        <f>SUMIFS(InputResearch[Capital Outlay (Res Equip)],InputResearch[Institution Name],SummaryUNIV[[#This Row],[Institution Name]])</f>
        <v>10512449</v>
      </c>
      <c r="H62" s="62">
        <f>SUMIFS(InputResearch[R&amp;D Exp - Inst foundation/501(c)(3)],InputResearch[Institution Name],SummaryUNIV[[#This Row],[Institution Name]])</f>
        <v>0</v>
      </c>
      <c r="I62" s="62">
        <f>SUMIFS(InputResearch[Pass-Thru from other Texas A&amp;M members],InputResearch[Institution Name],SummaryUNIV[[#This Row],[Institution Name]])</f>
        <v>0</v>
      </c>
      <c r="J62"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168337121</v>
      </c>
      <c r="K62" s="62">
        <f>SUMIFS(InputResearch[Total R &amp; D Exp as a Sub],InputResearch[Institution Name],SummaryUNIV[[#This Row],[Institution Name]])</f>
        <v>0</v>
      </c>
      <c r="L62" s="62">
        <f>SUMIFS(InputResearch[Total R &amp; D Exp to a Sub],InputResearch[Institution Name],SummaryUNIV[[#This Row],[Institution Name]])</f>
        <v>0</v>
      </c>
      <c r="M62" s="56"/>
    </row>
    <row r="63" spans="1:13" ht="15.6">
      <c r="A63" s="48" t="s">
        <v>39</v>
      </c>
      <c r="B63" s="225">
        <f>VLOOKUP(SummaryUNIV[[#This Row],[Institution Name]],InputResearch[],3,FALSE)</f>
        <v>240</v>
      </c>
      <c r="C63" s="280">
        <v>11711</v>
      </c>
      <c r="D63" s="62">
        <f>SUMIFS(InputResearch[SRECNP Res. Exp.],InputResearch[Institution Name],SummaryUNIV[[#This Row],[Institution Name]])</f>
        <v>2127032</v>
      </c>
      <c r="E63" s="62">
        <f>SUMIFS(InputResearch[R &amp; D Exp Not meeting narrow def],InputResearch[Institution Name],SummaryUNIV[[#This Row],[Institution Name]])</f>
        <v>461072</v>
      </c>
      <c r="F63" s="62">
        <f>SUMIFS(InputResearch[IDC assoc w/Exp for R &amp; D],InputResearch[Institution Name],SummaryUNIV[[#This Row],[Institution Name]])</f>
        <v>403157</v>
      </c>
      <c r="G63" s="62">
        <f>SUMIFS(InputResearch[Capital Outlay (Res Equip)],InputResearch[Institution Name],SummaryUNIV[[#This Row],[Institution Name]])</f>
        <v>57914</v>
      </c>
      <c r="H63" s="62">
        <f>SUMIFS(InputResearch[R&amp;D Exp - Inst foundation/501(c)(3)],InputResearch[Institution Name],SummaryUNIV[[#This Row],[Institution Name]])</f>
        <v>0</v>
      </c>
      <c r="I63" s="62">
        <f>SUMIFS(InputResearch[Pass-Thru from other Texas A&amp;M members],InputResearch[Institution Name],SummaryUNIV[[#This Row],[Institution Name]])</f>
        <v>0</v>
      </c>
      <c r="J63"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2127031</v>
      </c>
      <c r="K63" s="62">
        <f>SUMIFS(InputResearch[Total R &amp; D Exp as a Sub],InputResearch[Institution Name],SummaryUNIV[[#This Row],[Institution Name]])</f>
        <v>0</v>
      </c>
      <c r="L63" s="62">
        <f>SUMIFS(InputResearch[Total R &amp; D Exp to a Sub],InputResearch[Institution Name],SummaryUNIV[[#This Row],[Institution Name]])</f>
        <v>0</v>
      </c>
      <c r="M63" s="56"/>
    </row>
    <row r="64" spans="1:13" ht="15.6">
      <c r="A64" s="48" t="s">
        <v>40</v>
      </c>
      <c r="B64" s="225">
        <f>VLOOKUP(SummaryUNIV[[#This Row],[Institution Name]],InputResearch[],3,FALSE)</f>
        <v>250</v>
      </c>
      <c r="C64" s="280">
        <v>12826</v>
      </c>
      <c r="D64" s="62">
        <f>SUMIFS(InputResearch[SRECNP Res. Exp.],InputResearch[Institution Name],SummaryUNIV[[#This Row],[Institution Name]])</f>
        <v>1977947</v>
      </c>
      <c r="E64" s="62">
        <f>SUMIFS(InputResearch[R &amp; D Exp Not meeting narrow def],InputResearch[Institution Name],SummaryUNIV[[#This Row],[Institution Name]])</f>
        <v>315598</v>
      </c>
      <c r="F64" s="62">
        <f>SUMIFS(InputResearch[IDC assoc w/Exp for R &amp; D],InputResearch[Institution Name],SummaryUNIV[[#This Row],[Institution Name]])</f>
        <v>0</v>
      </c>
      <c r="G64" s="62">
        <f>SUMIFS(InputResearch[Capital Outlay (Res Equip)],InputResearch[Institution Name],SummaryUNIV[[#This Row],[Institution Name]])</f>
        <v>12846</v>
      </c>
      <c r="H64" s="62">
        <f>SUMIFS(InputResearch[R&amp;D Exp - Inst foundation/501(c)(3)],InputResearch[Institution Name],SummaryUNIV[[#This Row],[Institution Name]])</f>
        <v>0</v>
      </c>
      <c r="I64" s="62">
        <f>SUMIFS(InputResearch[Pass-Thru from other Texas A&amp;M members],InputResearch[Institution Name],SummaryUNIV[[#This Row],[Institution Name]])</f>
        <v>0</v>
      </c>
      <c r="J64"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1675195</v>
      </c>
      <c r="K64" s="62">
        <f>SUMIFS(InputResearch[Total R &amp; D Exp as a Sub],InputResearch[Institution Name],SummaryUNIV[[#This Row],[Institution Name]])</f>
        <v>0</v>
      </c>
      <c r="L64" s="62">
        <f>SUMIFS(InputResearch[Total R &amp; D Exp to a Sub],InputResearch[Institution Name],SummaryUNIV[[#This Row],[Institution Name]])</f>
        <v>0</v>
      </c>
      <c r="M64" s="56"/>
    </row>
    <row r="65" spans="1:13" ht="15.6">
      <c r="A65" s="48" t="s">
        <v>41</v>
      </c>
      <c r="B65" s="225">
        <f>VLOOKUP(SummaryUNIV[[#This Row],[Institution Name]],InputResearch[],3,FALSE)</f>
        <v>260</v>
      </c>
      <c r="C65" s="280">
        <v>13231</v>
      </c>
      <c r="D65" s="62">
        <f>SUMIFS(InputResearch[SRECNP Res. Exp.],InputResearch[Institution Name],SummaryUNIV[[#This Row],[Institution Name]])</f>
        <v>765515</v>
      </c>
      <c r="E65" s="62">
        <f>SUMIFS(InputResearch[R &amp; D Exp Not meeting narrow def],InputResearch[Institution Name],SummaryUNIV[[#This Row],[Institution Name]])</f>
        <v>301714</v>
      </c>
      <c r="F65" s="62">
        <f>SUMIFS(InputResearch[IDC assoc w/Exp for R &amp; D],InputResearch[Institution Name],SummaryUNIV[[#This Row],[Institution Name]])</f>
        <v>0</v>
      </c>
      <c r="G65" s="62">
        <f>SUMIFS(InputResearch[Capital Outlay (Res Equip)],InputResearch[Institution Name],SummaryUNIV[[#This Row],[Institution Name]])</f>
        <v>0</v>
      </c>
      <c r="H65" s="62">
        <f>SUMIFS(InputResearch[R&amp;D Exp - Inst foundation/501(c)(3)],InputResearch[Institution Name],SummaryUNIV[[#This Row],[Institution Name]])</f>
        <v>0</v>
      </c>
      <c r="I65" s="62">
        <f>SUMIFS(InputResearch[Pass-Thru from other Texas A&amp;M members],InputResearch[Institution Name],SummaryUNIV[[#This Row],[Institution Name]])</f>
        <v>0</v>
      </c>
      <c r="J65"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463801</v>
      </c>
      <c r="K65" s="62">
        <f>SUMIFS(InputResearch[Total R &amp; D Exp as a Sub],InputResearch[Institution Name],SummaryUNIV[[#This Row],[Institution Name]])</f>
        <v>0</v>
      </c>
      <c r="L65" s="62">
        <f>SUMIFS(InputResearch[Total R &amp; D Exp to a Sub],InputResearch[Institution Name],SummaryUNIV[[#This Row],[Institution Name]])</f>
        <v>0</v>
      </c>
      <c r="M65" s="56"/>
    </row>
    <row r="66" spans="1:13" ht="15.6">
      <c r="A66" s="48" t="s">
        <v>42</v>
      </c>
      <c r="B66" s="225">
        <f>VLOOKUP(SummaryUNIV[[#This Row],[Institution Name]],InputResearch[],3,FALSE)</f>
        <v>270</v>
      </c>
      <c r="C66" s="280">
        <v>3581</v>
      </c>
      <c r="D66" s="62">
        <f>SUMIFS(InputResearch[SRECNP Res. Exp.],InputResearch[Institution Name],SummaryUNIV[[#This Row],[Institution Name]])</f>
        <v>7776732</v>
      </c>
      <c r="E66" s="62">
        <f>SUMIFS(InputResearch[R &amp; D Exp Not meeting narrow def],InputResearch[Institution Name],SummaryUNIV[[#This Row],[Institution Name]])</f>
        <v>5600202</v>
      </c>
      <c r="F66" s="62">
        <f>SUMIFS(InputResearch[IDC assoc w/Exp for R &amp; D],InputResearch[Institution Name],SummaryUNIV[[#This Row],[Institution Name]])</f>
        <v>576638</v>
      </c>
      <c r="G66" s="62">
        <f>SUMIFS(InputResearch[Capital Outlay (Res Equip)],InputResearch[Institution Name],SummaryUNIV[[#This Row],[Institution Name]])</f>
        <v>379543</v>
      </c>
      <c r="H66" s="62">
        <f>SUMIFS(InputResearch[R&amp;D Exp - Inst foundation/501(c)(3)],InputResearch[Institution Name],SummaryUNIV[[#This Row],[Institution Name]])</f>
        <v>0</v>
      </c>
      <c r="I66" s="62">
        <f>SUMIFS(InputResearch[Pass-Thru from other Texas A&amp;M members],InputResearch[Institution Name],SummaryUNIV[[#This Row],[Institution Name]])</f>
        <v>0</v>
      </c>
      <c r="J66"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3132711</v>
      </c>
      <c r="K66" s="62">
        <f>SUMIFS(InputResearch[Total R &amp; D Exp as a Sub],InputResearch[Institution Name],SummaryUNIV[[#This Row],[Institution Name]])</f>
        <v>0</v>
      </c>
      <c r="L66" s="62">
        <f>SUMIFS(InputResearch[Total R &amp; D Exp to a Sub],InputResearch[Institution Name],SummaryUNIV[[#This Row],[Institution Name]])</f>
        <v>0</v>
      </c>
      <c r="M66" s="56"/>
    </row>
    <row r="67" spans="1:13" ht="15.6">
      <c r="A67" s="48" t="s">
        <v>717</v>
      </c>
      <c r="B67" s="225">
        <f>VLOOKUP(SummaryUNIV[[#This Row],[Institution Name]],InputResearch[],3,FALSE)</f>
        <v>281</v>
      </c>
      <c r="C67" s="280">
        <v>3606</v>
      </c>
      <c r="D67" s="62">
        <f>SUMIFS(InputResearch[SRECNP Res. Exp.],InputResearch[Institution Name],SummaryUNIV[[#This Row],[Institution Name]])</f>
        <v>11081205</v>
      </c>
      <c r="E67" s="62">
        <f>SUMIFS(InputResearch[R &amp; D Exp Not meeting narrow def],InputResearch[Institution Name],SummaryUNIV[[#This Row],[Institution Name]])</f>
        <v>574560</v>
      </c>
      <c r="F67" s="62">
        <f>SUMIFS(InputResearch[IDC assoc w/Exp for R &amp; D],InputResearch[Institution Name],SummaryUNIV[[#This Row],[Institution Name]])</f>
        <v>830193</v>
      </c>
      <c r="G67" s="62">
        <f>SUMIFS(InputResearch[Capital Outlay (Res Equip)],InputResearch[Institution Name],SummaryUNIV[[#This Row],[Institution Name]])</f>
        <v>174474</v>
      </c>
      <c r="H67" s="62">
        <f>SUMIFS(InputResearch[R&amp;D Exp - Inst foundation/501(c)(3)],InputResearch[Institution Name],SummaryUNIV[[#This Row],[Institution Name]])</f>
        <v>0</v>
      </c>
      <c r="I67" s="62">
        <f>SUMIFS(InputResearch[Pass-Thru from other Texas A&amp;M members],InputResearch[Institution Name],SummaryUNIV[[#This Row],[Institution Name]])</f>
        <v>0</v>
      </c>
      <c r="J67"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11511312</v>
      </c>
      <c r="K67" s="62">
        <f>SUMIFS(InputResearch[Total R &amp; D Exp as a Sub],InputResearch[Institution Name],SummaryUNIV[[#This Row],[Institution Name]])</f>
        <v>589513</v>
      </c>
      <c r="L67" s="62">
        <f>SUMIFS(InputResearch[Total R &amp; D Exp to a Sub],InputResearch[Institution Name],SummaryUNIV[[#This Row],[Institution Name]])</f>
        <v>743104</v>
      </c>
      <c r="M67" s="56"/>
    </row>
    <row r="68" spans="1:13" ht="15.6">
      <c r="A68" s="48" t="s">
        <v>44</v>
      </c>
      <c r="B68" s="225">
        <f>VLOOKUP(SummaryUNIV[[#This Row],[Institution Name]],InputResearch[],3,FALSE)</f>
        <v>290</v>
      </c>
      <c r="C68" s="280">
        <v>3615</v>
      </c>
      <c r="D68" s="62">
        <f>SUMIFS(InputResearch[SRECNP Res. Exp.],InputResearch[Institution Name],SummaryUNIV[[#This Row],[Institution Name]])</f>
        <v>126839858</v>
      </c>
      <c r="E68" s="62">
        <f>SUMIFS(InputResearch[R &amp; D Exp Not meeting narrow def],InputResearch[Institution Name],SummaryUNIV[[#This Row],[Institution Name]])</f>
        <v>0</v>
      </c>
      <c r="F68" s="62">
        <f>SUMIFS(InputResearch[IDC assoc w/Exp for R &amp; D],InputResearch[Institution Name],SummaryUNIV[[#This Row],[Institution Name]])</f>
        <v>9038327</v>
      </c>
      <c r="G68" s="62">
        <f>SUMIFS(InputResearch[Capital Outlay (Res Equip)],InputResearch[Institution Name],SummaryUNIV[[#This Row],[Institution Name]])</f>
        <v>5412845</v>
      </c>
      <c r="H68" s="62">
        <f>SUMIFS(InputResearch[R&amp;D Exp - Inst foundation/501(c)(3)],InputResearch[Institution Name],SummaryUNIV[[#This Row],[Institution Name]])</f>
        <v>0</v>
      </c>
      <c r="I68" s="62">
        <f>SUMIFS(InputResearch[Pass-Thru from other Texas A&amp;M members],InputResearch[Institution Name],SummaryUNIV[[#This Row],[Institution Name]])</f>
        <v>0</v>
      </c>
      <c r="J68"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141291030</v>
      </c>
      <c r="K68" s="62">
        <f>SUMIFS(InputResearch[Total R &amp; D Exp as a Sub],InputResearch[Institution Name],SummaryUNIV[[#This Row],[Institution Name]])</f>
        <v>0</v>
      </c>
      <c r="L68" s="62">
        <f>SUMIFS(InputResearch[Total R &amp; D Exp to a Sub],InputResearch[Institution Name],SummaryUNIV[[#This Row],[Institution Name]])</f>
        <v>0</v>
      </c>
      <c r="M68" s="56"/>
    </row>
    <row r="69" spans="1:13" ht="15.6">
      <c r="A69" s="48" t="s">
        <v>45</v>
      </c>
      <c r="B69" s="225">
        <f>VLOOKUP(SummaryUNIV[[#This Row],[Institution Name]],InputResearch[],3,FALSE)</f>
        <v>300</v>
      </c>
      <c r="C69" s="280">
        <v>3625</v>
      </c>
      <c r="D69" s="62">
        <f>SUMIFS(InputResearch[SRECNP Res. Exp.],InputResearch[Institution Name],SummaryUNIV[[#This Row],[Institution Name]])</f>
        <v>4481347</v>
      </c>
      <c r="E69" s="62">
        <f>SUMIFS(InputResearch[R &amp; D Exp Not meeting narrow def],InputResearch[Institution Name],SummaryUNIV[[#This Row],[Institution Name]])</f>
        <v>0</v>
      </c>
      <c r="F69" s="62">
        <f>SUMIFS(InputResearch[IDC assoc w/Exp for R &amp; D],InputResearch[Institution Name],SummaryUNIV[[#This Row],[Institution Name]])</f>
        <v>216446</v>
      </c>
      <c r="G69" s="62">
        <f>SUMIFS(InputResearch[Capital Outlay (Res Equip)],InputResearch[Institution Name],SummaryUNIV[[#This Row],[Institution Name]])</f>
        <v>180643</v>
      </c>
      <c r="H69" s="62">
        <f>SUMIFS(InputResearch[R&amp;D Exp - Inst foundation/501(c)(3)],InputResearch[Institution Name],SummaryUNIV[[#This Row],[Institution Name]])</f>
        <v>0</v>
      </c>
      <c r="I69" s="62">
        <f>SUMIFS(InputResearch[Pass-Thru from other Texas A&amp;M members],InputResearch[Institution Name],SummaryUNIV[[#This Row],[Institution Name]])</f>
        <v>0</v>
      </c>
      <c r="J69"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4878436</v>
      </c>
      <c r="K69" s="62">
        <f>SUMIFS(InputResearch[Total R &amp; D Exp as a Sub],InputResearch[Institution Name],SummaryUNIV[[#This Row],[Institution Name]])</f>
        <v>0</v>
      </c>
      <c r="L69" s="62">
        <f>SUMIFS(InputResearch[Total R &amp; D Exp to a Sub],InputResearch[Institution Name],SummaryUNIV[[#This Row],[Institution Name]])</f>
        <v>0</v>
      </c>
      <c r="M69" s="56"/>
    </row>
    <row r="70" spans="1:13" ht="15.6">
      <c r="A70" s="48" t="s">
        <v>46</v>
      </c>
      <c r="B70" s="225">
        <f>VLOOKUP(SummaryUNIV[[#This Row],[Institution Name]],InputResearch[],3,FALSE)</f>
        <v>310</v>
      </c>
      <c r="C70" s="280">
        <v>3644</v>
      </c>
      <c r="D70" s="62">
        <f>SUMIFS(InputResearch[SRECNP Res. Exp.],InputResearch[Institution Name],SummaryUNIV[[#This Row],[Institution Name]])</f>
        <v>193610269</v>
      </c>
      <c r="E70" s="62">
        <f>SUMIFS(InputResearch[R &amp; D Exp Not meeting narrow def],InputResearch[Institution Name],SummaryUNIV[[#This Row],[Institution Name]])</f>
        <v>1199691</v>
      </c>
      <c r="F70" s="62">
        <f>SUMIFS(InputResearch[IDC assoc w/Exp for R &amp; D],InputResearch[Institution Name],SummaryUNIV[[#This Row],[Institution Name]])</f>
        <v>13830192</v>
      </c>
      <c r="G70" s="62">
        <f>SUMIFS(InputResearch[Capital Outlay (Res Equip)],InputResearch[Institution Name],SummaryUNIV[[#This Row],[Institution Name]])</f>
        <v>23188543</v>
      </c>
      <c r="H70" s="62">
        <f>SUMIFS(InputResearch[R&amp;D Exp - Inst foundation/501(c)(3)],InputResearch[Institution Name],SummaryUNIV[[#This Row],[Institution Name]])</f>
        <v>0</v>
      </c>
      <c r="I70" s="62">
        <f>SUMIFS(InputResearch[Pass-Thru from other Texas A&amp;M members],InputResearch[Institution Name],SummaryUNIV[[#This Row],[Institution Name]])</f>
        <v>0</v>
      </c>
      <c r="J70"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229429313</v>
      </c>
      <c r="K70" s="62">
        <f>SUMIFS(InputResearch[Total R &amp; D Exp as a Sub],InputResearch[Institution Name],SummaryUNIV[[#This Row],[Institution Name]])</f>
        <v>22651275</v>
      </c>
      <c r="L70" s="62">
        <f>SUMIFS(InputResearch[Total R &amp; D Exp to a Sub],InputResearch[Institution Name],SummaryUNIV[[#This Row],[Institution Name]])</f>
        <v>6994542</v>
      </c>
      <c r="M70" s="56"/>
    </row>
    <row r="71" spans="1:13" ht="15.6">
      <c r="A71" s="48" t="s">
        <v>47</v>
      </c>
      <c r="B71" s="225">
        <f>VLOOKUP(SummaryUNIV[[#This Row],[Institution Name]],InputResearch[],3,FALSE)</f>
        <v>320</v>
      </c>
      <c r="C71" s="280">
        <v>3541</v>
      </c>
      <c r="D71" s="62">
        <f>SUMIFS(InputResearch[SRECNP Res. Exp.],InputResearch[Institution Name],SummaryUNIV[[#This Row],[Institution Name]])</f>
        <v>878102</v>
      </c>
      <c r="E71" s="62">
        <f>SUMIFS(InputResearch[R &amp; D Exp Not meeting narrow def],InputResearch[Institution Name],SummaryUNIV[[#This Row],[Institution Name]])</f>
        <v>117594</v>
      </c>
      <c r="F71" s="62">
        <f>SUMIFS(InputResearch[IDC assoc w/Exp for R &amp; D],InputResearch[Institution Name],SummaryUNIV[[#This Row],[Institution Name]])</f>
        <v>42677</v>
      </c>
      <c r="G71" s="62">
        <f>SUMIFS(InputResearch[Capital Outlay (Res Equip)],InputResearch[Institution Name],SummaryUNIV[[#This Row],[Institution Name]])</f>
        <v>130945</v>
      </c>
      <c r="H71" s="62">
        <f>SUMIFS(InputResearch[R&amp;D Exp - Inst foundation/501(c)(3)],InputResearch[Institution Name],SummaryUNIV[[#This Row],[Institution Name]])</f>
        <v>0</v>
      </c>
      <c r="I71" s="62">
        <f>SUMIFS(InputResearch[Pass-Thru from other Texas A&amp;M members],InputResearch[Institution Name],SummaryUNIV[[#This Row],[Institution Name]])</f>
        <v>0</v>
      </c>
      <c r="J71"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934130</v>
      </c>
      <c r="K71" s="62">
        <f>SUMIFS(InputResearch[Total R &amp; D Exp as a Sub],InputResearch[Institution Name],SummaryUNIV[[#This Row],[Institution Name]])</f>
        <v>23789</v>
      </c>
      <c r="L71" s="62">
        <f>SUMIFS(InputResearch[Total R &amp; D Exp to a Sub],InputResearch[Institution Name],SummaryUNIV[[#This Row],[Institution Name]])</f>
        <v>0</v>
      </c>
      <c r="M71" s="56"/>
    </row>
    <row r="72" spans="1:13" ht="15.6">
      <c r="A72" s="48" t="s">
        <v>48</v>
      </c>
      <c r="B72" s="225">
        <f>VLOOKUP(SummaryUNIV[[#This Row],[Institution Name]],InputResearch[],3,FALSE)</f>
        <v>330</v>
      </c>
      <c r="C72" s="280">
        <v>3594</v>
      </c>
      <c r="D72" s="62">
        <f>SUMIFS(InputResearch[SRECNP Res. Exp.],InputResearch[Institution Name],SummaryUNIV[[#This Row],[Institution Name]])</f>
        <v>89180220</v>
      </c>
      <c r="E72" s="62">
        <f>SUMIFS(InputResearch[R &amp; D Exp Not meeting narrow def],InputResearch[Institution Name],SummaryUNIV[[#This Row],[Institution Name]])</f>
        <v>0</v>
      </c>
      <c r="F72" s="62">
        <f>SUMIFS(InputResearch[IDC assoc w/Exp for R &amp; D],InputResearch[Institution Name],SummaryUNIV[[#This Row],[Institution Name]])</f>
        <v>7329968</v>
      </c>
      <c r="G72" s="62">
        <f>SUMIFS(InputResearch[Capital Outlay (Res Equip)],InputResearch[Institution Name],SummaryUNIV[[#This Row],[Institution Name]])</f>
        <v>8297849</v>
      </c>
      <c r="H72" s="62">
        <f>SUMIFS(InputResearch[R&amp;D Exp - Inst foundation/501(c)(3)],InputResearch[Institution Name],SummaryUNIV[[#This Row],[Institution Name]])</f>
        <v>0</v>
      </c>
      <c r="I72" s="62">
        <f>SUMIFS(InputResearch[Pass-Thru from other Texas A&amp;M members],InputResearch[Institution Name],SummaryUNIV[[#This Row],[Institution Name]])</f>
        <v>0</v>
      </c>
      <c r="J72"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104808037</v>
      </c>
      <c r="K72" s="62">
        <f>SUMIFS(InputResearch[Total R &amp; D Exp as a Sub],InputResearch[Institution Name],SummaryUNIV[[#This Row],[Institution Name]])</f>
        <v>0</v>
      </c>
      <c r="L72" s="62">
        <f>SUMIFS(InputResearch[Total R &amp; D Exp to a Sub],InputResearch[Institution Name],SummaryUNIV[[#This Row],[Institution Name]])</f>
        <v>0</v>
      </c>
      <c r="M72" s="56"/>
    </row>
    <row r="73" spans="1:13" ht="15.6">
      <c r="A73" s="48" t="s">
        <v>49</v>
      </c>
      <c r="B73" s="225">
        <f>VLOOKUP(SummaryUNIV[[#This Row],[Institution Name]],InputResearch[],3,FALSE)</f>
        <v>333</v>
      </c>
      <c r="C73" s="280">
        <v>42421</v>
      </c>
      <c r="D73" s="62">
        <f>SUMIFS(InputResearch[SRECNP Res. Exp.],InputResearch[Institution Name],SummaryUNIV[[#This Row],[Institution Name]])</f>
        <v>1465778</v>
      </c>
      <c r="E73" s="62">
        <f>SUMIFS(InputResearch[R &amp; D Exp Not meeting narrow def],InputResearch[Institution Name],SummaryUNIV[[#This Row],[Institution Name]])</f>
        <v>179469</v>
      </c>
      <c r="F73" s="62">
        <f>SUMIFS(InputResearch[IDC assoc w/Exp for R &amp; D],InputResearch[Institution Name],SummaryUNIV[[#This Row],[Institution Name]])</f>
        <v>66879</v>
      </c>
      <c r="G73" s="62">
        <f>SUMIFS(InputResearch[Capital Outlay (Res Equip)],InputResearch[Institution Name],SummaryUNIV[[#This Row],[Institution Name]])</f>
        <v>0</v>
      </c>
      <c r="H73" s="62">
        <f>SUMIFS(InputResearch[R&amp;D Exp - Inst foundation/501(c)(3)],InputResearch[Institution Name],SummaryUNIV[[#This Row],[Institution Name]])</f>
        <v>0</v>
      </c>
      <c r="I73" s="62">
        <f>SUMIFS(InputResearch[Pass-Thru from other Texas A&amp;M members],InputResearch[Institution Name],SummaryUNIV[[#This Row],[Institution Name]])</f>
        <v>0</v>
      </c>
      <c r="J73"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1353188</v>
      </c>
      <c r="K73" s="62">
        <f>SUMIFS(InputResearch[Total R &amp; D Exp as a Sub],InputResearch[Institution Name],SummaryUNIV[[#This Row],[Institution Name]])</f>
        <v>196643</v>
      </c>
      <c r="L73" s="62">
        <f>SUMIFS(InputResearch[Total R &amp; D Exp to a Sub],InputResearch[Institution Name],SummaryUNIV[[#This Row],[Institution Name]])</f>
        <v>0</v>
      </c>
      <c r="M73" s="56"/>
    </row>
    <row r="74" spans="1:13" ht="15.6">
      <c r="A74" s="48" t="s">
        <v>50</v>
      </c>
      <c r="B74" s="225">
        <f>VLOOKUP(SummaryUNIV[[#This Row],[Institution Name]],InputResearch[],3,FALSE)</f>
        <v>340</v>
      </c>
      <c r="C74" s="280">
        <v>3592</v>
      </c>
      <c r="D74" s="62">
        <f>SUMIFS(InputResearch[SRECNP Res. Exp.],InputResearch[Institution Name],SummaryUNIV[[#This Row],[Institution Name]])</f>
        <v>829920</v>
      </c>
      <c r="E74" s="62">
        <f>SUMIFS(InputResearch[R &amp; D Exp Not meeting narrow def],InputResearch[Institution Name],SummaryUNIV[[#This Row],[Institution Name]])</f>
        <v>284083</v>
      </c>
      <c r="F74" s="62">
        <f>SUMIFS(InputResearch[IDC assoc w/Exp for R &amp; D],InputResearch[Institution Name],SummaryUNIV[[#This Row],[Institution Name]])</f>
        <v>54392</v>
      </c>
      <c r="G74" s="62">
        <f>SUMIFS(InputResearch[Capital Outlay (Res Equip)],InputResearch[Institution Name],SummaryUNIV[[#This Row],[Institution Name]])</f>
        <v>40198</v>
      </c>
      <c r="H74" s="62">
        <f>SUMIFS(InputResearch[R&amp;D Exp - Inst foundation/501(c)(3)],InputResearch[Institution Name],SummaryUNIV[[#This Row],[Institution Name]])</f>
        <v>0</v>
      </c>
      <c r="I74" s="62">
        <f>SUMIFS(InputResearch[Pass-Thru from other Texas A&amp;M members],InputResearch[Institution Name],SummaryUNIV[[#This Row],[Institution Name]])</f>
        <v>0</v>
      </c>
      <c r="J74"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640427</v>
      </c>
      <c r="K74" s="62">
        <f>SUMIFS(InputResearch[Total R &amp; D Exp as a Sub],InputResearch[Institution Name],SummaryUNIV[[#This Row],[Institution Name]])</f>
        <v>0</v>
      </c>
      <c r="L74" s="62">
        <f>SUMIFS(InputResearch[Total R &amp; D Exp to a Sub],InputResearch[Institution Name],SummaryUNIV[[#This Row],[Institution Name]])</f>
        <v>0</v>
      </c>
      <c r="M74" s="56"/>
    </row>
    <row r="75" spans="1:13" ht="15.6">
      <c r="A75" s="48" t="s">
        <v>26</v>
      </c>
      <c r="B75" s="225">
        <f>VLOOKUP(SummaryUNIV[[#This Row],[Institution Name]],InputResearch[],3,FALSE)</f>
        <v>350</v>
      </c>
      <c r="C75" s="280">
        <v>3624</v>
      </c>
      <c r="D75" s="62">
        <f>SUMIFS(InputResearch[SRECNP Res. Exp.],InputResearch[Institution Name],SummaryUNIV[[#This Row],[Institution Name]])</f>
        <v>3260992</v>
      </c>
      <c r="E75" s="62">
        <f>SUMIFS(InputResearch[R &amp; D Exp Not meeting narrow def],InputResearch[Institution Name],SummaryUNIV[[#This Row],[Institution Name]])</f>
        <v>0</v>
      </c>
      <c r="F75" s="62">
        <f>SUMIFS(InputResearch[IDC assoc w/Exp for R &amp; D],InputResearch[Institution Name],SummaryUNIV[[#This Row],[Institution Name]])</f>
        <v>75379</v>
      </c>
      <c r="G75" s="62">
        <f>SUMIFS(InputResearch[Capital Outlay (Res Equip)],InputResearch[Institution Name],SummaryUNIV[[#This Row],[Institution Name]])</f>
        <v>121043</v>
      </c>
      <c r="H75" s="62">
        <f>SUMIFS(InputResearch[R&amp;D Exp - Inst foundation/501(c)(3)],InputResearch[Institution Name],SummaryUNIV[[#This Row],[Institution Name]])</f>
        <v>0</v>
      </c>
      <c r="I75" s="62">
        <f>SUMIFS(InputResearch[Pass-Thru from other Texas A&amp;M members],InputResearch[Institution Name],SummaryUNIV[[#This Row],[Institution Name]])</f>
        <v>0</v>
      </c>
      <c r="J75"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3457414</v>
      </c>
      <c r="K75" s="62">
        <f>SUMIFS(InputResearch[Total R &amp; D Exp as a Sub],InputResearch[Institution Name],SummaryUNIV[[#This Row],[Institution Name]])</f>
        <v>0</v>
      </c>
      <c r="L75" s="62">
        <f>SUMIFS(InputResearch[Total R &amp; D Exp to a Sub],InputResearch[Institution Name],SummaryUNIV[[#This Row],[Institution Name]])</f>
        <v>0</v>
      </c>
      <c r="M75" s="56"/>
    </row>
    <row r="76" spans="1:13" ht="15.6">
      <c r="A76" s="48" t="s">
        <v>51</v>
      </c>
      <c r="B76" s="225">
        <f>VLOOKUP(SummaryUNIV[[#This Row],[Institution Name]],InputResearch[],3,FALSE)</f>
        <v>360</v>
      </c>
      <c r="C76" s="280">
        <v>3642</v>
      </c>
      <c r="D76" s="62">
        <f>SUMIFS(InputResearch[SRECNP Res. Exp.],InputResearch[Institution Name],SummaryUNIV[[#This Row],[Institution Name]])</f>
        <v>8389416</v>
      </c>
      <c r="E76" s="62">
        <f>SUMIFS(InputResearch[R &amp; D Exp Not meeting narrow def],InputResearch[Institution Name],SummaryUNIV[[#This Row],[Institution Name]])</f>
        <v>8389416</v>
      </c>
      <c r="F76" s="62">
        <f>SUMIFS(InputResearch[IDC assoc w/Exp for R &amp; D],InputResearch[Institution Name],SummaryUNIV[[#This Row],[Institution Name]])</f>
        <v>0</v>
      </c>
      <c r="G76" s="62">
        <f>SUMIFS(InputResearch[Capital Outlay (Res Equip)],InputResearch[Institution Name],SummaryUNIV[[#This Row],[Institution Name]])</f>
        <v>93047</v>
      </c>
      <c r="H76" s="62">
        <f>SUMIFS(InputResearch[R&amp;D Exp - Inst foundation/501(c)(3)],InputResearch[Institution Name],SummaryUNIV[[#This Row],[Institution Name]])</f>
        <v>0</v>
      </c>
      <c r="I76" s="62">
        <f>SUMIFS(InputResearch[Pass-Thru from other Texas A&amp;M members],InputResearch[Institution Name],SummaryUNIV[[#This Row],[Institution Name]])</f>
        <v>0</v>
      </c>
      <c r="J76"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8389416</v>
      </c>
      <c r="K76" s="62">
        <f>SUMIFS(InputResearch[Total R &amp; D Exp as a Sub],InputResearch[Institution Name],SummaryUNIV[[#This Row],[Institution Name]])</f>
        <v>0</v>
      </c>
      <c r="L76" s="62">
        <f>SUMIFS(InputResearch[Total R &amp; D Exp to a Sub],InputResearch[Institution Name],SummaryUNIV[[#This Row],[Institution Name]])</f>
        <v>0</v>
      </c>
      <c r="M76" s="56"/>
    </row>
    <row r="77" spans="1:13" ht="15.6">
      <c r="A77" s="48" t="s">
        <v>52</v>
      </c>
      <c r="B77" s="225">
        <f>VLOOKUP(SummaryUNIV[[#This Row],[Institution Name]],InputResearch[],3,FALSE)</f>
        <v>370</v>
      </c>
      <c r="C77" s="280">
        <v>3646</v>
      </c>
      <c r="D77" s="62">
        <f>SUMIFS(InputResearch[SRECNP Res. Exp.],InputResearch[Institution Name],SummaryUNIV[[#This Row],[Institution Name]])</f>
        <v>6557064</v>
      </c>
      <c r="E77" s="62">
        <f>SUMIFS(InputResearch[R &amp; D Exp Not meeting narrow def],InputResearch[Institution Name],SummaryUNIV[[#This Row],[Institution Name]])</f>
        <v>-737444</v>
      </c>
      <c r="F77" s="62">
        <f>SUMIFS(InputResearch[IDC assoc w/Exp for R &amp; D],InputResearch[Institution Name],SummaryUNIV[[#This Row],[Institution Name]])</f>
        <v>445003</v>
      </c>
      <c r="G77" s="62">
        <f>SUMIFS(InputResearch[Capital Outlay (Res Equip)],InputResearch[Institution Name],SummaryUNIV[[#This Row],[Institution Name]])</f>
        <v>130334</v>
      </c>
      <c r="H77" s="62">
        <f>SUMIFS(InputResearch[R&amp;D Exp - Inst foundation/501(c)(3)],InputResearch[Institution Name],SummaryUNIV[[#This Row],[Institution Name]])</f>
        <v>0</v>
      </c>
      <c r="I77" s="62">
        <f>SUMIFS(InputResearch[Pass-Thru from other Texas A&amp;M members],InputResearch[Institution Name],SummaryUNIV[[#This Row],[Institution Name]])</f>
        <v>0</v>
      </c>
      <c r="J77" s="311">
        <f>SUMIFS(InputResearch[R &amp; D Expenses],InputResearch[Institution Name],SummaryUNIV[[#This Row],[Institution Name]])+SummaryUNIV[[#This Row],[Indirect Costs Associated w/ R &amp; D]]+SummaryUNIV[[#This Row],[Capital Outlay for Research]]+SummaryUNIV[[#This Row],[R &amp; D for 501(c)(3) or Institution''s Foundation]]+SummaryUNIV[[#This Row],[Pass-Thru From 
TX Eng. Exp. Station]]</f>
        <v>7869845</v>
      </c>
      <c r="K77" s="62">
        <f>SUMIFS(InputResearch[Total R &amp; D Exp as a Sub],InputResearch[Institution Name],SummaryUNIV[[#This Row],[Institution Name]])</f>
        <v>366146</v>
      </c>
      <c r="L77" s="62">
        <f>SUMIFS(InputResearch[Total R &amp; D Exp to a Sub],InputResearch[Institution Name],SummaryUNIV[[#This Row],[Institution Name]])</f>
        <v>0</v>
      </c>
      <c r="M77" s="56"/>
    </row>
    <row r="78" spans="1:13" ht="15.6">
      <c r="B78" s="226"/>
      <c r="C78" s="52"/>
      <c r="D78" s="313">
        <f>SUBTOTAL(109,SummaryUNIV[Research Exp. 
Per SRECNA])</f>
        <v>2950525122</v>
      </c>
      <c r="E78" s="313">
        <f>SUBTOTAL(109,SummaryUNIV[R &amp; D Not Meeting 
the Definition])</f>
        <v>120857770</v>
      </c>
      <c r="F78" s="313">
        <f>SUBTOTAL(109,SummaryUNIV[Indirect Costs Associated w/ R &amp; D])</f>
        <v>413533677</v>
      </c>
      <c r="G78" s="313">
        <f>SUBTOTAL(109,SummaryUNIV[Capital Outlay for Research])</f>
        <v>110373406</v>
      </c>
      <c r="H78" s="313">
        <f>SUBTOTAL(109,SummaryUNIV[R &amp; D for 501(c)(3) or Institution''s Foundation])</f>
        <v>65072893</v>
      </c>
      <c r="I78" s="313">
        <f>SUBTOTAL(109,SummaryUNIV[Pass-Thru From 
TX Eng. Exp. Station])</f>
        <v>1223358</v>
      </c>
      <c r="J78" s="312">
        <f>SUBTOTAL(109,SummaryUNIV[Total Research Expenditures])</f>
        <v>3435891719</v>
      </c>
      <c r="K78" s="313">
        <f>SUBTOTAL(109,SummaryUNIV[Pass-Thru as a Subrecipient])</f>
        <v>232916073</v>
      </c>
      <c r="L78" s="313">
        <f>SUBTOTAL(109,SummaryUNIV[Pass-Thru to a Subrecipient])</f>
        <v>106812335</v>
      </c>
      <c r="M78" s="56"/>
    </row>
    <row r="79" spans="1:13">
      <c r="B79" s="55"/>
      <c r="C79" s="55"/>
      <c r="D79" s="55"/>
      <c r="E79" s="55"/>
      <c r="F79" s="55"/>
      <c r="G79" s="55"/>
      <c r="H79" s="55"/>
      <c r="I79" s="55"/>
      <c r="J79" s="55"/>
      <c r="K79" s="55"/>
      <c r="L79" s="56"/>
      <c r="M79" s="56"/>
    </row>
    <row r="80" spans="1:13" ht="21">
      <c r="A80" s="439" t="s">
        <v>989</v>
      </c>
      <c r="B80" s="440"/>
      <c r="C80" s="440"/>
      <c r="D80" s="440"/>
      <c r="E80" s="440"/>
      <c r="F80" s="440"/>
      <c r="G80" s="440"/>
      <c r="H80" s="440"/>
      <c r="I80" s="440"/>
      <c r="J80" s="440"/>
      <c r="K80" s="440"/>
      <c r="L80" s="440"/>
      <c r="M80" s="56"/>
    </row>
    <row r="81" spans="1:13" ht="17.399999999999999">
      <c r="A81" s="438">
        <f>Hidden!$A$4</f>
        <v>45412</v>
      </c>
      <c r="B81" s="438"/>
      <c r="C81" s="438"/>
      <c r="D81" s="438"/>
      <c r="E81" s="438"/>
      <c r="F81" s="438"/>
      <c r="G81" s="438"/>
      <c r="H81" s="438"/>
      <c r="I81" s="438"/>
      <c r="J81" s="438"/>
      <c r="K81" s="438"/>
      <c r="L81" s="438"/>
      <c r="M81" s="56"/>
    </row>
    <row r="82" spans="1:13">
      <c r="A82" s="54"/>
      <c r="B82" s="55"/>
      <c r="C82" s="55"/>
      <c r="D82" s="55"/>
      <c r="E82" s="55"/>
      <c r="F82" s="55"/>
      <c r="G82" s="55"/>
      <c r="H82" s="55"/>
      <c r="I82" s="55"/>
      <c r="J82" s="55"/>
      <c r="K82" s="55"/>
      <c r="L82" s="56"/>
      <c r="M82" s="56"/>
    </row>
    <row r="83" spans="1:13" ht="31.2">
      <c r="A83" s="58" t="s">
        <v>1</v>
      </c>
      <c r="B83" s="75" t="s">
        <v>889</v>
      </c>
      <c r="C83" s="50" t="s">
        <v>2</v>
      </c>
      <c r="D83" s="50" t="s">
        <v>801</v>
      </c>
      <c r="E83" s="50" t="s">
        <v>802</v>
      </c>
      <c r="F83" s="50" t="s">
        <v>799</v>
      </c>
      <c r="G83" s="50" t="s">
        <v>800</v>
      </c>
      <c r="H83" s="50" t="s">
        <v>806</v>
      </c>
      <c r="I83" s="50" t="s">
        <v>803</v>
      </c>
      <c r="J83" s="304" t="s">
        <v>804</v>
      </c>
      <c r="K83" s="50" t="s">
        <v>849</v>
      </c>
      <c r="L83" s="50" t="s">
        <v>850</v>
      </c>
      <c r="M83" s="56"/>
    </row>
    <row r="84" spans="1:13" ht="15.6">
      <c r="A84" s="48" t="s">
        <v>27</v>
      </c>
      <c r="B84" s="225">
        <f>VLOOKUP(SummaryTAMUS[[#This Row],[Institution Name]],InputResearch[],3,FALSE)</f>
        <v>130</v>
      </c>
      <c r="C84" s="281">
        <v>3632</v>
      </c>
      <c r="D84" s="60">
        <f>SUMIFS(InputResearch[SRECNP Res. Exp.],InputResearch[Institution Name],SummaryTAMUS[[#This Row],[Institution Name]])</f>
        <v>278099857</v>
      </c>
      <c r="E84" s="60">
        <f>SUMIFS(InputResearch[R &amp; D Exp Not meeting narrow def],InputResearch[Institution Name],SummaryTAMUS[[#This Row],[Institution Name]])</f>
        <v>26065820</v>
      </c>
      <c r="F84" s="60">
        <f>SUMIFS(InputResearch[IDC assoc w/Exp for R &amp; D],InputResearch[Institution Name],SummaryTAMUS[[#This Row],[Institution Name]])</f>
        <v>29264984</v>
      </c>
      <c r="G84" s="60">
        <f>SUMIFS(InputResearch[Capital Outlay (Res Equip)],InputResearch[Institution Name],SummaryTAMUS[[#This Row],[Institution Name]])</f>
        <v>18777002</v>
      </c>
      <c r="H84" s="60">
        <f>SUMIFS(InputResearch[R&amp;D Exp - Inst foundation/501(c)(3)],InputResearch[Institution Name],SummaryTAMUS[[#This Row],[Institution Name]])</f>
        <v>65803046</v>
      </c>
      <c r="I84" s="60">
        <f>SUMIFS(InputResearch[Pass-Thru from other Texas A&amp;M members],InputResearch[Institution Name],SummaryTAMUS[[#This Row],[Institution Name]])</f>
        <v>0</v>
      </c>
      <c r="J84" s="312">
        <f>SUMIFS(InputResearch[R &amp; D Expenses],InputResearch[Institution Name],SummaryTAMUS[[#This Row],[Institution Name]])+SummaryTAMUS[[#This Row],[Indirect Costs Associated w/ R &amp; D]]+SummaryTAMUS[[#This Row],[Capital Outlay for Research]]+SummaryTAMUS[[#This Row],[R &amp; D for 501(c)(3) or Institution''s Foundation]]+SummaryTAMUS[[#This Row],[Pass-Thru From 
TX Eng. Exp. Station]]</f>
        <v>365879069</v>
      </c>
      <c r="K84" s="60">
        <f>SUMIFS(InputResearch[Total R &amp; D Exp as a Sub],InputResearch[Institution Name],SummaryTAMUS[[#This Row],[Institution Name]])</f>
        <v>39642805</v>
      </c>
      <c r="L84" s="60">
        <f>SUMIFS(InputResearch[Total R &amp; D Exp to a Sub],InputResearch[Institution Name],SummaryTAMUS[[#This Row],[Institution Name]])</f>
        <v>13041424</v>
      </c>
      <c r="M84" s="56"/>
    </row>
    <row r="85" spans="1:13" ht="15.6">
      <c r="A85" s="48" t="s">
        <v>54</v>
      </c>
      <c r="B85" s="225">
        <f>VLOOKUP(SummaryTAMUS[[#This Row],[Institution Name]],InputResearch[],3,FALSE)</f>
        <v>605</v>
      </c>
      <c r="C85" s="281">
        <v>555</v>
      </c>
      <c r="D85" s="60">
        <f>SUMIFS(InputResearch[SRECNP Res. Exp.],InputResearch[Institution Name],SummaryTAMUS[[#This Row],[Institution Name]])</f>
        <v>1622057</v>
      </c>
      <c r="E85" s="60">
        <f>SUMIFS(InputResearch[R &amp; D Exp Not meeting narrow def],InputResearch[Institution Name],SummaryTAMUS[[#This Row],[Institution Name]])</f>
        <v>136246</v>
      </c>
      <c r="F85" s="60">
        <f>SUMIFS(InputResearch[IDC assoc w/Exp for R &amp; D],InputResearch[Institution Name],SummaryTAMUS[[#This Row],[Institution Name]])</f>
        <v>398588</v>
      </c>
      <c r="G85" s="60">
        <f>SUMIFS(InputResearch[Capital Outlay (Res Equip)],InputResearch[Institution Name],SummaryTAMUS[[#This Row],[Institution Name]])</f>
        <v>11681</v>
      </c>
      <c r="H85" s="60">
        <f>SUMIFS(InputResearch[R&amp;D Exp - Inst foundation/501(c)(3)],InputResearch[Institution Name],SummaryTAMUS[[#This Row],[Institution Name]])</f>
        <v>0</v>
      </c>
      <c r="I85" s="60">
        <f>SUMIFS(InputResearch[Pass-Thru from other Texas A&amp;M members],InputResearch[Institution Name],SummaryTAMUS[[#This Row],[Institution Name]])</f>
        <v>0</v>
      </c>
      <c r="J85" s="312">
        <f>SUMIFS(InputResearch[R &amp; D Expenses],InputResearch[Institution Name],SummaryTAMUS[[#This Row],[Institution Name]])+SummaryTAMUS[[#This Row],[Indirect Costs Associated w/ R &amp; D]]+SummaryTAMUS[[#This Row],[Capital Outlay for Research]]+SummaryTAMUS[[#This Row],[R &amp; D for 501(c)(3) or Institution''s Foundation]]+SummaryTAMUS[[#This Row],[Pass-Thru From 
TX Eng. Exp. Station]]</f>
        <v>1896080</v>
      </c>
      <c r="K85" s="60">
        <f>SUMIFS(InputResearch[Total R &amp; D Exp as a Sub],InputResearch[Institution Name],SummaryTAMUS[[#This Row],[Institution Name]])</f>
        <v>178506</v>
      </c>
      <c r="L85" s="60">
        <f>SUMIFS(InputResearch[Total R &amp; D Exp to a Sub],InputResearch[Institution Name],SummaryTAMUS[[#This Row],[Institution Name]])</f>
        <v>34580</v>
      </c>
      <c r="M85" s="56"/>
    </row>
    <row r="86" spans="1:13" ht="15.6">
      <c r="A86" s="48" t="s">
        <v>53</v>
      </c>
      <c r="B86" s="225">
        <f>VLOOKUP(SummaryTAMUS[[#This Row],[Institution Name]],InputResearch[],3,FALSE)</f>
        <v>600</v>
      </c>
      <c r="C86" s="281">
        <v>556</v>
      </c>
      <c r="D86" s="60">
        <f>SUMIFS(InputResearch[SRECNP Res. Exp.],InputResearch[Institution Name],SummaryTAMUS[[#This Row],[Institution Name]])</f>
        <v>232223591</v>
      </c>
      <c r="E86" s="60">
        <f>SUMIFS(InputResearch[R &amp; D Exp Not meeting narrow def],InputResearch[Institution Name],SummaryTAMUS[[#This Row],[Institution Name]])</f>
        <v>2615923</v>
      </c>
      <c r="F86" s="60">
        <f>SUMIFS(InputResearch[IDC assoc w/Exp for R &amp; D],InputResearch[Institution Name],SummaryTAMUS[[#This Row],[Institution Name]])</f>
        <v>24637992</v>
      </c>
      <c r="G86" s="60">
        <f>SUMIFS(InputResearch[Capital Outlay (Res Equip)],InputResearch[Institution Name],SummaryTAMUS[[#This Row],[Institution Name]])</f>
        <v>14610595</v>
      </c>
      <c r="H86" s="60">
        <f>SUMIFS(InputResearch[R&amp;D Exp - Inst foundation/501(c)(3)],InputResearch[Institution Name],SummaryTAMUS[[#This Row],[Institution Name]])</f>
        <v>274741</v>
      </c>
      <c r="I86" s="60">
        <f>SUMIFS(InputResearch[Pass-Thru from other Texas A&amp;M members],InputResearch[Institution Name],SummaryTAMUS[[#This Row],[Institution Name]])</f>
        <v>826464</v>
      </c>
      <c r="J86" s="312">
        <f>SUMIFS(InputResearch[R &amp; D Expenses],InputResearch[Institution Name],SummaryTAMUS[[#This Row],[Institution Name]])+SummaryTAMUS[[#This Row],[Indirect Costs Associated w/ R &amp; D]]+SummaryTAMUS[[#This Row],[Capital Outlay for Research]]+SummaryTAMUS[[#This Row],[R &amp; D for 501(c)(3) or Institution''s Foundation]]+SummaryTAMUS[[#This Row],[Pass-Thru From 
TX Eng. Exp. Station]]</f>
        <v>269957460</v>
      </c>
      <c r="K86" s="60">
        <f>SUMIFS(InputResearch[Total R &amp; D Exp as a Sub],InputResearch[Institution Name],SummaryTAMUS[[#This Row],[Institution Name]])</f>
        <v>25711934</v>
      </c>
      <c r="L86" s="60">
        <f>SUMIFS(InputResearch[Total R &amp; D Exp to a Sub],InputResearch[Institution Name],SummaryTAMUS[[#This Row],[Institution Name]])</f>
        <v>16988291</v>
      </c>
      <c r="M86" s="56"/>
    </row>
    <row r="87" spans="1:13" ht="15.6">
      <c r="A87" s="48" t="s">
        <v>55</v>
      </c>
      <c r="B87" s="225">
        <f>VLOOKUP(SummaryTAMUS[[#This Row],[Institution Name]],InputResearch[],3,FALSE)</f>
        <v>610</v>
      </c>
      <c r="C87" s="281">
        <v>712</v>
      </c>
      <c r="D87" s="60">
        <f>SUMIFS(InputResearch[SRECNP Res. Exp.],InputResearch[Institution Name],SummaryTAMUS[[#This Row],[Institution Name]])</f>
        <v>226168330</v>
      </c>
      <c r="E87" s="60">
        <f>SUMIFS(InputResearch[R &amp; D Exp Not meeting narrow def],InputResearch[Institution Name],SummaryTAMUS[[#This Row],[Institution Name]])</f>
        <v>3918415</v>
      </c>
      <c r="F87" s="60">
        <f>SUMIFS(InputResearch[IDC assoc w/Exp for R &amp; D],InputResearch[Institution Name],SummaryTAMUS[[#This Row],[Institution Name]])</f>
        <v>38170046</v>
      </c>
      <c r="G87" s="60">
        <f>SUMIFS(InputResearch[Capital Outlay (Res Equip)],InputResearch[Institution Name],SummaryTAMUS[[#This Row],[Institution Name]])</f>
        <v>19672490</v>
      </c>
      <c r="H87" s="60">
        <f>SUMIFS(InputResearch[R&amp;D Exp - Inst foundation/501(c)(3)],InputResearch[Institution Name],SummaryTAMUS[[#This Row],[Institution Name]])</f>
        <v>-43480</v>
      </c>
      <c r="I87" s="60">
        <f>SUMIFS(InputResearch[Pass-Thru from other Texas A&amp;M members],InputResearch[Institution Name],SummaryTAMUS[[#This Row],[Institution Name]])</f>
        <v>0</v>
      </c>
      <c r="J87" s="312">
        <f>SUMIFS(InputResearch[R &amp; D Expenses],InputResearch[Institution Name],SummaryTAMUS[[#This Row],[Institution Name]])+SummaryTAMUS[[#This Row],[Indirect Costs Associated w/ R &amp; D]]+SummaryTAMUS[[#This Row],[Capital Outlay for Research]]+SummaryTAMUS[[#This Row],[R &amp; D for 501(c)(3) or Institution''s Foundation]]+SummaryTAMUS[[#This Row],[Pass-Thru From 
TX Eng. Exp. Station]]</f>
        <v>280048971</v>
      </c>
      <c r="K87" s="60">
        <f>SUMIFS(InputResearch[Total R &amp; D Exp as a Sub],InputResearch[Institution Name],SummaryTAMUS[[#This Row],[Institution Name]])</f>
        <v>42397607</v>
      </c>
      <c r="L87" s="60">
        <f>SUMIFS(InputResearch[Total R &amp; D Exp to a Sub],InputResearch[Institution Name],SummaryTAMUS[[#This Row],[Institution Name]])</f>
        <v>45197350</v>
      </c>
      <c r="M87" s="56"/>
    </row>
    <row r="88" spans="1:13" ht="15.6">
      <c r="A88" s="48" t="s">
        <v>56</v>
      </c>
      <c r="B88" s="225">
        <f>VLOOKUP(SummaryTAMUS[[#This Row],[Institution Name]],InputResearch[],3,FALSE)</f>
        <v>615</v>
      </c>
      <c r="C88" s="281">
        <v>716</v>
      </c>
      <c r="D88" s="60">
        <f>SUMIFS(InputResearch[SRECNP Res. Exp.],InputResearch[Institution Name],SummaryTAMUS[[#This Row],[Institution Name]])</f>
        <v>0</v>
      </c>
      <c r="E88" s="60">
        <f>SUMIFS(InputResearch[R &amp; D Exp Not meeting narrow def],InputResearch[Institution Name],SummaryTAMUS[[#This Row],[Institution Name]])</f>
        <v>0</v>
      </c>
      <c r="F88" s="60">
        <f>SUMIFS(InputResearch[IDC assoc w/Exp for R &amp; D],InputResearch[Institution Name],SummaryTAMUS[[#This Row],[Institution Name]])</f>
        <v>0</v>
      </c>
      <c r="G88" s="60">
        <f>SUMIFS(InputResearch[Capital Outlay (Res Equip)],InputResearch[Institution Name],SummaryTAMUS[[#This Row],[Institution Name]])</f>
        <v>0</v>
      </c>
      <c r="H88" s="60">
        <f>SUMIFS(InputResearch[R&amp;D Exp - Inst foundation/501(c)(3)],InputResearch[Institution Name],SummaryTAMUS[[#This Row],[Institution Name]])</f>
        <v>0</v>
      </c>
      <c r="I88" s="60">
        <f>SUMIFS(InputResearch[Pass-Thru from other Texas A&amp;M members],InputResearch[Institution Name],SummaryTAMUS[[#This Row],[Institution Name]])</f>
        <v>0</v>
      </c>
      <c r="J88" s="312">
        <f>SUMIFS(InputResearch[R &amp; D Expenses],InputResearch[Institution Name],SummaryTAMUS[[#This Row],[Institution Name]])+SummaryTAMUS[[#This Row],[Indirect Costs Associated w/ R &amp; D]]+SummaryTAMUS[[#This Row],[Capital Outlay for Research]]+SummaryTAMUS[[#This Row],[R &amp; D for 501(c)(3) or Institution''s Foundation]]+SummaryTAMUS[[#This Row],[Pass-Thru From 
TX Eng. Exp. Station]]</f>
        <v>0</v>
      </c>
      <c r="K88" s="60">
        <f>SUMIFS(InputResearch[Total R &amp; D Exp as a Sub],InputResearch[Institution Name],SummaryTAMUS[[#This Row],[Institution Name]])</f>
        <v>0</v>
      </c>
      <c r="L88" s="60">
        <f>SUMIFS(InputResearch[Total R &amp; D Exp to a Sub],InputResearch[Institution Name],SummaryTAMUS[[#This Row],[Institution Name]])</f>
        <v>0</v>
      </c>
      <c r="M88" s="56"/>
    </row>
    <row r="89" spans="1:13" ht="15.6">
      <c r="A89" s="48" t="s">
        <v>57</v>
      </c>
      <c r="B89" s="225">
        <f>VLOOKUP(SummaryTAMUS[[#This Row],[Institution Name]],InputResearch[],3,FALSE)</f>
        <v>620</v>
      </c>
      <c r="C89" s="281">
        <v>576</v>
      </c>
      <c r="D89" s="60">
        <f>SUMIFS(InputResearch[SRECNP Res. Exp.],InputResearch[Institution Name],SummaryTAMUS[[#This Row],[Institution Name]])</f>
        <v>2665482</v>
      </c>
      <c r="E89" s="60">
        <f>SUMIFS(InputResearch[R &amp; D Exp Not meeting narrow def],InputResearch[Institution Name],SummaryTAMUS[[#This Row],[Institution Name]])</f>
        <v>4154</v>
      </c>
      <c r="F89" s="60">
        <f>SUMIFS(InputResearch[IDC assoc w/Exp for R &amp; D],InputResearch[Institution Name],SummaryTAMUS[[#This Row],[Institution Name]])</f>
        <v>16122</v>
      </c>
      <c r="G89" s="60">
        <f>SUMIFS(InputResearch[Capital Outlay (Res Equip)],InputResearch[Institution Name],SummaryTAMUS[[#This Row],[Institution Name]])</f>
        <v>62687</v>
      </c>
      <c r="H89" s="60">
        <f>SUMIFS(InputResearch[R&amp;D Exp - Inst foundation/501(c)(3)],InputResearch[Institution Name],SummaryTAMUS[[#This Row],[Institution Name]])</f>
        <v>0</v>
      </c>
      <c r="I89" s="60">
        <f>SUMIFS(InputResearch[Pass-Thru from other Texas A&amp;M members],InputResearch[Institution Name],SummaryTAMUS[[#This Row],[Institution Name]])</f>
        <v>0</v>
      </c>
      <c r="J89" s="312">
        <f>SUMIFS(InputResearch[R &amp; D Expenses],InputResearch[Institution Name],SummaryTAMUS[[#This Row],[Institution Name]])+SummaryTAMUS[[#This Row],[Indirect Costs Associated w/ R &amp; D]]+SummaryTAMUS[[#This Row],[Capital Outlay for Research]]+SummaryTAMUS[[#This Row],[R &amp; D for 501(c)(3) or Institution''s Foundation]]+SummaryTAMUS[[#This Row],[Pass-Thru From 
TX Eng. Exp. Station]]</f>
        <v>2740137</v>
      </c>
      <c r="K89" s="60">
        <f>SUMIFS(InputResearch[Total R &amp; D Exp as a Sub],InputResearch[Institution Name],SummaryTAMUS[[#This Row],[Institution Name]])</f>
        <v>0</v>
      </c>
      <c r="L89" s="60">
        <f>SUMIFS(InputResearch[Total R &amp; D Exp to a Sub],InputResearch[Institution Name],SummaryTAMUS[[#This Row],[Institution Name]])</f>
        <v>0</v>
      </c>
      <c r="M89" s="56"/>
    </row>
    <row r="90" spans="1:13" ht="15.6">
      <c r="A90" s="48" t="s">
        <v>61</v>
      </c>
      <c r="B90" s="225">
        <f>VLOOKUP(SummaryTAMUS[[#This Row],[Institution Name]],InputResearch[],3,FALSE)</f>
        <v>650</v>
      </c>
      <c r="C90" s="281">
        <v>708</v>
      </c>
      <c r="D90" s="60">
        <f>SUMIFS(InputResearch[SRECNP Res. Exp.],InputResearch[Institution Name],SummaryTAMUS[[#This Row],[Institution Name]])</f>
        <v>8637471</v>
      </c>
      <c r="E90" s="60">
        <f>SUMIFS(InputResearch[R &amp; D Exp Not meeting narrow def],InputResearch[Institution Name],SummaryTAMUS[[#This Row],[Institution Name]])</f>
        <v>3783274</v>
      </c>
      <c r="F90" s="60">
        <f>SUMIFS(InputResearch[IDC assoc w/Exp for R &amp; D],InputResearch[Institution Name],SummaryTAMUS[[#This Row],[Institution Name]])</f>
        <v>984959</v>
      </c>
      <c r="G90" s="60">
        <f>SUMIFS(InputResearch[Capital Outlay (Res Equip)],InputResearch[Institution Name],SummaryTAMUS[[#This Row],[Institution Name]])</f>
        <v>33245</v>
      </c>
      <c r="H90" s="60">
        <f>SUMIFS(InputResearch[R&amp;D Exp - Inst foundation/501(c)(3)],InputResearch[Institution Name],SummaryTAMUS[[#This Row],[Institution Name]])</f>
        <v>0</v>
      </c>
      <c r="I90" s="60">
        <f>SUMIFS(InputResearch[Pass-Thru from other Texas A&amp;M members],InputResearch[Institution Name],SummaryTAMUS[[#This Row],[Institution Name]])</f>
        <v>0</v>
      </c>
      <c r="J90" s="312">
        <f>SUMIFS(InputResearch[R &amp; D Expenses],InputResearch[Institution Name],SummaryTAMUS[[#This Row],[Institution Name]])+SummaryTAMUS[[#This Row],[Indirect Costs Associated w/ R &amp; D]]+SummaryTAMUS[[#This Row],[Capital Outlay for Research]]+SummaryTAMUS[[#This Row],[R &amp; D for 501(c)(3) or Institution''s Foundation]]+SummaryTAMUS[[#This Row],[Pass-Thru From 
TX Eng. Exp. Station]]</f>
        <v>5872401</v>
      </c>
      <c r="K90" s="60">
        <f>SUMIFS(InputResearch[Total R &amp; D Exp as a Sub],InputResearch[Institution Name],SummaryTAMUS[[#This Row],[Institution Name]])</f>
        <v>6753827</v>
      </c>
      <c r="L90" s="60">
        <f>SUMIFS(InputResearch[Total R &amp; D Exp to a Sub],InputResearch[Institution Name],SummaryTAMUS[[#This Row],[Institution Name]])</f>
        <v>0</v>
      </c>
      <c r="M90" s="56"/>
    </row>
    <row r="91" spans="1:13" ht="15.6">
      <c r="A91" s="48" t="s">
        <v>58</v>
      </c>
      <c r="B91" s="225">
        <f>VLOOKUP(SummaryTAMUS[[#This Row],[Institution Name]],InputResearch[],3,FALSE)</f>
        <v>625</v>
      </c>
      <c r="C91" s="281">
        <v>727</v>
      </c>
      <c r="D91" s="60">
        <f>SUMIFS(InputResearch[SRECNP Res. Exp.],InputResearch[Institution Name],SummaryTAMUS[[#This Row],[Institution Name]])</f>
        <v>92402690</v>
      </c>
      <c r="E91" s="60">
        <f>SUMIFS(InputResearch[R &amp; D Exp Not meeting narrow def],InputResearch[Institution Name],SummaryTAMUS[[#This Row],[Institution Name]])</f>
        <v>157491</v>
      </c>
      <c r="F91" s="60">
        <f>SUMIFS(InputResearch[IDC assoc w/Exp for R &amp; D],InputResearch[Institution Name],SummaryTAMUS[[#This Row],[Institution Name]])</f>
        <v>19555124</v>
      </c>
      <c r="G91" s="60">
        <f>SUMIFS(InputResearch[Capital Outlay (Res Equip)],InputResearch[Institution Name],SummaryTAMUS[[#This Row],[Institution Name]])</f>
        <v>154590</v>
      </c>
      <c r="H91" s="60">
        <f>SUMIFS(InputResearch[R&amp;D Exp - Inst foundation/501(c)(3)],InputResearch[Institution Name],SummaryTAMUS[[#This Row],[Institution Name]])</f>
        <v>0</v>
      </c>
      <c r="I91" s="60">
        <f>SUMIFS(InputResearch[Pass-Thru from other Texas A&amp;M members],InputResearch[Institution Name],SummaryTAMUS[[#This Row],[Institution Name]])</f>
        <v>0</v>
      </c>
      <c r="J91" s="312">
        <f>SUMIFS(InputResearch[R &amp; D Expenses],InputResearch[Institution Name],SummaryTAMUS[[#This Row],[Institution Name]])+SummaryTAMUS[[#This Row],[Indirect Costs Associated w/ R &amp; D]]+SummaryTAMUS[[#This Row],[Capital Outlay for Research]]+SummaryTAMUS[[#This Row],[R &amp; D for 501(c)(3) or Institution''s Foundation]]+SummaryTAMUS[[#This Row],[Pass-Thru From 
TX Eng. Exp. Station]]</f>
        <v>111954913</v>
      </c>
      <c r="K91" s="60">
        <f>SUMIFS(InputResearch[Total R &amp; D Exp as a Sub],InputResearch[Institution Name],SummaryTAMUS[[#This Row],[Institution Name]])</f>
        <v>14522532</v>
      </c>
      <c r="L91" s="60">
        <f>SUMIFS(InputResearch[Total R &amp; D Exp to a Sub],InputResearch[Institution Name],SummaryTAMUS[[#This Row],[Institution Name]])</f>
        <v>4699589</v>
      </c>
      <c r="M91" s="56"/>
    </row>
    <row r="92" spans="1:13" ht="15.6">
      <c r="A92" s="48" t="s">
        <v>829</v>
      </c>
      <c r="B92" s="225" t="str">
        <f>VLOOKUP(SummaryTAMUS[[#This Row],[Institution Name]],InputResearch[],3,FALSE)</f>
        <v>S130</v>
      </c>
      <c r="C92" s="281">
        <v>3629</v>
      </c>
      <c r="D92" s="60">
        <f>SUMIFS(InputResearch[SRECNP Res. Exp.],InputResearch[Institution Name],SummaryTAMUS[[#This Row],[Institution Name]])</f>
        <v>0</v>
      </c>
      <c r="E92" s="60">
        <f>SUMIFS(InputResearch[R &amp; D Exp Not meeting narrow def],InputResearch[Institution Name],SummaryTAMUS[[#This Row],[Institution Name]])</f>
        <v>7486745</v>
      </c>
      <c r="F92" s="60">
        <f>SUMIFS(InputResearch[IDC assoc w/Exp for R &amp; D],InputResearch[Institution Name],SummaryTAMUS[[#This Row],[Institution Name]])</f>
        <v>-7923</v>
      </c>
      <c r="G92" s="60">
        <f>SUMIFS(InputResearch[Capital Outlay (Res Equip)],InputResearch[Institution Name],SummaryTAMUS[[#This Row],[Institution Name]])</f>
        <v>0</v>
      </c>
      <c r="H92" s="60">
        <f>SUMIFS(InputResearch[R&amp;D Exp - Inst foundation/501(c)(3)],InputResearch[Institution Name],SummaryTAMUS[[#This Row],[Institution Name]])</f>
        <v>0</v>
      </c>
      <c r="I92" s="60">
        <f>SUMIFS(InputResearch[Pass-Thru from other Texas A&amp;M members],InputResearch[Institution Name],SummaryTAMUS[[#This Row],[Institution Name]])</f>
        <v>0</v>
      </c>
      <c r="J92" s="312">
        <f>SUMIFS(InputResearch[R &amp; D Expenses],InputResearch[Institution Name],SummaryTAMUS[[#This Row],[Institution Name]])+SummaryTAMUS[[#This Row],[Indirect Costs Associated w/ R &amp; D]]+SummaryTAMUS[[#This Row],[Capital Outlay for Research]]+SummaryTAMUS[[#This Row],[R &amp; D for 501(c)(3) or Institution''s Foundation]]+SummaryTAMUS[[#This Row],[Pass-Thru From 
TX Eng. Exp. Station]]</f>
        <v>229996</v>
      </c>
      <c r="K92" s="60">
        <f>SUMIFS(InputResearch[Total R &amp; D Exp as a Sub],InputResearch[Institution Name],SummaryTAMUS[[#This Row],[Institution Name]])</f>
        <v>-124572</v>
      </c>
      <c r="L92" s="60">
        <f>SUMIFS(InputResearch[Total R &amp; D Exp to a Sub],InputResearch[Institution Name],SummaryTAMUS[[#This Row],[Institution Name]])</f>
        <v>17364</v>
      </c>
      <c r="M92" s="56"/>
    </row>
    <row r="93" spans="1:13" ht="15.6">
      <c r="A93" s="48" t="s">
        <v>59</v>
      </c>
      <c r="B93" s="225">
        <f>VLOOKUP(SummaryTAMUS[[#This Row],[Institution Name]],InputResearch[],3,FALSE)</f>
        <v>630</v>
      </c>
      <c r="C93" s="281">
        <v>557</v>
      </c>
      <c r="D93" s="60">
        <f>SUMIFS(InputResearch[SRECNP Res. Exp.],InputResearch[Institution Name],SummaryTAMUS[[#This Row],[Institution Name]])</f>
        <v>542396</v>
      </c>
      <c r="E93" s="60">
        <f>SUMIFS(InputResearch[R &amp; D Exp Not meeting narrow def],InputResearch[Institution Name],SummaryTAMUS[[#This Row],[Institution Name]])</f>
        <v>0</v>
      </c>
      <c r="F93" s="60">
        <f>SUMIFS(InputResearch[IDC assoc w/Exp for R &amp; D],InputResearch[Institution Name],SummaryTAMUS[[#This Row],[Institution Name]])</f>
        <v>85349</v>
      </c>
      <c r="G93" s="60">
        <f>SUMIFS(InputResearch[Capital Outlay (Res Equip)],InputResearch[Institution Name],SummaryTAMUS[[#This Row],[Institution Name]])</f>
        <v>384820</v>
      </c>
      <c r="H93" s="60">
        <f>SUMIFS(InputResearch[R&amp;D Exp - Inst foundation/501(c)(3)],InputResearch[Institution Name],SummaryTAMUS[[#This Row],[Institution Name]])</f>
        <v>0</v>
      </c>
      <c r="I93" s="60">
        <f>SUMIFS(InputResearch[Pass-Thru from other Texas A&amp;M members],InputResearch[Institution Name],SummaryTAMUS[[#This Row],[Institution Name]])</f>
        <v>0</v>
      </c>
      <c r="J93" s="312">
        <f>SUMIFS(InputResearch[R &amp; D Expenses],InputResearch[Institution Name],SummaryTAMUS[[#This Row],[Institution Name]])+SummaryTAMUS[[#This Row],[Indirect Costs Associated w/ R &amp; D]]+SummaryTAMUS[[#This Row],[Capital Outlay for Research]]+SummaryTAMUS[[#This Row],[R &amp; D for 501(c)(3) or Institution''s Foundation]]+SummaryTAMUS[[#This Row],[Pass-Thru From 
TX Eng. Exp. Station]]</f>
        <v>1012565</v>
      </c>
      <c r="K93" s="60">
        <f>SUMIFS(InputResearch[Total R &amp; D Exp as a Sub],InputResearch[Institution Name],SummaryTAMUS[[#This Row],[Institution Name]])</f>
        <v>36553</v>
      </c>
      <c r="L93" s="60">
        <f>SUMIFS(InputResearch[Total R &amp; D Exp to a Sub],InputResearch[Institution Name],SummaryTAMUS[[#This Row],[Institution Name]])</f>
        <v>76279</v>
      </c>
      <c r="M93" s="56"/>
    </row>
    <row r="94" spans="1:13" ht="15.6">
      <c r="A94" s="48" t="s">
        <v>60</v>
      </c>
      <c r="B94" s="225">
        <f>VLOOKUP(SummaryTAMUS[[#This Row],[Institution Name]],InputResearch[],3,FALSE)</f>
        <v>640</v>
      </c>
      <c r="C94" s="281">
        <v>575</v>
      </c>
      <c r="D94" s="60">
        <f>SUMIFS(InputResearch[SRECNP Res. Exp.],InputResearch[Institution Name],SummaryTAMUS[[#This Row],[Institution Name]])</f>
        <v>0</v>
      </c>
      <c r="E94" s="60">
        <f>SUMIFS(InputResearch[R &amp; D Exp Not meeting narrow def],InputResearch[Institution Name],SummaryTAMUS[[#This Row],[Institution Name]])</f>
        <v>0</v>
      </c>
      <c r="F94" s="60">
        <f>SUMIFS(InputResearch[IDC assoc w/Exp for R &amp; D],InputResearch[Institution Name],SummaryTAMUS[[#This Row],[Institution Name]])</f>
        <v>0</v>
      </c>
      <c r="G94" s="60">
        <f>SUMIFS(InputResearch[Capital Outlay (Res Equip)],InputResearch[Institution Name],SummaryTAMUS[[#This Row],[Institution Name]])</f>
        <v>0</v>
      </c>
      <c r="H94" s="60">
        <f>SUMIFS(InputResearch[R&amp;D Exp - Inst foundation/501(c)(3)],InputResearch[Institution Name],SummaryTAMUS[[#This Row],[Institution Name]])</f>
        <v>0</v>
      </c>
      <c r="I94" s="60">
        <f>SUMIFS(InputResearch[Pass-Thru from other Texas A&amp;M members],InputResearch[Institution Name],SummaryTAMUS[[#This Row],[Institution Name]])</f>
        <v>0</v>
      </c>
      <c r="J94" s="312">
        <f>SUMIFS(InputResearch[R &amp; D Expenses],InputResearch[Institution Name],SummaryTAMUS[[#This Row],[Institution Name]])+SummaryTAMUS[[#This Row],[Indirect Costs Associated w/ R &amp; D]]+SummaryTAMUS[[#This Row],[Capital Outlay for Research]]+SummaryTAMUS[[#This Row],[R &amp; D for 501(c)(3) or Institution''s Foundation]]+SummaryTAMUS[[#This Row],[Pass-Thru From 
TX Eng. Exp. Station]]</f>
        <v>0</v>
      </c>
      <c r="K94" s="60">
        <f>SUMIFS(InputResearch[Total R &amp; D Exp as a Sub],InputResearch[Institution Name],SummaryTAMUS[[#This Row],[Institution Name]])</f>
        <v>0</v>
      </c>
      <c r="L94" s="60">
        <f>SUMIFS(InputResearch[Total R &amp; D Exp to a Sub],InputResearch[Institution Name],SummaryTAMUS[[#This Row],[Institution Name]])</f>
        <v>0</v>
      </c>
      <c r="M94" s="56"/>
    </row>
    <row r="95" spans="1:13" ht="15.6">
      <c r="B95" s="226"/>
      <c r="C95" s="74"/>
      <c r="D95" s="313">
        <f>SUBTOTAL(109,SummaryTAMUS[Research Exp. 
Per SRECNA])</f>
        <v>842361874</v>
      </c>
      <c r="E95" s="313">
        <f>SUBTOTAL(109,SummaryTAMUS[R &amp; D Not Meeting 
the Definition])</f>
        <v>44168068</v>
      </c>
      <c r="F95" s="313">
        <f>SUBTOTAL(109,SummaryTAMUS[Indirect Costs Associated w/ R &amp; D])</f>
        <v>113105241</v>
      </c>
      <c r="G95" s="313">
        <f>SUBTOTAL(109,SummaryTAMUS[Capital Outlay for Research])</f>
        <v>53707110</v>
      </c>
      <c r="H95" s="313">
        <f>SUBTOTAL(109,SummaryTAMUS[R &amp; D for 501(c)(3) or Institution''s Foundation])</f>
        <v>66034307</v>
      </c>
      <c r="I95" s="313">
        <f>SUBTOTAL(109,SummaryTAMUS[Pass-Thru From 
TX Eng. Exp. Station])</f>
        <v>826464</v>
      </c>
      <c r="J95" s="312">
        <f>SUBTOTAL(109,SummaryTAMUS[Total Research Expenditures])</f>
        <v>1039591592</v>
      </c>
      <c r="K95" s="313">
        <f>SUBTOTAL(109,SummaryTAMUS[Pass-Thru as a Subrecipient])</f>
        <v>129119192</v>
      </c>
      <c r="L95" s="313">
        <f>SUBTOTAL(109,SummaryTAMUS[Pass-Thru to a Subrecipient])</f>
        <v>80054877</v>
      </c>
      <c r="M95" s="56"/>
    </row>
    <row r="96" spans="1:13">
      <c r="B96" s="55"/>
      <c r="C96" s="55"/>
      <c r="D96" s="55"/>
      <c r="E96" s="55"/>
      <c r="F96" s="55"/>
      <c r="G96" s="55"/>
      <c r="H96" s="55"/>
      <c r="I96" s="55"/>
      <c r="J96" s="55"/>
      <c r="K96" s="55"/>
      <c r="L96" s="56"/>
      <c r="M96" s="56"/>
    </row>
    <row r="97" spans="1:13" ht="21">
      <c r="A97" s="439" t="s">
        <v>843</v>
      </c>
      <c r="B97" s="440"/>
      <c r="C97" s="440"/>
      <c r="D97" s="440"/>
      <c r="E97" s="440"/>
      <c r="F97" s="440"/>
      <c r="G97" s="440"/>
      <c r="H97" s="440"/>
      <c r="I97" s="440"/>
      <c r="J97" s="440"/>
      <c r="K97" s="440"/>
      <c r="L97" s="440"/>
      <c r="M97" s="56"/>
    </row>
    <row r="98" spans="1:13" ht="17.399999999999999">
      <c r="A98" s="438">
        <f>Hidden!$A$4</f>
        <v>45412</v>
      </c>
      <c r="B98" s="438"/>
      <c r="C98" s="438"/>
      <c r="D98" s="438"/>
      <c r="E98" s="438"/>
      <c r="F98" s="438"/>
      <c r="G98" s="438"/>
      <c r="H98" s="438"/>
      <c r="I98" s="438"/>
      <c r="J98" s="438"/>
      <c r="K98" s="438"/>
      <c r="L98" s="438"/>
      <c r="M98" s="56"/>
    </row>
    <row r="99" spans="1:13">
      <c r="A99" s="54"/>
      <c r="B99" s="55"/>
      <c r="C99" s="55"/>
      <c r="D99" s="55"/>
      <c r="E99" s="55"/>
      <c r="F99" s="55"/>
      <c r="G99" s="55"/>
      <c r="H99" s="55"/>
      <c r="I99" s="55"/>
      <c r="J99" s="55"/>
      <c r="K99" s="55"/>
      <c r="L99" s="56"/>
      <c r="M99" s="56"/>
    </row>
    <row r="100" spans="1:13" ht="31.2">
      <c r="A100" s="58" t="s">
        <v>1</v>
      </c>
      <c r="B100" s="75" t="s">
        <v>889</v>
      </c>
      <c r="C100" s="50" t="s">
        <v>2</v>
      </c>
      <c r="D100" s="50" t="s">
        <v>801</v>
      </c>
      <c r="E100" s="50" t="s">
        <v>802</v>
      </c>
      <c r="F100" s="50" t="s">
        <v>799</v>
      </c>
      <c r="G100" s="50" t="s">
        <v>800</v>
      </c>
      <c r="H100" s="50" t="s">
        <v>806</v>
      </c>
      <c r="I100" s="50" t="s">
        <v>803</v>
      </c>
      <c r="J100" s="304" t="s">
        <v>804</v>
      </c>
      <c r="K100" s="50" t="s">
        <v>849</v>
      </c>
      <c r="L100" s="50" t="s">
        <v>850</v>
      </c>
      <c r="M100" s="56"/>
    </row>
    <row r="101" spans="1:13" ht="15.6">
      <c r="A101" s="59" t="s">
        <v>825</v>
      </c>
      <c r="B101" s="147">
        <f>VLOOKUP(SummaryUNIVM[[#This Row],[Institution Name]],InputResearch[],3,FALSE)</f>
        <v>50</v>
      </c>
      <c r="C101" s="280">
        <v>3658</v>
      </c>
      <c r="D101" s="60">
        <f>SUMIFS(InputResearch[SRECNP Res. Exp.],InputResearch[Institution Name],SummaryUNIVM[[#This Row],[Institution Name]])</f>
        <v>850641174</v>
      </c>
      <c r="E101" s="60">
        <f>SUMIFS(InputResearch[R &amp; D Exp Not meeting narrow def],InputResearch[Institution Name],SummaryUNIVM[[#This Row],[Institution Name]])</f>
        <v>2922807</v>
      </c>
      <c r="F101" s="60">
        <f>SUMIFS(InputResearch[IDC assoc w/Exp for R &amp; D],InputResearch[Institution Name],SummaryUNIVM[[#This Row],[Institution Name]])</f>
        <v>157152147</v>
      </c>
      <c r="G101" s="60">
        <f>SUMIFS(InputResearch[Capital Outlay (Res Equip)],InputResearch[Institution Name],SummaryUNIVM[[#This Row],[Institution Name]])</f>
        <v>-48255629</v>
      </c>
      <c r="H101" s="60">
        <f>SUMIFS(InputResearch[R&amp;D Exp - Inst foundation/501(c)(3)],InputResearch[Institution Name],SummaryUNIVM[[#This Row],[Institution Name]])</f>
        <v>0</v>
      </c>
      <c r="I101" s="60">
        <f>SUMIFS(InputResearch[Pass-Thru from other Texas A&amp;M members],InputResearch[Institution Name],SummaryUNIVM[[#This Row],[Institution Name]])</f>
        <v>0</v>
      </c>
      <c r="J101" s="312">
        <f>SUMIFS(InputResearch[R &amp; D Expenses],InputResearch[Institution Name],SummaryUNIVM[[#This Row],[Institution Name]])+SummaryUNIVM[[#This Row],[Indirect Costs Associated w/ R &amp; D]]+SummaryUNIVM[[#This Row],[Capital Outlay for Research]]+SummaryUNIVM[[#This Row],[R &amp; D for 501(c)(3) or Institution''s Foundation]]+SummaryUNIVM[[#This Row],[Pass-Thru From 
TX Eng. Exp. Station]]</f>
        <v>956614885</v>
      </c>
      <c r="K101" s="60">
        <f>SUMIFS(InputResearch[Total R &amp; D Exp as a Sub],InputResearch[Institution Name],SummaryUNIVM[[#This Row],[Institution Name]])</f>
        <v>24483336</v>
      </c>
      <c r="L101" s="60">
        <f>SUMIFS(InputResearch[Total R &amp; D Exp to a Sub],InputResearch[Institution Name],SummaryUNIVM[[#This Row],[Institution Name]])</f>
        <v>0</v>
      </c>
      <c r="M101" s="56"/>
    </row>
    <row r="102" spans="1:13" ht="15.6">
      <c r="A102" s="48" t="s">
        <v>826</v>
      </c>
      <c r="B102" s="225">
        <f>VLOOKUP(SummaryUNIVM[[#This Row],[Institution Name]],InputResearch[],3,FALSE)</f>
        <v>90</v>
      </c>
      <c r="C102" s="280">
        <v>3599</v>
      </c>
      <c r="D102" s="60">
        <f>SUMIFS(InputResearch[SRECNP Res. Exp.],InputResearch[Institution Name],SummaryUNIVM[[#This Row],[Institution Name]])</f>
        <v>0</v>
      </c>
      <c r="E102" s="60">
        <f>SUMIFS(InputResearch[R &amp; D Exp Not meeting narrow def],InputResearch[Institution Name],SummaryUNIVM[[#This Row],[Institution Name]])</f>
        <v>4995301</v>
      </c>
      <c r="F102" s="60">
        <f>SUMIFS(InputResearch[IDC assoc w/Exp for R &amp; D],InputResearch[Institution Name],SummaryUNIVM[[#This Row],[Institution Name]])</f>
        <v>6150654</v>
      </c>
      <c r="G102" s="60">
        <f>SUMIFS(InputResearch[Capital Outlay (Res Equip)],InputResearch[Institution Name],SummaryUNIVM[[#This Row],[Institution Name]])</f>
        <v>16197100</v>
      </c>
      <c r="H102" s="60">
        <f>SUMIFS(InputResearch[R&amp;D Exp - Inst foundation/501(c)(3)],InputResearch[Institution Name],SummaryUNIVM[[#This Row],[Institution Name]])</f>
        <v>0</v>
      </c>
      <c r="I102" s="60">
        <f>SUMIFS(InputResearch[Pass-Thru from other Texas A&amp;M members],InputResearch[Institution Name],SummaryUNIVM[[#This Row],[Institution Name]])</f>
        <v>0</v>
      </c>
      <c r="J102" s="312">
        <f>SUMIFS(InputResearch[R &amp; D Expenses],InputResearch[Institution Name],SummaryUNIVM[[#This Row],[Institution Name]])+SummaryUNIVM[[#This Row],[Indirect Costs Associated w/ R &amp; D]]+SummaryUNIVM[[#This Row],[Capital Outlay for Research]]+SummaryUNIVM[[#This Row],[R &amp; D for 501(c)(3) or Institution''s Foundation]]+SummaryUNIVM[[#This Row],[Pass-Thru From 
TX Eng. Exp. Station]]</f>
        <v>77519618</v>
      </c>
      <c r="K102" s="60">
        <f>SUMIFS(InputResearch[Total R &amp; D Exp as a Sub],InputResearch[Institution Name],SummaryUNIVM[[#This Row],[Institution Name]])</f>
        <v>4639741</v>
      </c>
      <c r="L102" s="60">
        <f>SUMIFS(InputResearch[Total R &amp; D Exp to a Sub],InputResearch[Institution Name],SummaryUNIVM[[#This Row],[Institution Name]])</f>
        <v>1956513</v>
      </c>
      <c r="M102" s="56"/>
    </row>
    <row r="103" spans="1:13" s="51" customFormat="1" ht="15.6">
      <c r="A103" s="49" t="s">
        <v>827</v>
      </c>
      <c r="B103" s="50">
        <f>VLOOKUP(SummaryUNIVM[[#This Row],[Institution Name]],InputResearch[],3,FALSE)</f>
        <v>230</v>
      </c>
      <c r="C103" s="280">
        <v>3652</v>
      </c>
      <c r="D103" s="61">
        <f>SUMIFS(InputResearch[SRECNP Res. Exp.],InputResearch[Institution Name],SummaryUNIVM[[#This Row],[Institution Name]])</f>
        <v>162435219</v>
      </c>
      <c r="E103" s="61">
        <f>SUMIFS(InputResearch[R &amp; D Exp Not meeting narrow def],InputResearch[Institution Name],SummaryUNIVM[[#This Row],[Institution Name]])</f>
        <v>32398329</v>
      </c>
      <c r="F103" s="61">
        <f>SUMIFS(InputResearch[IDC assoc w/Exp for R &amp; D],InputResearch[Institution Name],SummaryUNIVM[[#This Row],[Institution Name]])</f>
        <v>28826329</v>
      </c>
      <c r="G103" s="61">
        <f>SUMIFS(InputResearch[Capital Outlay (Res Equip)],InputResearch[Institution Name],SummaryUNIVM[[#This Row],[Institution Name]])</f>
        <v>10512449</v>
      </c>
      <c r="H103" s="61">
        <f>SUMIFS(InputResearch[R&amp;D Exp - Inst foundation/501(c)(3)],InputResearch[Institution Name],SummaryUNIVM[[#This Row],[Institution Name]])</f>
        <v>0</v>
      </c>
      <c r="I103" s="61">
        <f>SUMIFS(InputResearch[Pass-Thru from other Texas A&amp;M members],InputResearch[Institution Name],SummaryUNIVM[[#This Row],[Institution Name]])</f>
        <v>0</v>
      </c>
      <c r="J103" s="314">
        <f>SUMIFS(InputResearch[R &amp; D Expenses],InputResearch[Institution Name],SummaryUNIVM[[#This Row],[Institution Name]])+SummaryUNIVM[[#This Row],[Indirect Costs Associated w/ R &amp; D]]+SummaryUNIVM[[#This Row],[Capital Outlay for Research]]+SummaryUNIVM[[#This Row],[R &amp; D for 501(c)(3) or Institution''s Foundation]]+SummaryUNIVM[[#This Row],[Pass-Thru From 
TX Eng. Exp. Station]]</f>
        <v>169375668</v>
      </c>
      <c r="K103" s="61">
        <f>SUMIFS(InputResearch[Total R &amp; D Exp as a Sub],InputResearch[Institution Name],SummaryUNIVM[[#This Row],[Institution Name]])</f>
        <v>0</v>
      </c>
      <c r="L103" s="61">
        <f>SUMIFS(InputResearch[Total R &amp; D Exp to a Sub],InputResearch[Institution Name],SummaryUNIVM[[#This Row],[Institution Name]])</f>
        <v>0</v>
      </c>
      <c r="M103" s="57"/>
    </row>
    <row r="104" spans="1:13" ht="15.6">
      <c r="A104" s="48" t="s">
        <v>841</v>
      </c>
      <c r="B104" s="225">
        <f>VLOOKUP(SummaryUNIVM[[#This Row],[Institution Name]],InputResearch[],3,FALSE)</f>
        <v>280</v>
      </c>
      <c r="C104" s="280">
        <v>3606</v>
      </c>
      <c r="D104" s="60">
        <f>SUMIFS(InputResearch[SRECNP Res. Exp.],InputResearch[Institution Name],SummaryUNIVM[[#This Row],[Institution Name]])</f>
        <v>11629153</v>
      </c>
      <c r="E104" s="60">
        <f>SUMIFS(InputResearch[R &amp; D Exp Not meeting narrow def],InputResearch[Institution Name],SummaryUNIVM[[#This Row],[Institution Name]])</f>
        <v>574560</v>
      </c>
      <c r="F104" s="60">
        <f>SUMIFS(InputResearch[IDC assoc w/Exp for R &amp; D],InputResearch[Institution Name],SummaryUNIVM[[#This Row],[Institution Name]])</f>
        <v>865940</v>
      </c>
      <c r="G104" s="60">
        <f>SUMIFS(InputResearch[Capital Outlay (Res Equip)],InputResearch[Institution Name],SummaryUNIVM[[#This Row],[Institution Name]])</f>
        <v>307180</v>
      </c>
      <c r="H104" s="60">
        <f>SUMIFS(InputResearch[R&amp;D Exp - Inst foundation/501(c)(3)],InputResearch[Institution Name],SummaryUNIVM[[#This Row],[Institution Name]])</f>
        <v>0</v>
      </c>
      <c r="I104" s="60">
        <f>SUMIFS(InputResearch[Pass-Thru from other Texas A&amp;M members],InputResearch[Institution Name],SummaryUNIVM[[#This Row],[Institution Name]])</f>
        <v>0</v>
      </c>
      <c r="J104" s="312">
        <f>SUMIFS(InputResearch[R &amp; D Expenses],InputResearch[Institution Name],SummaryUNIVM[[#This Row],[Institution Name]])+SummaryUNIVM[[#This Row],[Indirect Costs Associated w/ R &amp; D]]+SummaryUNIVM[[#This Row],[Capital Outlay for Research]]+SummaryUNIVM[[#This Row],[R &amp; D for 501(c)(3) or Institution''s Foundation]]+SummaryUNIVM[[#This Row],[Pass-Thru From 
TX Eng. Exp. Station]]</f>
        <v>12227713</v>
      </c>
      <c r="K104" s="60">
        <f>SUMIFS(InputResearch[Total R &amp; D Exp as a Sub],InputResearch[Institution Name],SummaryUNIVM[[#This Row],[Institution Name]])</f>
        <v>589513</v>
      </c>
      <c r="L104" s="60">
        <f>SUMIFS(InputResearch[Total R &amp; D Exp to a Sub],InputResearch[Institution Name],SummaryUNIVM[[#This Row],[Institution Name]])</f>
        <v>743104</v>
      </c>
      <c r="M104" s="56"/>
    </row>
    <row r="105" spans="1:13" ht="15.6">
      <c r="B105" s="226"/>
      <c r="D105" s="313">
        <f>SUBTOTAL(109,SummaryUNIVM[Research Exp. 
Per SRECNA])</f>
        <v>1024705546</v>
      </c>
      <c r="E105" s="313">
        <f>SUBTOTAL(109,SummaryUNIVM[R &amp; D Not Meeting 
the Definition])</f>
        <v>40890997</v>
      </c>
      <c r="F105" s="313">
        <f>SUBTOTAL(109,SummaryUNIVM[Indirect Costs Associated w/ R &amp; D])</f>
        <v>192995070</v>
      </c>
      <c r="G105" s="313">
        <f>SUBTOTAL(109,SummaryUNIVM[Capital Outlay for Research])</f>
        <v>-21238900</v>
      </c>
      <c r="H105" s="313">
        <f>SUBTOTAL(109,SummaryUNIVM[R &amp; D for 501(c)(3) or Institution''s Foundation])</f>
        <v>0</v>
      </c>
      <c r="I105" s="313">
        <f>SUBTOTAL(109,SummaryUNIVM[Pass-Thru From 
TX Eng. Exp. Station])</f>
        <v>0</v>
      </c>
      <c r="J105" s="312">
        <f>SUBTOTAL(109,SummaryUNIVM[Total Research Expenditures])</f>
        <v>1215737884</v>
      </c>
      <c r="K105" s="313">
        <f>SUBTOTAL(109,SummaryUNIVM[Pass-Thru as a Subrecipient])</f>
        <v>29712590</v>
      </c>
      <c r="L105" s="313">
        <f>SUBTOTAL(109,SummaryUNIVM[Pass-Thru to a Subrecipient])</f>
        <v>2699617</v>
      </c>
      <c r="M105" s="56"/>
    </row>
    <row r="106" spans="1:13">
      <c r="B106" s="55"/>
      <c r="C106" s="55"/>
      <c r="D106" s="55"/>
      <c r="E106" s="55"/>
      <c r="F106" s="55"/>
      <c r="G106" s="55"/>
      <c r="H106" s="55"/>
      <c r="I106" s="55"/>
      <c r="J106" s="55"/>
      <c r="K106" s="55"/>
      <c r="L106" s="56"/>
      <c r="M106" s="56"/>
    </row>
    <row r="107" spans="1:13" ht="21">
      <c r="A107" s="439" t="s">
        <v>675</v>
      </c>
      <c r="B107" s="440"/>
      <c r="C107" s="440"/>
      <c r="D107" s="440"/>
      <c r="E107" s="440"/>
      <c r="F107" s="440"/>
      <c r="G107" s="440"/>
      <c r="H107" s="440"/>
      <c r="I107" s="440"/>
      <c r="J107" s="440"/>
      <c r="K107" s="440"/>
      <c r="L107" s="440"/>
      <c r="M107" s="56"/>
    </row>
    <row r="108" spans="1:13" ht="17.399999999999999">
      <c r="A108" s="438">
        <f>Hidden!$A$4</f>
        <v>45412</v>
      </c>
      <c r="B108" s="438"/>
      <c r="C108" s="438"/>
      <c r="D108" s="438"/>
      <c r="E108" s="438"/>
      <c r="F108" s="438"/>
      <c r="G108" s="438"/>
      <c r="H108" s="438"/>
      <c r="I108" s="438"/>
      <c r="J108" s="438"/>
      <c r="K108" s="438"/>
      <c r="L108" s="438"/>
      <c r="M108" s="56"/>
    </row>
    <row r="109" spans="1:13">
      <c r="A109" s="54"/>
      <c r="B109" s="55"/>
      <c r="C109" s="55"/>
      <c r="D109" s="55"/>
      <c r="E109" s="55"/>
      <c r="F109" s="55"/>
      <c r="G109" s="55"/>
      <c r="H109" s="55"/>
      <c r="I109" s="55"/>
      <c r="J109" s="55"/>
      <c r="K109" s="55"/>
      <c r="L109" s="56"/>
      <c r="M109" s="56"/>
    </row>
    <row r="110" spans="1:13" ht="31.2">
      <c r="A110" s="58" t="s">
        <v>1</v>
      </c>
      <c r="B110" s="75" t="s">
        <v>889</v>
      </c>
      <c r="C110" s="50" t="s">
        <v>2</v>
      </c>
      <c r="D110" s="50" t="s">
        <v>801</v>
      </c>
      <c r="E110" s="50" t="s">
        <v>802</v>
      </c>
      <c r="F110" s="50" t="s">
        <v>799</v>
      </c>
      <c r="G110" s="50" t="s">
        <v>800</v>
      </c>
      <c r="H110" s="50" t="s">
        <v>806</v>
      </c>
      <c r="I110" s="50" t="s">
        <v>803</v>
      </c>
      <c r="J110" s="304" t="s">
        <v>804</v>
      </c>
      <c r="K110" s="50" t="s">
        <v>849</v>
      </c>
      <c r="L110" s="50" t="s">
        <v>850</v>
      </c>
      <c r="M110" s="56"/>
    </row>
    <row r="111" spans="1:13" ht="15.6">
      <c r="A111" s="48" t="s">
        <v>305</v>
      </c>
      <c r="B111" s="147" t="s">
        <v>439</v>
      </c>
      <c r="C111" s="280">
        <v>3537</v>
      </c>
      <c r="D111" s="53">
        <f>SUMIFS(InputResearch[SRECNP Res. Exp.],InputResearch[Institution Name],SummaryPVT[[#This Row],[Institution Name]])</f>
        <v>5963753</v>
      </c>
      <c r="E111" s="53">
        <f>SUMIFS(InputResearch[R &amp; D Exp Not meeting narrow def],InputResearch[Institution Name],SummaryPVT[[#This Row],[Institution Name]])</f>
        <v>0</v>
      </c>
      <c r="F111" s="53">
        <f>SUMIFS(InputResearch[IDC assoc w/Exp for R &amp; D],InputResearch[Institution Name],SummaryPVT[[#This Row],[Institution Name]])</f>
        <v>1448826</v>
      </c>
      <c r="G111" s="53">
        <f>SUMIFS(InputResearch[Capital Outlay (Res Equip)],InputResearch[Institution Name],SummaryPVT[[#This Row],[Institution Name]])</f>
        <v>0</v>
      </c>
      <c r="H111" s="53">
        <f>SUMIFS(InputResearch[R&amp;D Exp - Inst foundation/501(c)(3)],InputResearch[Institution Name],SummaryPVT[[#This Row],[Institution Name]])</f>
        <v>0</v>
      </c>
      <c r="I111" s="53">
        <f>SUMIFS(InputResearch[Pass-Thru from other Texas A&amp;M members],InputResearch[Institution Name],SummaryPVT[[#This Row],[Institution Name]])</f>
        <v>0</v>
      </c>
      <c r="J111"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7412579</v>
      </c>
      <c r="K111" s="53">
        <f>SUMIFS(InputResearch[Total R &amp; D Exp as a Sub],InputResearch[Institution Name],SummaryPVT[[#This Row],[Institution Name]])</f>
        <v>0</v>
      </c>
      <c r="L111" s="53">
        <f>SUMIFS(InputResearch[Total R &amp; D Exp to a Sub],InputResearch[Institution Name],SummaryPVT[[#This Row],[Institution Name]])</f>
        <v>0</v>
      </c>
      <c r="M111" s="56"/>
    </row>
    <row r="112" spans="1:13" ht="15.6">
      <c r="A112" s="48" t="s">
        <v>297</v>
      </c>
      <c r="B112" s="147" t="s">
        <v>439</v>
      </c>
      <c r="C112" s="280">
        <v>3543</v>
      </c>
      <c r="D112" s="53">
        <f>SUMIFS(InputResearch[SRECNP Res. Exp.],InputResearch[Institution Name],SummaryPVT[[#This Row],[Institution Name]])</f>
        <v>383478</v>
      </c>
      <c r="E112" s="53">
        <f>SUMIFS(InputResearch[R &amp; D Exp Not meeting narrow def],InputResearch[Institution Name],SummaryPVT[[#This Row],[Institution Name]])</f>
        <v>0</v>
      </c>
      <c r="F112" s="53">
        <f>SUMIFS(InputResearch[IDC assoc w/Exp for R &amp; D],InputResearch[Institution Name],SummaryPVT[[#This Row],[Institution Name]])</f>
        <v>0</v>
      </c>
      <c r="G112" s="53">
        <f>SUMIFS(InputResearch[Capital Outlay (Res Equip)],InputResearch[Institution Name],SummaryPVT[[#This Row],[Institution Name]])</f>
        <v>0</v>
      </c>
      <c r="H112" s="53">
        <f>SUMIFS(InputResearch[R&amp;D Exp - Inst foundation/501(c)(3)],InputResearch[Institution Name],SummaryPVT[[#This Row],[Institution Name]])</f>
        <v>0</v>
      </c>
      <c r="I112" s="53">
        <f>SUMIFS(InputResearch[Pass-Thru from other Texas A&amp;M members],InputResearch[Institution Name],SummaryPVT[[#This Row],[Institution Name]])</f>
        <v>0</v>
      </c>
      <c r="J112"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383478</v>
      </c>
      <c r="K112" s="53">
        <f>SUMIFS(InputResearch[Total R &amp; D Exp as a Sub],InputResearch[Institution Name],SummaryPVT[[#This Row],[Institution Name]])</f>
        <v>0</v>
      </c>
      <c r="L112" s="53">
        <f>SUMIFS(InputResearch[Total R &amp; D Exp to a Sub],InputResearch[Institution Name],SummaryPVT[[#This Row],[Institution Name]])</f>
        <v>0</v>
      </c>
      <c r="M112" s="56"/>
    </row>
    <row r="113" spans="1:13" ht="15.6">
      <c r="A113" s="48" t="s">
        <v>306</v>
      </c>
      <c r="B113" s="147" t="s">
        <v>439</v>
      </c>
      <c r="C113" s="280">
        <v>3545</v>
      </c>
      <c r="D113" s="53">
        <f>SUMIFS(InputResearch[SRECNP Res. Exp.],InputResearch[Institution Name],SummaryPVT[[#This Row],[Institution Name]])</f>
        <v>73398735</v>
      </c>
      <c r="E113" s="53">
        <f>SUMIFS(InputResearch[R &amp; D Exp Not meeting narrow def],InputResearch[Institution Name],SummaryPVT[[#This Row],[Institution Name]])</f>
        <v>8457136</v>
      </c>
      <c r="F113" s="53">
        <f>SUMIFS(InputResearch[IDC assoc w/Exp for R &amp; D],InputResearch[Institution Name],SummaryPVT[[#This Row],[Institution Name]])</f>
        <v>5327759</v>
      </c>
      <c r="G113" s="53">
        <f>SUMIFS(InputResearch[Capital Outlay (Res Equip)],InputResearch[Institution Name],SummaryPVT[[#This Row],[Institution Name]])</f>
        <v>6786131</v>
      </c>
      <c r="H113" s="53">
        <f>SUMIFS(InputResearch[R&amp;D Exp - Inst foundation/501(c)(3)],InputResearch[Institution Name],SummaryPVT[[#This Row],[Institution Name]])</f>
        <v>0</v>
      </c>
      <c r="I113" s="53">
        <f>SUMIFS(InputResearch[Pass-Thru from other Texas A&amp;M members],InputResearch[Institution Name],SummaryPVT[[#This Row],[Institution Name]])</f>
        <v>0</v>
      </c>
      <c r="J113"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77055489</v>
      </c>
      <c r="K113" s="53">
        <f>SUMIFS(InputResearch[Total R &amp; D Exp as a Sub],InputResearch[Institution Name],SummaryPVT[[#This Row],[Institution Name]])</f>
        <v>4642450</v>
      </c>
      <c r="L113" s="53">
        <f>SUMIFS(InputResearch[Total R &amp; D Exp to a Sub],InputResearch[Institution Name],SummaryPVT[[#This Row],[Institution Name]])</f>
        <v>3396859</v>
      </c>
      <c r="M113" s="56"/>
    </row>
    <row r="114" spans="1:13" ht="15.6">
      <c r="A114" s="48" t="s">
        <v>690</v>
      </c>
      <c r="B114" s="147" t="s">
        <v>439</v>
      </c>
      <c r="C114" s="280">
        <v>3564</v>
      </c>
      <c r="D114" s="53">
        <f>SUMIFS(InputResearch[SRECNP Res. Exp.],InputResearch[Institution Name],SummaryPVT[[#This Row],[Institution Name]])</f>
        <v>10734</v>
      </c>
      <c r="E114" s="53">
        <f>SUMIFS(InputResearch[R &amp; D Exp Not meeting narrow def],InputResearch[Institution Name],SummaryPVT[[#This Row],[Institution Name]])</f>
        <v>0</v>
      </c>
      <c r="F114" s="53">
        <f>SUMIFS(InputResearch[IDC assoc w/Exp for R &amp; D],InputResearch[Institution Name],SummaryPVT[[#This Row],[Institution Name]])</f>
        <v>0</v>
      </c>
      <c r="G114" s="53">
        <f>SUMIFS(InputResearch[Capital Outlay (Res Equip)],InputResearch[Institution Name],SummaryPVT[[#This Row],[Institution Name]])</f>
        <v>0</v>
      </c>
      <c r="H114" s="53">
        <f>SUMIFS(InputResearch[R&amp;D Exp - Inst foundation/501(c)(3)],InputResearch[Institution Name],SummaryPVT[[#This Row],[Institution Name]])</f>
        <v>0</v>
      </c>
      <c r="I114" s="53">
        <f>SUMIFS(InputResearch[Pass-Thru from other Texas A&amp;M members],InputResearch[Institution Name],SummaryPVT[[#This Row],[Institution Name]])</f>
        <v>0</v>
      </c>
      <c r="J114"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10734</v>
      </c>
      <c r="K114" s="53">
        <f>SUMIFS(InputResearch[Total R &amp; D Exp as a Sub],InputResearch[Institution Name],SummaryPVT[[#This Row],[Institution Name]])</f>
        <v>0</v>
      </c>
      <c r="L114" s="53">
        <f>SUMIFS(InputResearch[Total R &amp; D Exp to a Sub],InputResearch[Institution Name],SummaryPVT[[#This Row],[Institution Name]])</f>
        <v>0</v>
      </c>
      <c r="M114" s="56"/>
    </row>
    <row r="115" spans="1:13" ht="15.6">
      <c r="A115" s="48" t="s">
        <v>308</v>
      </c>
      <c r="B115" s="147" t="s">
        <v>439</v>
      </c>
      <c r="C115" s="280">
        <v>3577</v>
      </c>
      <c r="D115" s="53">
        <f>SUMIFS(InputResearch[SRECNP Res. Exp.],InputResearch[Institution Name],SummaryPVT[[#This Row],[Institution Name]])</f>
        <v>0</v>
      </c>
      <c r="E115" s="53">
        <f>SUMIFS(InputResearch[R &amp; D Exp Not meeting narrow def],InputResearch[Institution Name],SummaryPVT[[#This Row],[Institution Name]])</f>
        <v>0</v>
      </c>
      <c r="F115" s="53">
        <f>SUMIFS(InputResearch[IDC assoc w/Exp for R &amp; D],InputResearch[Institution Name],SummaryPVT[[#This Row],[Institution Name]])</f>
        <v>0</v>
      </c>
      <c r="G115" s="53">
        <f>SUMIFS(InputResearch[Capital Outlay (Res Equip)],InputResearch[Institution Name],SummaryPVT[[#This Row],[Institution Name]])</f>
        <v>0</v>
      </c>
      <c r="H115" s="53">
        <f>SUMIFS(InputResearch[R&amp;D Exp - Inst foundation/501(c)(3)],InputResearch[Institution Name],SummaryPVT[[#This Row],[Institution Name]])</f>
        <v>0</v>
      </c>
      <c r="I115" s="53">
        <f>SUMIFS(InputResearch[Pass-Thru from other Texas A&amp;M members],InputResearch[Institution Name],SummaryPVT[[#This Row],[Institution Name]])</f>
        <v>300000</v>
      </c>
      <c r="J115"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300000</v>
      </c>
      <c r="K115" s="53">
        <f>SUMIFS(InputResearch[Total R &amp; D Exp as a Sub],InputResearch[Institution Name],SummaryPVT[[#This Row],[Institution Name]])</f>
        <v>300000</v>
      </c>
      <c r="L115" s="53">
        <f>SUMIFS(InputResearch[Total R &amp; D Exp to a Sub],InputResearch[Institution Name],SummaryPVT[[#This Row],[Institution Name]])</f>
        <v>0</v>
      </c>
      <c r="M115" s="56"/>
    </row>
    <row r="116" spans="1:13" ht="15.6">
      <c r="A116" s="48" t="s">
        <v>691</v>
      </c>
      <c r="B116" s="147" t="s">
        <v>439</v>
      </c>
      <c r="C116" s="280">
        <v>3584</v>
      </c>
      <c r="D116" s="53">
        <f>SUMIFS(InputResearch[SRECNP Res. Exp.],InputResearch[Institution Name],SummaryPVT[[#This Row],[Institution Name]])</f>
        <v>152190</v>
      </c>
      <c r="E116" s="53">
        <f>SUMIFS(InputResearch[R &amp; D Exp Not meeting narrow def],InputResearch[Institution Name],SummaryPVT[[#This Row],[Institution Name]])</f>
        <v>0</v>
      </c>
      <c r="F116" s="53">
        <f>SUMIFS(InputResearch[IDC assoc w/Exp for R &amp; D],InputResearch[Institution Name],SummaryPVT[[#This Row],[Institution Name]])</f>
        <v>23021</v>
      </c>
      <c r="G116" s="53">
        <f>SUMIFS(InputResearch[Capital Outlay (Res Equip)],InputResearch[Institution Name],SummaryPVT[[#This Row],[Institution Name]])</f>
        <v>0</v>
      </c>
      <c r="H116" s="53">
        <f>SUMIFS(InputResearch[R&amp;D Exp - Inst foundation/501(c)(3)],InputResearch[Institution Name],SummaryPVT[[#This Row],[Institution Name]])</f>
        <v>0</v>
      </c>
      <c r="I116" s="53">
        <f>SUMIFS(InputResearch[Pass-Thru from other Texas A&amp;M members],InputResearch[Institution Name],SummaryPVT[[#This Row],[Institution Name]])</f>
        <v>0</v>
      </c>
      <c r="J116"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175211</v>
      </c>
      <c r="K116" s="53">
        <f>SUMIFS(InputResearch[Total R &amp; D Exp as a Sub],InputResearch[Institution Name],SummaryPVT[[#This Row],[Institution Name]])</f>
        <v>0</v>
      </c>
      <c r="L116" s="53">
        <f>SUMIFS(InputResearch[Total R &amp; D Exp to a Sub],InputResearch[Institution Name],SummaryPVT[[#This Row],[Institution Name]])</f>
        <v>0</v>
      </c>
      <c r="M116" s="56"/>
    </row>
    <row r="117" spans="1:13" ht="15.6">
      <c r="A117" s="48" t="s">
        <v>692</v>
      </c>
      <c r="B117" s="147" t="s">
        <v>439</v>
      </c>
      <c r="C117" s="280">
        <v>3591</v>
      </c>
      <c r="D117" s="53">
        <f>SUMIFS(InputResearch[SRECNP Res. Exp.],InputResearch[Institution Name],SummaryPVT[[#This Row],[Institution Name]])</f>
        <v>89419</v>
      </c>
      <c r="E117" s="53">
        <f>SUMIFS(InputResearch[R &amp; D Exp Not meeting narrow def],InputResearch[Institution Name],SummaryPVT[[#This Row],[Institution Name]])</f>
        <v>0</v>
      </c>
      <c r="F117" s="53">
        <f>SUMIFS(InputResearch[IDC assoc w/Exp for R &amp; D],InputResearch[Institution Name],SummaryPVT[[#This Row],[Institution Name]])</f>
        <v>0</v>
      </c>
      <c r="G117" s="53">
        <f>SUMIFS(InputResearch[Capital Outlay (Res Equip)],InputResearch[Institution Name],SummaryPVT[[#This Row],[Institution Name]])</f>
        <v>0</v>
      </c>
      <c r="H117" s="53">
        <f>SUMIFS(InputResearch[R&amp;D Exp - Inst foundation/501(c)(3)],InputResearch[Institution Name],SummaryPVT[[#This Row],[Institution Name]])</f>
        <v>0</v>
      </c>
      <c r="I117" s="53">
        <f>SUMIFS(InputResearch[Pass-Thru from other Texas A&amp;M members],InputResearch[Institution Name],SummaryPVT[[#This Row],[Institution Name]])</f>
        <v>0</v>
      </c>
      <c r="J117"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89419</v>
      </c>
      <c r="K117" s="53">
        <f>SUMIFS(InputResearch[Total R &amp; D Exp as a Sub],InputResearch[Institution Name],SummaryPVT[[#This Row],[Institution Name]])</f>
        <v>0</v>
      </c>
      <c r="L117" s="53">
        <f>SUMIFS(InputResearch[Total R &amp; D Exp to a Sub],InputResearch[Institution Name],SummaryPVT[[#This Row],[Institution Name]])</f>
        <v>0</v>
      </c>
      <c r="M117" s="56"/>
    </row>
    <row r="118" spans="1:13" ht="15.6">
      <c r="A118" s="48" t="s">
        <v>311</v>
      </c>
      <c r="B118" s="147" t="s">
        <v>439</v>
      </c>
      <c r="C118" s="280">
        <v>23053</v>
      </c>
      <c r="D118" s="53">
        <f>SUMIFS(InputResearch[SRECNP Res. Exp.],InputResearch[Institution Name],SummaryPVT[[#This Row],[Institution Name]])</f>
        <v>587000</v>
      </c>
      <c r="E118" s="53">
        <f>SUMIFS(InputResearch[R &amp; D Exp Not meeting narrow def],InputResearch[Institution Name],SummaryPVT[[#This Row],[Institution Name]])</f>
        <v>0</v>
      </c>
      <c r="F118" s="53">
        <f>SUMIFS(InputResearch[IDC assoc w/Exp for R &amp; D],InputResearch[Institution Name],SummaryPVT[[#This Row],[Institution Name]])</f>
        <v>0</v>
      </c>
      <c r="G118" s="53">
        <f>SUMIFS(InputResearch[Capital Outlay (Res Equip)],InputResearch[Institution Name],SummaryPVT[[#This Row],[Institution Name]])</f>
        <v>0</v>
      </c>
      <c r="H118" s="53">
        <f>SUMIFS(InputResearch[R&amp;D Exp - Inst foundation/501(c)(3)],InputResearch[Institution Name],SummaryPVT[[#This Row],[Institution Name]])</f>
        <v>0</v>
      </c>
      <c r="I118" s="53">
        <f>SUMIFS(InputResearch[Pass-Thru from other Texas A&amp;M members],InputResearch[Institution Name],SummaryPVT[[#This Row],[Institution Name]])</f>
        <v>0</v>
      </c>
      <c r="J118"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587000</v>
      </c>
      <c r="K118" s="53">
        <f>SUMIFS(InputResearch[Total R &amp; D Exp as a Sub],InputResearch[Institution Name],SummaryPVT[[#This Row],[Institution Name]])</f>
        <v>0</v>
      </c>
      <c r="L118" s="53">
        <f>SUMIFS(InputResearch[Total R &amp; D Exp to a Sub],InputResearch[Institution Name],SummaryPVT[[#This Row],[Institution Name]])</f>
        <v>0</v>
      </c>
      <c r="M118" s="56"/>
    </row>
    <row r="119" spans="1:13" ht="15.6">
      <c r="A119" s="48" t="s">
        <v>312</v>
      </c>
      <c r="B119" s="147" t="s">
        <v>439</v>
      </c>
      <c r="C119" s="280">
        <v>3613</v>
      </c>
      <c r="D119" s="53">
        <f>SUMIFS(InputResearch[SRECNP Res. Exp.],InputResearch[Institution Name],SummaryPVT[[#This Row],[Institution Name]])</f>
        <v>41763337</v>
      </c>
      <c r="E119" s="53">
        <f>SUMIFS(InputResearch[R &amp; D Exp Not meeting narrow def],InputResearch[Institution Name],SummaryPVT[[#This Row],[Institution Name]])</f>
        <v>632577</v>
      </c>
      <c r="F119" s="53">
        <f>SUMIFS(InputResearch[IDC assoc w/Exp for R &amp; D],InputResearch[Institution Name],SummaryPVT[[#This Row],[Institution Name]])</f>
        <v>5693638</v>
      </c>
      <c r="G119" s="53">
        <f>SUMIFS(InputResearch[Capital Outlay (Res Equip)],InputResearch[Institution Name],SummaryPVT[[#This Row],[Institution Name]])</f>
        <v>143905</v>
      </c>
      <c r="H119" s="53">
        <f>SUMIFS(InputResearch[R&amp;D Exp - Inst foundation/501(c)(3)],InputResearch[Institution Name],SummaryPVT[[#This Row],[Institution Name]])</f>
        <v>0</v>
      </c>
      <c r="I119" s="53">
        <f>SUMIFS(InputResearch[Pass-Thru from other Texas A&amp;M members],InputResearch[Institution Name],SummaryPVT[[#This Row],[Institution Name]])</f>
        <v>0</v>
      </c>
      <c r="J119"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46968303</v>
      </c>
      <c r="K119" s="53">
        <f>SUMIFS(InputResearch[Total R &amp; D Exp as a Sub],InputResearch[Institution Name],SummaryPVT[[#This Row],[Institution Name]])</f>
        <v>4936757</v>
      </c>
      <c r="L119" s="53">
        <f>SUMIFS(InputResearch[Total R &amp; D Exp to a Sub],InputResearch[Institution Name],SummaryPVT[[#This Row],[Institution Name]])</f>
        <v>2114647</v>
      </c>
      <c r="M119" s="56"/>
    </row>
    <row r="120" spans="1:13" ht="15.6">
      <c r="A120" s="48" t="s">
        <v>313</v>
      </c>
      <c r="B120" s="147" t="s">
        <v>439</v>
      </c>
      <c r="C120" s="280">
        <v>3620</v>
      </c>
      <c r="D120" s="53">
        <f>SUMIFS(InputResearch[SRECNP Res. Exp.],InputResearch[Institution Name],SummaryPVT[[#This Row],[Institution Name]])</f>
        <v>638271</v>
      </c>
      <c r="E120" s="53">
        <f>SUMIFS(InputResearch[R &amp; D Exp Not meeting narrow def],InputResearch[Institution Name],SummaryPVT[[#This Row],[Institution Name]])</f>
        <v>433898</v>
      </c>
      <c r="F120" s="53">
        <f>SUMIFS(InputResearch[IDC assoc w/Exp for R &amp; D],InputResearch[Institution Name],SummaryPVT[[#This Row],[Institution Name]])</f>
        <v>35494</v>
      </c>
      <c r="G120" s="53">
        <f>SUMIFS(InputResearch[Capital Outlay (Res Equip)],InputResearch[Institution Name],SummaryPVT[[#This Row],[Institution Name]])</f>
        <v>0</v>
      </c>
      <c r="H120" s="53">
        <f>SUMIFS(InputResearch[R&amp;D Exp - Inst foundation/501(c)(3)],InputResearch[Institution Name],SummaryPVT[[#This Row],[Institution Name]])</f>
        <v>0</v>
      </c>
      <c r="I120" s="53">
        <f>SUMIFS(InputResearch[Pass-Thru from other Texas A&amp;M members],InputResearch[Institution Name],SummaryPVT[[#This Row],[Institution Name]])</f>
        <v>0</v>
      </c>
      <c r="J120"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239867</v>
      </c>
      <c r="K120" s="53">
        <f>SUMIFS(InputResearch[Total R &amp; D Exp as a Sub],InputResearch[Institution Name],SummaryPVT[[#This Row],[Institution Name]])</f>
        <v>0</v>
      </c>
      <c r="L120" s="53">
        <f>SUMIFS(InputResearch[Total R &amp; D Exp to a Sub],InputResearch[Institution Name],SummaryPVT[[#This Row],[Institution Name]])</f>
        <v>0</v>
      </c>
      <c r="M120" s="56"/>
    </row>
    <row r="121" spans="1:13" ht="15.6">
      <c r="A121" s="48" t="s">
        <v>318</v>
      </c>
      <c r="B121" s="147" t="s">
        <v>439</v>
      </c>
      <c r="C121" s="280">
        <v>3636</v>
      </c>
      <c r="D121" s="53">
        <f>SUMIFS(InputResearch[SRECNP Res. Exp.],InputResearch[Institution Name],SummaryPVT[[#This Row],[Institution Name]])</f>
        <v>14593510</v>
      </c>
      <c r="E121" s="53">
        <f>SUMIFS(InputResearch[R &amp; D Exp Not meeting narrow def],InputResearch[Institution Name],SummaryPVT[[#This Row],[Institution Name]])</f>
        <v>2227552</v>
      </c>
      <c r="F121" s="53">
        <f>SUMIFS(InputResearch[IDC assoc w/Exp for R &amp; D],InputResearch[Institution Name],SummaryPVT[[#This Row],[Institution Name]])</f>
        <v>1838821</v>
      </c>
      <c r="G121" s="53">
        <f>SUMIFS(InputResearch[Capital Outlay (Res Equip)],InputResearch[Institution Name],SummaryPVT[[#This Row],[Institution Name]])</f>
        <v>0</v>
      </c>
      <c r="H121" s="53">
        <f>SUMIFS(InputResearch[R&amp;D Exp - Inst foundation/501(c)(3)],InputResearch[Institution Name],SummaryPVT[[#This Row],[Institution Name]])</f>
        <v>0</v>
      </c>
      <c r="I121" s="53">
        <f>SUMIFS(InputResearch[Pass-Thru from other Texas A&amp;M members],InputResearch[Institution Name],SummaryPVT[[#This Row],[Institution Name]])</f>
        <v>0</v>
      </c>
      <c r="J121"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14204779</v>
      </c>
      <c r="K121" s="53">
        <f>SUMIFS(InputResearch[Total R &amp; D Exp as a Sub],InputResearch[Institution Name],SummaryPVT[[#This Row],[Institution Name]])</f>
        <v>748415</v>
      </c>
      <c r="L121" s="53">
        <f>SUMIFS(InputResearch[Total R &amp; D Exp to a Sub],InputResearch[Institution Name],SummaryPVT[[#This Row],[Institution Name]])</f>
        <v>838912</v>
      </c>
      <c r="M121" s="56"/>
    </row>
    <row r="122" spans="1:13" ht="15.6">
      <c r="A122" s="48" t="s">
        <v>315</v>
      </c>
      <c r="B122" s="147" t="s">
        <v>439</v>
      </c>
      <c r="C122" s="280">
        <v>3641</v>
      </c>
      <c r="D122" s="53">
        <f>SUMIFS(InputResearch[SRECNP Res. Exp.],InputResearch[Institution Name],SummaryPVT[[#This Row],[Institution Name]])</f>
        <v>239161</v>
      </c>
      <c r="E122" s="53">
        <f>SUMIFS(InputResearch[R &amp; D Exp Not meeting narrow def],InputResearch[Institution Name],SummaryPVT[[#This Row],[Institution Name]])</f>
        <v>0</v>
      </c>
      <c r="F122" s="53">
        <f>SUMIFS(InputResearch[IDC assoc w/Exp for R &amp; D],InputResearch[Institution Name],SummaryPVT[[#This Row],[Institution Name]])</f>
        <v>0</v>
      </c>
      <c r="G122" s="53">
        <f>SUMIFS(InputResearch[Capital Outlay (Res Equip)],InputResearch[Institution Name],SummaryPVT[[#This Row],[Institution Name]])</f>
        <v>0</v>
      </c>
      <c r="H122" s="53">
        <f>SUMIFS(InputResearch[R&amp;D Exp - Inst foundation/501(c)(3)],InputResearch[Institution Name],SummaryPVT[[#This Row],[Institution Name]])</f>
        <v>0</v>
      </c>
      <c r="I122" s="53">
        <f>SUMIFS(InputResearch[Pass-Thru from other Texas A&amp;M members],InputResearch[Institution Name],SummaryPVT[[#This Row],[Institution Name]])</f>
        <v>0</v>
      </c>
      <c r="J122"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239161</v>
      </c>
      <c r="K122" s="53">
        <f>SUMIFS(InputResearch[Total R &amp; D Exp as a Sub],InputResearch[Institution Name],SummaryPVT[[#This Row],[Institution Name]])</f>
        <v>0</v>
      </c>
      <c r="L122" s="53">
        <f>SUMIFS(InputResearch[Total R &amp; D Exp to a Sub],InputResearch[Institution Name],SummaryPVT[[#This Row],[Institution Name]])</f>
        <v>0</v>
      </c>
      <c r="M122" s="56"/>
    </row>
    <row r="123" spans="1:13" ht="15.6">
      <c r="A123" s="48" t="s">
        <v>316</v>
      </c>
      <c r="B123" s="147" t="s">
        <v>439</v>
      </c>
      <c r="C123" s="280">
        <v>3645</v>
      </c>
      <c r="D123" s="53">
        <f>SUMIFS(InputResearch[SRECNP Res. Exp.],InputResearch[Institution Name],SummaryPVT[[#This Row],[Institution Name]])</f>
        <v>157325</v>
      </c>
      <c r="E123" s="53">
        <f>SUMIFS(InputResearch[R &amp; D Exp Not meeting narrow def],InputResearch[Institution Name],SummaryPVT[[#This Row],[Institution Name]])</f>
        <v>0</v>
      </c>
      <c r="F123" s="53">
        <f>SUMIFS(InputResearch[IDC assoc w/Exp for R &amp; D],InputResearch[Institution Name],SummaryPVT[[#This Row],[Institution Name]])</f>
        <v>0</v>
      </c>
      <c r="G123" s="53">
        <f>SUMIFS(InputResearch[Capital Outlay (Res Equip)],InputResearch[Institution Name],SummaryPVT[[#This Row],[Institution Name]])</f>
        <v>0</v>
      </c>
      <c r="H123" s="53">
        <f>SUMIFS(InputResearch[R&amp;D Exp - Inst foundation/501(c)(3)],InputResearch[Institution Name],SummaryPVT[[#This Row],[Institution Name]])</f>
        <v>0</v>
      </c>
      <c r="I123" s="53">
        <f>SUMIFS(InputResearch[Pass-Thru from other Texas A&amp;M members],InputResearch[Institution Name],SummaryPVT[[#This Row],[Institution Name]])</f>
        <v>0</v>
      </c>
      <c r="J123"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157325</v>
      </c>
      <c r="K123" s="53">
        <f>SUMIFS(InputResearch[Total R &amp; D Exp as a Sub],InputResearch[Institution Name],SummaryPVT[[#This Row],[Institution Name]])</f>
        <v>0</v>
      </c>
      <c r="L123" s="53">
        <f>SUMIFS(InputResearch[Total R &amp; D Exp to a Sub],InputResearch[Institution Name],SummaryPVT[[#This Row],[Institution Name]])</f>
        <v>0</v>
      </c>
      <c r="M123" s="56"/>
    </row>
    <row r="124" spans="1:13" ht="15.6">
      <c r="A124" s="48" t="s">
        <v>317</v>
      </c>
      <c r="B124" s="147" t="s">
        <v>439</v>
      </c>
      <c r="C124" s="280">
        <v>3647</v>
      </c>
      <c r="D124" s="53">
        <f>SUMIFS(InputResearch[SRECNP Res. Exp.],InputResearch[Institution Name],SummaryPVT[[#This Row],[Institution Name]])</f>
        <v>4768431</v>
      </c>
      <c r="E124" s="53">
        <f>SUMIFS(InputResearch[R &amp; D Exp Not meeting narrow def],InputResearch[Institution Name],SummaryPVT[[#This Row],[Institution Name]])</f>
        <v>0</v>
      </c>
      <c r="F124" s="53">
        <f>SUMIFS(InputResearch[IDC assoc w/Exp for R &amp; D],InputResearch[Institution Name],SummaryPVT[[#This Row],[Institution Name]])</f>
        <v>527106</v>
      </c>
      <c r="G124" s="53">
        <f>SUMIFS(InputResearch[Capital Outlay (Res Equip)],InputResearch[Institution Name],SummaryPVT[[#This Row],[Institution Name]])</f>
        <v>0</v>
      </c>
      <c r="H124" s="53">
        <f>SUMIFS(InputResearch[R&amp;D Exp - Inst foundation/501(c)(3)],InputResearch[Institution Name],SummaryPVT[[#This Row],[Institution Name]])</f>
        <v>0</v>
      </c>
      <c r="I124" s="53">
        <f>SUMIFS(InputResearch[Pass-Thru from other Texas A&amp;M members],InputResearch[Institution Name],SummaryPVT[[#This Row],[Institution Name]])</f>
        <v>0</v>
      </c>
      <c r="J124"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5295537</v>
      </c>
      <c r="K124" s="53">
        <f>SUMIFS(InputResearch[Total R &amp; D Exp as a Sub],InputResearch[Institution Name],SummaryPVT[[#This Row],[Institution Name]])</f>
        <v>236639</v>
      </c>
      <c r="L124" s="53">
        <f>SUMIFS(InputResearch[Total R &amp; D Exp to a Sub],InputResearch[Institution Name],SummaryPVT[[#This Row],[Institution Name]])</f>
        <v>548852</v>
      </c>
      <c r="M124" s="56"/>
    </row>
    <row r="125" spans="1:13" ht="15.6">
      <c r="A125" s="48" t="s">
        <v>694</v>
      </c>
      <c r="B125" s="147" t="s">
        <v>439</v>
      </c>
      <c r="C125" s="280">
        <v>3651</v>
      </c>
      <c r="D125" s="53">
        <f>SUMIFS(InputResearch[SRECNP Res. Exp.],InputResearch[Institution Name],SummaryPVT[[#This Row],[Institution Name]])</f>
        <v>387032</v>
      </c>
      <c r="E125" s="53">
        <f>SUMIFS(InputResearch[R &amp; D Exp Not meeting narrow def],InputResearch[Institution Name],SummaryPVT[[#This Row],[Institution Name]])</f>
        <v>193516</v>
      </c>
      <c r="F125" s="53">
        <f>SUMIFS(InputResearch[IDC assoc w/Exp for R &amp; D],InputResearch[Institution Name],SummaryPVT[[#This Row],[Institution Name]])</f>
        <v>18419</v>
      </c>
      <c r="G125" s="53">
        <f>SUMIFS(InputResearch[Capital Outlay (Res Equip)],InputResearch[Institution Name],SummaryPVT[[#This Row],[Institution Name]])</f>
        <v>0</v>
      </c>
      <c r="H125" s="53">
        <f>SUMIFS(InputResearch[R&amp;D Exp - Inst foundation/501(c)(3)],InputResearch[Institution Name],SummaryPVT[[#This Row],[Institution Name]])</f>
        <v>0</v>
      </c>
      <c r="I125" s="53">
        <f>SUMIFS(InputResearch[Pass-Thru from other Texas A&amp;M members],InputResearch[Institution Name],SummaryPVT[[#This Row],[Institution Name]])</f>
        <v>0</v>
      </c>
      <c r="J125"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211935</v>
      </c>
      <c r="K125" s="53">
        <f>SUMIFS(InputResearch[Total R &amp; D Exp as a Sub],InputResearch[Institution Name],SummaryPVT[[#This Row],[Institution Name]])</f>
        <v>0</v>
      </c>
      <c r="L125" s="53">
        <f>SUMIFS(InputResearch[Total R &amp; D Exp to a Sub],InputResearch[Institution Name],SummaryPVT[[#This Row],[Institution Name]])</f>
        <v>0</v>
      </c>
      <c r="M125" s="56"/>
    </row>
    <row r="126" spans="1:13" ht="15.6">
      <c r="A126" s="48" t="s">
        <v>695</v>
      </c>
      <c r="B126" s="147" t="s">
        <v>439</v>
      </c>
      <c r="C126" s="280">
        <v>3663</v>
      </c>
      <c r="D126" s="53">
        <f>SUMIFS(InputResearch[SRECNP Res. Exp.],InputResearch[Institution Name],SummaryPVT[[#This Row],[Institution Name]])</f>
        <v>41717</v>
      </c>
      <c r="E126" s="53">
        <f>SUMIFS(InputResearch[R &amp; D Exp Not meeting narrow def],InputResearch[Institution Name],SummaryPVT[[#This Row],[Institution Name]])</f>
        <v>0</v>
      </c>
      <c r="F126" s="53">
        <f>SUMIFS(InputResearch[IDC assoc w/Exp for R &amp; D],InputResearch[Institution Name],SummaryPVT[[#This Row],[Institution Name]])</f>
        <v>0</v>
      </c>
      <c r="G126" s="53">
        <f>SUMIFS(InputResearch[Capital Outlay (Res Equip)],InputResearch[Institution Name],SummaryPVT[[#This Row],[Institution Name]])</f>
        <v>0</v>
      </c>
      <c r="H126" s="53">
        <f>SUMIFS(InputResearch[R&amp;D Exp - Inst foundation/501(c)(3)],InputResearch[Institution Name],SummaryPVT[[#This Row],[Institution Name]])</f>
        <v>0</v>
      </c>
      <c r="I126" s="53">
        <f>SUMIFS(InputResearch[Pass-Thru from other Texas A&amp;M members],InputResearch[Institution Name],SummaryPVT[[#This Row],[Institution Name]])</f>
        <v>0</v>
      </c>
      <c r="J126" s="316">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41717</v>
      </c>
      <c r="K126" s="53">
        <f>SUMIFS(InputResearch[Total R &amp; D Exp as a Sub],InputResearch[Institution Name],SummaryPVT[[#This Row],[Institution Name]])</f>
        <v>0</v>
      </c>
      <c r="L126" s="53">
        <f>SUMIFS(InputResearch[Total R &amp; D Exp to a Sub],InputResearch[Institution Name],SummaryPVT[[#This Row],[Institution Name]])</f>
        <v>0</v>
      </c>
      <c r="M126" s="56"/>
    </row>
    <row r="127" spans="1:13" ht="15.6">
      <c r="A127" s="48" t="s">
        <v>693</v>
      </c>
      <c r="B127" s="147" t="s">
        <v>439</v>
      </c>
      <c r="C127" s="280">
        <v>3604</v>
      </c>
      <c r="D127" s="53">
        <f>SUMIFS(InputResearch[SRECNP Res. Exp.],InputResearch[Institution Name],SummaryPVT[[#This Row],[Institution Name]])</f>
        <v>253152022</v>
      </c>
      <c r="E127" s="53">
        <f>SUMIFS(InputResearch[R &amp; D Exp Not meeting narrow def],InputResearch[Institution Name],SummaryPVT[[#This Row],[Institution Name]])</f>
        <v>0</v>
      </c>
      <c r="F127" s="53">
        <f>SUMIFS(InputResearch[IDC assoc w/Exp for R &amp; D],InputResearch[Institution Name],SummaryPVT[[#This Row],[Institution Name]])</f>
        <v>0</v>
      </c>
      <c r="G127" s="53">
        <f>SUMIFS(InputResearch[Capital Outlay (Res Equip)],InputResearch[Institution Name],SummaryPVT[[#This Row],[Institution Name]])</f>
        <v>0</v>
      </c>
      <c r="H127" s="53">
        <f>SUMIFS(InputResearch[R&amp;D Exp - Inst foundation/501(c)(3)],InputResearch[Institution Name],SummaryPVT[[#This Row],[Institution Name]])</f>
        <v>0</v>
      </c>
      <c r="I127" s="53">
        <f>SUMIFS(InputResearch[Pass-Thru from other Texas A&amp;M members],InputResearch[Institution Name],SummaryPVT[[#This Row],[Institution Name]])</f>
        <v>0</v>
      </c>
      <c r="J127" s="305">
        <f>SUMIFS(InputResearch[R &amp; D Expenses],InputResearch[Institution Name],SummaryPVT[[#This Row],[Institution Name]])+SummaryPVT[[#This Row],[Indirect Costs Associated w/ R &amp; D]]+SummaryPVT[[#This Row],[Capital Outlay for Research]]+SummaryPVT[[#This Row],[R &amp; D for 501(c)(3) or Institution''s Foundation]]+SummaryPVT[[#This Row],[Pass-Thru From 
TX Eng. Exp. Station]]</f>
        <v>253152022</v>
      </c>
      <c r="K127" s="53">
        <f>SUMIFS(InputResearch[Total R &amp; D Exp as a Sub],InputResearch[Institution Name],SummaryPVT[[#This Row],[Institution Name]])</f>
        <v>30135296</v>
      </c>
      <c r="L127" s="53">
        <f>SUMIFS(InputResearch[Total R &amp; D Exp to a Sub],InputResearch[Institution Name],SummaryPVT[[#This Row],[Institution Name]])</f>
        <v>22714648</v>
      </c>
      <c r="M127" s="56"/>
    </row>
    <row r="128" spans="1:13" ht="15.6">
      <c r="B128" s="226"/>
      <c r="C128" s="52"/>
      <c r="D128" s="317">
        <f>SUBTOTAL(109,SummaryPVT[Research Exp. 
Per SRECNA])</f>
        <v>396326115</v>
      </c>
      <c r="E128" s="317">
        <f>SUBTOTAL(109,SummaryPVT[R &amp; D Not Meeting 
the Definition])</f>
        <v>11944679</v>
      </c>
      <c r="F128" s="317">
        <f>SUBTOTAL(109,SummaryPVT[Indirect Costs Associated w/ R &amp; D])</f>
        <v>14913084</v>
      </c>
      <c r="G128" s="317">
        <f>SUBTOTAL(109,SummaryPVT[Capital Outlay for Research])</f>
        <v>6930036</v>
      </c>
      <c r="H128" s="317">
        <f>SUBTOTAL(109,SummaryPVT[R &amp; D for 501(c)(3) or Institution''s Foundation])</f>
        <v>0</v>
      </c>
      <c r="I128" s="317">
        <f>SUBTOTAL(109,SummaryPVT[Pass-Thru From 
TX Eng. Exp. Station])</f>
        <v>300000</v>
      </c>
      <c r="J128" s="315">
        <f>SUBTOTAL(109,SummaryPVT[Total Research Expenditures])</f>
        <v>406524556</v>
      </c>
      <c r="K128" s="317">
        <f>SUBTOTAL(109,SummaryPVT[Pass-Thru as a Subrecipient])</f>
        <v>40999557</v>
      </c>
      <c r="L128" s="317">
        <f>SUBTOTAL(109,SummaryPVT[Pass-Thru to a Subrecipient])</f>
        <v>29613918</v>
      </c>
      <c r="M128" s="56"/>
    </row>
    <row r="129" spans="1:13">
      <c r="A129" s="56"/>
      <c r="B129" s="227"/>
      <c r="C129" s="56"/>
      <c r="D129" s="56"/>
      <c r="E129" s="56"/>
      <c r="F129" s="56"/>
      <c r="G129" s="56"/>
      <c r="H129" s="56"/>
      <c r="I129" s="56"/>
      <c r="J129" s="56"/>
      <c r="K129" s="56"/>
      <c r="L129" s="56"/>
      <c r="M129" s="56"/>
    </row>
  </sheetData>
  <sheetProtection algorithmName="SHA-512" hashValue="RZwCjMa1oVDg9TZtsDB8ic8McCvfCznbu1+pZmLcnlu2GGluWQeiVEqgQAZL1Zi0qMSPozy7qOTvsv1w/PqHpw==" saltValue="+M6pvNPrqztOnOOIVBIkUw==" spinCount="100000" sheet="1" objects="1" scenarios="1" formatColumns="0"/>
  <mergeCells count="13">
    <mergeCell ref="A1:K1"/>
    <mergeCell ref="A3:L3"/>
    <mergeCell ref="A4:L4"/>
    <mergeCell ref="A23:L23"/>
    <mergeCell ref="A24:L24"/>
    <mergeCell ref="A81:L81"/>
    <mergeCell ref="A107:L107"/>
    <mergeCell ref="A108:L108"/>
    <mergeCell ref="A38:L38"/>
    <mergeCell ref="A39:L39"/>
    <mergeCell ref="A97:L97"/>
    <mergeCell ref="A98:L98"/>
    <mergeCell ref="A80:L80"/>
  </mergeCells>
  <printOptions horizontalCentered="1"/>
  <pageMargins left="0.5" right="0.5" top="0.75" bottom="0.5" header="0.5" footer="0.25"/>
  <pageSetup scale="39" fitToHeight="0" orientation="landscape" r:id="rId1"/>
  <headerFooter>
    <oddHeader>&amp;C&amp;"-,Bold"&amp;18Summary of R &amp;&amp; D Expenditures - Fiscal Year 2023</oddHeader>
    <oddFooter>&amp;RPrinted on: &amp;D</oddFooter>
  </headerFooter>
  <drawing r:id="rId2"/>
  <legacyDrawing r:id="rId3"/>
  <tableParts count="6">
    <tablePart r:id="rId4"/>
    <tablePart r:id="rId5"/>
    <tablePart r:id="rId6"/>
    <tablePart r:id="rId7"/>
    <tablePart r:id="rId8"/>
    <tablePart r:id="rId9"/>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8636C-CBB2-4F7F-9240-69CC54EA7FD5}">
  <sheetPr codeName="Sheet11">
    <tabColor theme="5"/>
    <pageSetUpPr fitToPage="1"/>
  </sheetPr>
  <dimension ref="A1:T129"/>
  <sheetViews>
    <sheetView zoomScale="55" zoomScaleNormal="55" workbookViewId="0">
      <pane xSplit="1" ySplit="1" topLeftCell="E2" activePane="bottomRight" state="frozen"/>
      <selection pane="topRight" activeCell="B1" sqref="B1"/>
      <selection pane="bottomLeft" activeCell="A2" sqref="A2"/>
      <selection pane="bottomRight" sqref="A1:R1"/>
    </sheetView>
  </sheetViews>
  <sheetFormatPr defaultColWidth="8.81640625" defaultRowHeight="15" outlineLevelCol="1"/>
  <cols>
    <col min="1" max="1" width="61.1796875" style="43" bestFit="1" customWidth="1"/>
    <col min="2" max="2" width="8.81640625" style="95" hidden="1" customWidth="1" outlineLevel="1"/>
    <col min="3" max="3" width="10.81640625" style="43" hidden="1" customWidth="1" outlineLevel="1"/>
    <col min="4" max="4" width="18.81640625" style="43" customWidth="1" collapsed="1"/>
    <col min="5" max="5" width="20.81640625" style="43" customWidth="1"/>
    <col min="6" max="13" width="18.81640625" style="43" customWidth="1"/>
    <col min="14" max="14" width="20.81640625" style="43" customWidth="1"/>
    <col min="15" max="18" width="18.81640625" style="43" customWidth="1"/>
    <col min="19" max="19" width="22.81640625" style="43" customWidth="1"/>
    <col min="20" max="20" width="5.81640625" style="43" customWidth="1"/>
    <col min="21" max="16384" width="8.81640625" style="43"/>
  </cols>
  <sheetData>
    <row r="1" spans="1:20" ht="45" customHeight="1">
      <c r="A1" s="390" t="s">
        <v>860</v>
      </c>
      <c r="B1" s="390"/>
      <c r="C1" s="390"/>
      <c r="D1" s="390"/>
      <c r="E1" s="390"/>
      <c r="F1" s="390"/>
      <c r="G1" s="390"/>
      <c r="H1" s="390"/>
      <c r="I1" s="390"/>
      <c r="J1" s="390"/>
      <c r="K1" s="390"/>
      <c r="L1" s="390"/>
      <c r="M1" s="390"/>
      <c r="N1" s="390"/>
      <c r="O1" s="390"/>
      <c r="P1" s="390"/>
      <c r="Q1" s="390"/>
      <c r="R1" s="390"/>
      <c r="S1" s="94"/>
      <c r="T1" s="94"/>
    </row>
    <row r="2" spans="1:20" ht="33" customHeight="1">
      <c r="A2" s="439" t="s">
        <v>645</v>
      </c>
      <c r="B2" s="440"/>
      <c r="C2" s="440"/>
      <c r="D2" s="440"/>
      <c r="E2" s="440"/>
      <c r="F2" s="440"/>
      <c r="G2" s="440"/>
      <c r="H2" s="440"/>
      <c r="I2" s="440"/>
      <c r="J2" s="440"/>
      <c r="K2" s="440"/>
      <c r="L2" s="440"/>
      <c r="M2" s="440"/>
      <c r="N2" s="440"/>
      <c r="O2" s="440"/>
      <c r="P2" s="440"/>
      <c r="Q2" s="440"/>
      <c r="R2" s="440"/>
      <c r="S2" s="440"/>
      <c r="T2" s="94"/>
    </row>
    <row r="3" spans="1:20" ht="17.399999999999999">
      <c r="A3" s="438">
        <f>Hidden!$A$4</f>
        <v>45412</v>
      </c>
      <c r="B3" s="438"/>
      <c r="C3" s="438"/>
      <c r="D3" s="438"/>
      <c r="E3" s="438"/>
      <c r="F3" s="438"/>
      <c r="G3" s="438"/>
      <c r="H3" s="438"/>
      <c r="I3" s="438"/>
      <c r="J3" s="438"/>
      <c r="K3" s="438"/>
      <c r="L3" s="438"/>
      <c r="M3" s="438"/>
      <c r="N3" s="438"/>
      <c r="O3" s="438"/>
      <c r="P3" s="438"/>
      <c r="Q3" s="438"/>
      <c r="R3" s="438"/>
      <c r="S3" s="438"/>
      <c r="T3" s="94"/>
    </row>
    <row r="4" spans="1:20">
      <c r="A4" s="91"/>
      <c r="B4" s="92"/>
      <c r="C4" s="92"/>
      <c r="D4" s="92"/>
      <c r="E4" s="92"/>
      <c r="F4" s="92"/>
      <c r="G4" s="92"/>
      <c r="H4" s="92"/>
      <c r="I4" s="92"/>
      <c r="J4" s="92"/>
      <c r="K4" s="92"/>
      <c r="L4" s="92"/>
      <c r="M4" s="92"/>
      <c r="N4" s="92"/>
      <c r="O4" s="92"/>
      <c r="P4" s="92"/>
      <c r="Q4" s="92"/>
      <c r="R4" s="92"/>
      <c r="S4" s="94"/>
      <c r="T4" s="94"/>
    </row>
    <row r="5" spans="1:20" s="45" customFormat="1" ht="30">
      <c r="A5" s="79" t="s">
        <v>1</v>
      </c>
      <c r="B5" s="80" t="s">
        <v>889</v>
      </c>
      <c r="C5" s="44" t="s">
        <v>2</v>
      </c>
      <c r="D5" s="114" t="s">
        <v>869</v>
      </c>
      <c r="E5" s="114" t="s">
        <v>870</v>
      </c>
      <c r="F5" s="114" t="s">
        <v>861</v>
      </c>
      <c r="G5" s="44" t="s">
        <v>87</v>
      </c>
      <c r="H5" s="114" t="s">
        <v>862</v>
      </c>
      <c r="I5" s="114" t="s">
        <v>863</v>
      </c>
      <c r="J5" s="114" t="s">
        <v>864</v>
      </c>
      <c r="K5" s="114" t="s">
        <v>865</v>
      </c>
      <c r="L5" s="44" t="s">
        <v>92</v>
      </c>
      <c r="M5" s="114" t="s">
        <v>872</v>
      </c>
      <c r="N5" s="114" t="s">
        <v>866</v>
      </c>
      <c r="O5" s="114" t="s">
        <v>871</v>
      </c>
      <c r="P5" s="114" t="s">
        <v>867</v>
      </c>
      <c r="Q5" s="44" t="s">
        <v>97</v>
      </c>
      <c r="R5" s="44" t="s">
        <v>98</v>
      </c>
      <c r="S5" s="114" t="s">
        <v>868</v>
      </c>
      <c r="T5" s="94"/>
    </row>
    <row r="6" spans="1:20">
      <c r="A6" s="43" t="s">
        <v>385</v>
      </c>
      <c r="B6" s="95">
        <f>VLOOKUP(ListHRI[[#This Row],[Institution Name]],InputResearch[],3,FALSE)</f>
        <v>390</v>
      </c>
      <c r="C6" s="46">
        <v>30</v>
      </c>
      <c r="D6"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0</v>
      </c>
      <c r="E6"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250826972</v>
      </c>
      <c r="F6"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0</v>
      </c>
      <c r="G6"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0</v>
      </c>
      <c r="H6"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0</v>
      </c>
      <c r="I6"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0</v>
      </c>
      <c r="J6"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387809453</v>
      </c>
      <c r="K6"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0</v>
      </c>
      <c r="L6"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0</v>
      </c>
      <c r="M6"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0</v>
      </c>
      <c r="N6"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77309500.999999985</v>
      </c>
      <c r="O6"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6"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6"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0</v>
      </c>
      <c r="R6"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0</v>
      </c>
      <c r="S6"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0</v>
      </c>
      <c r="T6" s="94"/>
    </row>
    <row r="7" spans="1:20">
      <c r="A7" s="43" t="s">
        <v>386</v>
      </c>
      <c r="B7" s="95">
        <f>VLOOKUP(ListHRI[[#This Row],[Institution Name]],InputResearch[],3,FALSE)</f>
        <v>400</v>
      </c>
      <c r="C7" s="46">
        <v>104952</v>
      </c>
      <c r="D7"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0</v>
      </c>
      <c r="E7"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152654473</v>
      </c>
      <c r="F7"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0</v>
      </c>
      <c r="G7"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0</v>
      </c>
      <c r="H7"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0</v>
      </c>
      <c r="I7"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0</v>
      </c>
      <c r="J7"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44176337</v>
      </c>
      <c r="K7"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0</v>
      </c>
      <c r="L7"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0</v>
      </c>
      <c r="M7"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0</v>
      </c>
      <c r="N7"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5144289</v>
      </c>
      <c r="O7"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7"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7"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0</v>
      </c>
      <c r="R7"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0</v>
      </c>
      <c r="S7"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0</v>
      </c>
      <c r="T7" s="94"/>
    </row>
    <row r="8" spans="1:20">
      <c r="A8" s="43" t="s">
        <v>387</v>
      </c>
      <c r="B8" s="95">
        <f>VLOOKUP(ListHRI[[#This Row],[Institution Name]],InputResearch[],3,FALSE)</f>
        <v>410</v>
      </c>
      <c r="C8" s="46">
        <v>11618</v>
      </c>
      <c r="D8"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0</v>
      </c>
      <c r="E8"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60861953</v>
      </c>
      <c r="F8"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0</v>
      </c>
      <c r="G8"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0</v>
      </c>
      <c r="H8"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0</v>
      </c>
      <c r="I8"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0</v>
      </c>
      <c r="J8"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277497983</v>
      </c>
      <c r="K8"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0</v>
      </c>
      <c r="L8"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0</v>
      </c>
      <c r="M8"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0</v>
      </c>
      <c r="N8"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0</v>
      </c>
      <c r="O8"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8"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8"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0</v>
      </c>
      <c r="R8"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0</v>
      </c>
      <c r="S8"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0</v>
      </c>
      <c r="T8" s="94"/>
    </row>
    <row r="9" spans="1:20">
      <c r="A9" s="43" t="s">
        <v>388</v>
      </c>
      <c r="B9" s="95">
        <f>VLOOKUP(ListHRI[[#This Row],[Institution Name]],InputResearch[],3,FALSE)</f>
        <v>420</v>
      </c>
      <c r="C9" s="46">
        <v>40</v>
      </c>
      <c r="D9"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0</v>
      </c>
      <c r="E9"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0</v>
      </c>
      <c r="F9"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0</v>
      </c>
      <c r="G9"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0</v>
      </c>
      <c r="H9"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0</v>
      </c>
      <c r="I9"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0</v>
      </c>
      <c r="J9"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261000791</v>
      </c>
      <c r="K9"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0</v>
      </c>
      <c r="L9"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0</v>
      </c>
      <c r="M9"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0</v>
      </c>
      <c r="N9"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0</v>
      </c>
      <c r="O9"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9"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9"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0</v>
      </c>
      <c r="R9"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0</v>
      </c>
      <c r="S9"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0</v>
      </c>
      <c r="T9" s="94"/>
    </row>
    <row r="10" spans="1:20">
      <c r="A10" s="43" t="s">
        <v>389</v>
      </c>
      <c r="B10" s="95">
        <f>VLOOKUP(ListHRI[[#This Row],[Institution Name]],InputResearch[],3,FALSE)</f>
        <v>430</v>
      </c>
      <c r="C10" s="46">
        <v>25554</v>
      </c>
      <c r="D10"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0</v>
      </c>
      <c r="E10"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330923237</v>
      </c>
      <c r="F10"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0</v>
      </c>
      <c r="G10"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0</v>
      </c>
      <c r="H10"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0</v>
      </c>
      <c r="I10"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22434314</v>
      </c>
      <c r="J10"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750929104</v>
      </c>
      <c r="K10"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21111829</v>
      </c>
      <c r="L10"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15318981</v>
      </c>
      <c r="M10"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20013306</v>
      </c>
      <c r="N10"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0</v>
      </c>
      <c r="O10"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10"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10"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0</v>
      </c>
      <c r="R10"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0</v>
      </c>
      <c r="S10"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0</v>
      </c>
      <c r="T10" s="94"/>
    </row>
    <row r="11" spans="1:20">
      <c r="A11" s="43" t="s">
        <v>390</v>
      </c>
      <c r="B11" s="95">
        <f>VLOOKUP(ListHRI[[#This Row],[Institution Name]],InputResearch[],3,FALSE)</f>
        <v>440</v>
      </c>
      <c r="C11" s="46">
        <v>42439</v>
      </c>
      <c r="D11"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1210264</v>
      </c>
      <c r="E11"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0</v>
      </c>
      <c r="F11"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0</v>
      </c>
      <c r="G11"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0</v>
      </c>
      <c r="H11"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0</v>
      </c>
      <c r="I11"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0</v>
      </c>
      <c r="J11"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27072858</v>
      </c>
      <c r="K11"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0</v>
      </c>
      <c r="L11"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0</v>
      </c>
      <c r="M11"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0</v>
      </c>
      <c r="N11"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0</v>
      </c>
      <c r="O11"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11"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11"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0</v>
      </c>
      <c r="R11"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0</v>
      </c>
      <c r="S11"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0</v>
      </c>
      <c r="T11" s="94"/>
    </row>
    <row r="12" spans="1:20">
      <c r="A12" s="43" t="s">
        <v>391</v>
      </c>
      <c r="B12" s="95">
        <f>VLOOKUP(ListHRI[[#This Row],[Institution Name]],InputResearch[],3,FALSE)</f>
        <v>450</v>
      </c>
      <c r="C12" s="46">
        <v>89</v>
      </c>
      <c r="D12"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9647</v>
      </c>
      <c r="E12"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34855464</v>
      </c>
      <c r="F12"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3547</v>
      </c>
      <c r="G12"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5369857</v>
      </c>
      <c r="H12"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613266</v>
      </c>
      <c r="I12"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5049</v>
      </c>
      <c r="J12"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123238619</v>
      </c>
      <c r="K12"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428558</v>
      </c>
      <c r="L12"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1629173</v>
      </c>
      <c r="M12"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3190349</v>
      </c>
      <c r="N12"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2776833</v>
      </c>
      <c r="O12"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12"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12"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573523</v>
      </c>
      <c r="R12"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9490</v>
      </c>
      <c r="S12"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0</v>
      </c>
      <c r="T12" s="94"/>
    </row>
    <row r="13" spans="1:20">
      <c r="A13" s="43" t="s">
        <v>392</v>
      </c>
      <c r="B13" s="95">
        <f>VLOOKUP(ListHRI[[#This Row],[Institution Name]],InputResearch[],3,FALSE)</f>
        <v>461</v>
      </c>
      <c r="C13" s="46">
        <v>130</v>
      </c>
      <c r="D13"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0</v>
      </c>
      <c r="E13"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6464149</v>
      </c>
      <c r="F13"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0</v>
      </c>
      <c r="G13"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0</v>
      </c>
      <c r="H13"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0</v>
      </c>
      <c r="I13"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0</v>
      </c>
      <c r="J13"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75472531</v>
      </c>
      <c r="K13"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0</v>
      </c>
      <c r="L13"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0</v>
      </c>
      <c r="M13"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852023</v>
      </c>
      <c r="N13"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0</v>
      </c>
      <c r="O13"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13"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13"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0</v>
      </c>
      <c r="R13"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0</v>
      </c>
      <c r="S13"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0</v>
      </c>
      <c r="T13" s="94"/>
    </row>
    <row r="14" spans="1:20">
      <c r="A14" s="43" t="s">
        <v>393</v>
      </c>
      <c r="B14" s="95">
        <f>VLOOKUP(ListHRI[[#This Row],[Institution Name]],InputResearch[],3,FALSE)</f>
        <v>470</v>
      </c>
      <c r="C14" s="46">
        <v>412</v>
      </c>
      <c r="D14"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0</v>
      </c>
      <c r="E14"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21626924</v>
      </c>
      <c r="F14"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0</v>
      </c>
      <c r="G14"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0</v>
      </c>
      <c r="H14"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0</v>
      </c>
      <c r="I14"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0</v>
      </c>
      <c r="J14"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25485439</v>
      </c>
      <c r="K14"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0</v>
      </c>
      <c r="L14"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0</v>
      </c>
      <c r="M14"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0</v>
      </c>
      <c r="N14"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124907</v>
      </c>
      <c r="O14"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14"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14"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1441658</v>
      </c>
      <c r="R14"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0</v>
      </c>
      <c r="S14"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0</v>
      </c>
      <c r="T14" s="94"/>
    </row>
    <row r="15" spans="1:20">
      <c r="A15" s="43" t="s">
        <v>394</v>
      </c>
      <c r="B15" s="95">
        <f>VLOOKUP(ListHRI[[#This Row],[Institution Name]],InputResearch[],3,FALSE)</f>
        <v>480</v>
      </c>
      <c r="C15" s="46">
        <v>862</v>
      </c>
      <c r="D15"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0</v>
      </c>
      <c r="E15"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3935564</v>
      </c>
      <c r="F15"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0</v>
      </c>
      <c r="G15"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0</v>
      </c>
      <c r="H15"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0</v>
      </c>
      <c r="I15"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0</v>
      </c>
      <c r="J15"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7740933</v>
      </c>
      <c r="K15"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0</v>
      </c>
      <c r="L15"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0</v>
      </c>
      <c r="M15"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0</v>
      </c>
      <c r="N15"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239960</v>
      </c>
      <c r="O15"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15"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15"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744729</v>
      </c>
      <c r="R15"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0</v>
      </c>
      <c r="S15"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0</v>
      </c>
      <c r="T15" s="94"/>
    </row>
    <row r="16" spans="1:20">
      <c r="A16" s="43" t="s">
        <v>839</v>
      </c>
      <c r="B16" s="95">
        <f>VLOOKUP(ListHRI[[#This Row],[Institution Name]],InputResearch[],3,FALSE)</f>
        <v>500</v>
      </c>
      <c r="C16" s="46">
        <v>203599</v>
      </c>
      <c r="D16"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0</v>
      </c>
      <c r="E16"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0</v>
      </c>
      <c r="F16"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0</v>
      </c>
      <c r="G16"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0</v>
      </c>
      <c r="H16"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0</v>
      </c>
      <c r="I16"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0</v>
      </c>
      <c r="J16"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4415214</v>
      </c>
      <c r="K16"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0</v>
      </c>
      <c r="L16"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0</v>
      </c>
      <c r="M16"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0</v>
      </c>
      <c r="N16"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0</v>
      </c>
      <c r="O16"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16"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16"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0</v>
      </c>
      <c r="R16"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0</v>
      </c>
      <c r="S16"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0</v>
      </c>
      <c r="T16" s="94"/>
    </row>
    <row r="17" spans="1:20">
      <c r="A17" s="43" t="s">
        <v>837</v>
      </c>
      <c r="B17" s="95">
        <f>VLOOKUP(ListHRI[[#This Row],[Institution Name]],InputResearch[],3,FALSE)</f>
        <v>510</v>
      </c>
      <c r="C17" s="46">
        <v>203658</v>
      </c>
      <c r="D17"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0</v>
      </c>
      <c r="E17"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0</v>
      </c>
      <c r="F17"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0</v>
      </c>
      <c r="G17"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0</v>
      </c>
      <c r="H17"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0</v>
      </c>
      <c r="I17"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0</v>
      </c>
      <c r="J17"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46919071</v>
      </c>
      <c r="K17"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0</v>
      </c>
      <c r="L17"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0</v>
      </c>
      <c r="M17"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57208</v>
      </c>
      <c r="N17"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0</v>
      </c>
      <c r="O17"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17"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17"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0</v>
      </c>
      <c r="R17"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0</v>
      </c>
      <c r="S17"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0</v>
      </c>
      <c r="T17" s="94"/>
    </row>
    <row r="18" spans="1:20">
      <c r="A18" s="43" t="s">
        <v>838</v>
      </c>
      <c r="B18" s="95">
        <f>VLOOKUP(ListHRI[[#This Row],[Institution Name]],InputResearch[],3,FALSE)</f>
        <v>520</v>
      </c>
      <c r="C18" s="46">
        <v>203652</v>
      </c>
      <c r="D18"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0</v>
      </c>
      <c r="E18"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0</v>
      </c>
      <c r="F18"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0</v>
      </c>
      <c r="G18"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0</v>
      </c>
      <c r="H18"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0</v>
      </c>
      <c r="I18"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0</v>
      </c>
      <c r="J18"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774654</v>
      </c>
      <c r="K18"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0</v>
      </c>
      <c r="L18"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85926</v>
      </c>
      <c r="M18"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0</v>
      </c>
      <c r="N18"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0</v>
      </c>
      <c r="O18"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18"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18"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0</v>
      </c>
      <c r="R18"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0</v>
      </c>
      <c r="S18"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177967</v>
      </c>
      <c r="T18" s="94"/>
    </row>
    <row r="19" spans="1:20">
      <c r="A19" s="43" t="s">
        <v>398</v>
      </c>
      <c r="B19" s="95">
        <f>VLOOKUP(ListHRI[[#This Row],[Institution Name]],InputResearch[],3,FALSE)</f>
        <v>530</v>
      </c>
      <c r="C19" s="46">
        <v>103606</v>
      </c>
      <c r="D19" s="47">
        <f>SUMIFS(InputResearch[Agricultural Sci. Fed],InputResearch[Institution Name],ListHRI[[#This Row],[Institution Name]])+SUMIFS(InputResearch[Agricultural Sci. St. Approp.],InputResearch[Institution Name],ListHRI[[#This Row],[Institution Name]])+SUMIFS(InputResearch[Agricultural Sci. St. C&amp;G],InputResearch[Institution Name],ListHRI[[#This Row],[Institution Name]])+SUMIFS(InputResearch[Agricultural Sci. Inst Res],InputResearch[Institution Name],ListHRI[[#This Row],[Institution Name]])+SUMIFS(InputResearch[Agricultural Sci. PFP],InputResearch[Institution Name],ListHRI[[#This Row],[Institution Name]])+SUMIFS(InputResearch[Agricultural Sci. PNP],InputResearch[Institution Name],ListHRI[[#This Row],[Institution Name]])</f>
        <v>0</v>
      </c>
      <c r="E19" s="47">
        <f>SUMIFS(InputResearch[Biological &amp; Other Life Sci. Fed],InputResearch[Institution Name],ListHRI[[#This Row],[Institution Name]])+SUMIFS(InputResearch[Biological &amp; Other Life Sci. St. Approp.],InputResearch[Institution Name],ListHRI[[#This Row],[Institution Name]])+SUMIFS(InputResearch[Biological &amp; Other Life Sci. St. C&amp;G],InputResearch[Institution Name],ListHRI[[#This Row],[Institution Name]])+SUMIFS(InputResearch[Biological &amp; Other Life Sci. Inst Res],InputResearch[Institution Name],ListHRI[[#This Row],[Institution Name]])+SUMIFS(InputResearch[Biological &amp; Other Life Sci. PFP],InputResearch[Institution Name],ListHRI[[#This Row],[Institution Name]])+SUMIFS(InputResearch[Biological &amp; Other Life Sci. PNP],InputResearch[Institution Name],ListHRI[[#This Row],[Institution Name]])</f>
        <v>0</v>
      </c>
      <c r="F19" s="47">
        <f>SUMIFS(InputResearch[Comp. Sci. Fed],InputResearch[Institution Name],ListHRI[[#This Row],[Institution Name]])+SUMIFS(InputResearch[Comp. Sci. St. Approp.],InputResearch[Institution Name],ListHRI[[#This Row],[Institution Name]])+SUMIFS(InputResearch[Comp. Sci. St. C&amp;G],InputResearch[Institution Name],ListHRI[[#This Row],[Institution Name]])+SUMIFS(InputResearch[Comp. Sci. Inst Res],InputResearch[Institution Name],ListHRI[[#This Row],[Institution Name]])+SUMIFS(InputResearch[Comp. Sci. PFP],InputResearch[Institution Name],ListHRI[[#This Row],[Institution Name]])+SUMIFS(InputResearch[Comp. Sci. PNP],InputResearch[Institution Name],ListHRI[[#This Row],[Institution Name]])</f>
        <v>0</v>
      </c>
      <c r="G19" s="47">
        <f>SUMIFS(InputResearch[Engineering Fed],InputResearch[Institution Name],ListHRI[[#This Row],[Institution Name]])+SUMIFS(InputResearch[Engineering St. Approp.],InputResearch[Institution Name],ListHRI[[#This Row],[Institution Name]])+SUMIFS(InputResearch[Engineering St. C&amp;G],InputResearch[Institution Name],ListHRI[[#This Row],[Institution Name]])+SUMIFS(InputResearch[Engineering Inst Res],InputResearch[Institution Name],ListHRI[[#This Row],[Institution Name]])+SUMIFS(InputResearch[Engineering PFP],InputResearch[Institution Name],ListHRI[[#This Row],[Institution Name]])+SUMIFS(InputResearch[Engineering PNP],InputResearch[Institution Name],ListHRI[[#This Row],[Institution Name]])</f>
        <v>0</v>
      </c>
      <c r="H19" s="47">
        <f>SUMIFS(InputResearch[Env Sci. Fed],InputResearch[Institution Name],ListHRI[[#This Row],[Institution Name]])+SUMIFS(InputResearch[Env Sci. St. Approp.],InputResearch[Institution Name],ListHRI[[#This Row],[Institution Name]])+SUMIFS(InputResearch[Env Sci. St. C&amp;G],InputResearch[Institution Name],ListHRI[[#This Row],[Institution Name]])+SUMIFS(InputResearch[Env Sci. Inst Res],InputResearch[Institution Name],ListHRI[[#This Row],[Institution Name]])+SUMIFS(InputResearch[Env Sci. PFP],InputResearch[Institution Name],ListHRI[[#This Row],[Institution Name]])+SUMIFS(InputResearch[Env Sci. PNP],InputResearch[Institution Name],ListHRI[[#This Row],[Institution Name]])</f>
        <v>0</v>
      </c>
      <c r="I19" s="47">
        <f>SUMIFS(InputResearch[Math Fed],InputResearch[Institution Name],ListHRI[[#This Row],[Institution Name]])+SUMIFS(InputResearch[Math St. Approp.],InputResearch[Institution Name],ListHRI[[#This Row],[Institution Name]])+SUMIFS(InputResearch[Math St. C&amp;G],InputResearch[Institution Name],ListHRI[[#This Row],[Institution Name]])+SUMIFS(InputResearch[Math Inst Res],InputResearch[Institution Name],ListHRI[[#This Row],[Institution Name]])+SUMIFS(InputResearch[Math PFP],InputResearch[Institution Name],ListHRI[[#This Row],[Institution Name]])+SUMIFS(InputResearch[Math PNP],InputResearch[Institution Name],ListHRI[[#This Row],[Institution Name]])</f>
        <v>0</v>
      </c>
      <c r="J19" s="47">
        <f>SUMIFS(InputResearch[Medical Fed],InputResearch[Institution Name],ListHRI[[#This Row],[Institution Name]])+SUMIFS(InputResearch[Medical St. Approp.],InputResearch[Institution Name],ListHRI[[#This Row],[Institution Name]])+SUMIFS(InputResearch[Medical St. C&amp;G],InputResearch[Institution Name],ListHRI[[#This Row],[Institution Name]])+SUMIFS(InputResearch[Medical Inst Res],InputResearch[Institution Name],ListHRI[[#This Row],[Institution Name]])+SUMIFS(InputResearch[Medical PFP],InputResearch[Institution Name],ListHRI[[#This Row],[Institution Name]])+SUMIFS(InputResearch[Medical PNP],InputResearch[Institution Name],ListHRI[[#This Row],[Institution Name]])</f>
        <v>716401</v>
      </c>
      <c r="K19" s="47">
        <f>SUMIFS(InputResearch[Physical Sci. Fed],InputResearch[Institution Name],ListHRI[[#This Row],[Institution Name]])+SUMIFS(InputResearch[Physical Sci. St. Approp.],InputResearch[Institution Name],ListHRI[[#This Row],[Institution Name]])+SUMIFS(InputResearch[Physical Sci. St. C&amp;G],InputResearch[Institution Name],ListHRI[[#This Row],[Institution Name]])+SUMIFS(InputResearch[Physical Sci. Inst Res],InputResearch[Institution Name],ListHRI[[#This Row],[Institution Name]])+SUMIFS(InputResearch[Physical Sci. PFP],InputResearch[Institution Name],ListHRI[[#This Row],[Institution Name]])+SUMIFS(InputResearch[Physical Sci. PNP],InputResearch[Institution Name],ListHRI[[#This Row],[Institution Name]])</f>
        <v>0</v>
      </c>
      <c r="L19" s="47">
        <f>SUMIFS(InputResearch[Psychology Fed],InputResearch[Institution Name],ListHRI[[#This Row],[Institution Name]])+SUMIFS(InputResearch[Psychology St. Approp.],InputResearch[Institution Name],ListHRI[[#This Row],[Institution Name]])+SUMIFS(InputResearch[Psychology St. C&amp;G],InputResearch[Institution Name],ListHRI[[#This Row],[Institution Name]])+SUMIFS(InputResearch[Psychology Inst Res],InputResearch[Institution Name],ListHRI[[#This Row],[Institution Name]])+SUMIFS(InputResearch[Psychology PFP],InputResearch[Institution Name],ListHRI[[#This Row],[Institution Name]])+SUMIFS(InputResearch[Psychology PNP],InputResearch[Institution Name],ListHRI[[#This Row],[Institution Name]])</f>
        <v>0</v>
      </c>
      <c r="M19" s="47">
        <f>SUMIFS(InputResearch[Social Sci. Fed],InputResearch[Institution Name],ListHRI[[#This Row],[Institution Name]])+SUMIFS(InputResearch[Social Sci. St. Approp.],InputResearch[Institution Name],ListHRI[[#This Row],[Institution Name]])+SUMIFS(InputResearch[Social Sci. St. C&amp;G],InputResearch[Institution Name],ListHRI[[#This Row],[Institution Name]])+SUMIFS(InputResearch[Social Sci. Inst Res],InputResearch[Institution Name],ListHRI[[#This Row],[Institution Name]])+SUMIFS(InputResearch[Social Sci. PFP],InputResearch[Institution Name],ListHRI[[#This Row],[Institution Name]])+SUMIFS(InputResearch[Social Sci. PNP],InputResearch[Institution Name],ListHRI[[#This Row],[Institution Name]])</f>
        <v>0</v>
      </c>
      <c r="N19" s="47">
        <f>SUMIFS(InputResearch[Other Sci. Fed],InputResearch[Institution Name],ListHRI[[#This Row],[Institution Name]])+SUMIFS(InputResearch[Other Sci. St. Approp.],InputResearch[Institution Name],ListHRI[[#This Row],[Institution Name]])+SUMIFS(InputResearch[Other Sci. St. C&amp;G],InputResearch[Institution Name],ListHRI[[#This Row],[Institution Name]])+SUMIFS(InputResearch[Other Sci. Inst Res],InputResearch[Institution Name],ListHRI[[#This Row],[Institution Name]])+SUMIFS(InputResearch[Other Sci. PFP],InputResearch[Institution Name],ListHRI[[#This Row],[Institution Name]])+SUMIFS(InputResearch[Other Sci. PNP],InputResearch[Institution Name],ListHRI[[#This Row],[Institution Name]])</f>
        <v>0</v>
      </c>
      <c r="O19" s="47">
        <f>SUMIFS(InputResearch[Arts &amp; Humanities Fed],InputResearch[Institution Name],ListHRI[[#This Row],[Institution Name]])+SUMIFS(InputResearch[Arts &amp; Humanities St. Approp.],InputResearch[Institution Name],ListHRI[[#This Row],[Institution Name]])+SUMIFS(InputResearch[Arts &amp; Humanities St. C&amp;G],InputResearch[Institution Name],ListHRI[[#This Row],[Institution Name]])+SUMIFS(InputResearch[Arts &amp; Humanities Inst Res],InputResearch[Institution Name],ListHRI[[#This Row],[Institution Name]])+SUMIFS(InputResearch[Arts &amp; Humanities PFP],InputResearch[Institution Name],ListHRI[[#This Row],[Institution Name]])+SUMIFS(InputResearch[Arts &amp; Humanities PNP],InputResearch[Institution Name],ListHRI[[#This Row],[Institution Name]])</f>
        <v>0</v>
      </c>
      <c r="P19" s="47">
        <f>SUMIFS(InputResearch[Business Fed],InputResearch[Institution Name],ListHRI[[#This Row],[Institution Name]])+SUMIFS(InputResearch[Business St. Approp.],InputResearch[Institution Name],ListHRI[[#This Row],[Institution Name]])+SUMIFS(InputResearch[Business St. C&amp;G],InputResearch[Institution Name],ListHRI[[#This Row],[Institution Name]])+SUMIFS(InputResearch[Business Inst Res],InputResearch[Institution Name],ListHRI[[#This Row],[Institution Name]])+SUMIFS(InputResearch[Business PFP],InputResearch[Institution Name],ListHRI[[#This Row],[Institution Name]])+SUMIFS(InputResearch[Business PNP],InputResearch[Institution Name],ListHRI[[#This Row],[Institution Name]])</f>
        <v>0</v>
      </c>
      <c r="Q19" s="47">
        <f>SUMIFS(InputResearch[Education Fed],InputResearch[Institution Name],ListHRI[[#This Row],[Institution Name]])+SUMIFS(InputResearch[Education St. Approp.],InputResearch[Institution Name],ListHRI[[#This Row],[Institution Name]])+SUMIFS(InputResearch[Education St. C&amp;G],InputResearch[Institution Name],ListHRI[[#This Row],[Institution Name]])+SUMIFS(InputResearch[Education Inst Res],InputResearch[Institution Name],ListHRI[[#This Row],[Institution Name]])+SUMIFS(InputResearch[Education PFP],InputResearch[Institution Name],ListHRI[[#This Row],[Institution Name]])+SUMIFS(InputResearch[Education PNP],InputResearch[Institution Name],ListHRI[[#This Row],[Institution Name]])</f>
        <v>0</v>
      </c>
      <c r="R19" s="47">
        <f>SUMIFS(InputResearch[Law Fed],InputResearch[Institution Name],ListHRI[[#This Row],[Institution Name]])+SUMIFS(InputResearch[Law St. Approp.],InputResearch[Institution Name],ListHRI[[#This Row],[Institution Name]])+SUMIFS(InputResearch[Law St. C&amp;G],InputResearch[Institution Name],ListHRI[[#This Row],[Institution Name]])+SUMIFS(InputResearch[Law Inst Res],InputResearch[Institution Name],ListHRI[[#This Row],[Institution Name]])+SUMIFS(InputResearch[Law PFP],InputResearch[Institution Name],ListHRI[[#This Row],[Institution Name]])+SUMIFS(InputResearch[Law PNP],InputResearch[Institution Name],ListHRI[[#This Row],[Institution Name]])</f>
        <v>0</v>
      </c>
      <c r="S19" s="47">
        <f>SUMIFS(InputResearch[Other Non-Sci. Fed],InputResearch[Institution Name],ListHRI[[#This Row],[Institution Name]])+SUMIFS(InputResearch[Other Non-Sci. St. Approp.],InputResearch[Institution Name],ListHRI[[#This Row],[Institution Name]])+SUMIFS(InputResearch[Other Non-Sci. St. C&amp;G],InputResearch[Institution Name],ListHRI[[#This Row],[Institution Name]])+SUMIFS(InputResearch[Other Non-Sci. Inst Res],InputResearch[Institution Name],ListHRI[[#This Row],[Institution Name]])+SUMIFS(InputResearch[Other Non-Sci. PFP],InputResearch[Institution Name],ListHRI[[#This Row],[Institution Name]])+SUMIFS(InputResearch[Other Non-Sci. PNP],InputResearch[Institution Name],ListHRI[[#This Row],[Institution Name]])</f>
        <v>0</v>
      </c>
      <c r="T19" s="94"/>
    </row>
    <row r="20" spans="1:20">
      <c r="C20" s="46"/>
      <c r="D20" s="310">
        <f>SUBTOTAL(109,ListHRI[Agricultural 
Sciences])</f>
        <v>1219911</v>
      </c>
      <c r="E20" s="310">
        <f>SUBTOTAL(109,ListHRI[Biological &amp; Other 
Life Sciences])</f>
        <v>862148736</v>
      </c>
      <c r="F20" s="310">
        <f>SUBTOTAL(109,ListHRI[Computer 
Science])</f>
        <v>3547</v>
      </c>
      <c r="G20" s="310">
        <f>SUBTOTAL(109,ListHRI[Engineering])</f>
        <v>5369857</v>
      </c>
      <c r="H20" s="310">
        <f>SUBTOTAL(109,ListHRI[Environmental 
Sciences])</f>
        <v>613266</v>
      </c>
      <c r="I20" s="310">
        <f>SUBTOTAL(109,ListHRI[Mathematical 
Sciences])</f>
        <v>22439363</v>
      </c>
      <c r="J20" s="310">
        <f>SUBTOTAL(109,ListHRI[Medical 
Sciences])</f>
        <v>2033249388</v>
      </c>
      <c r="K20" s="310">
        <f>SUBTOTAL(109,ListHRI[Physical 
Sciences])</f>
        <v>21540387</v>
      </c>
      <c r="L20" s="310">
        <f>SUBTOTAL(109,ListHRI[Psychology])</f>
        <v>17034080</v>
      </c>
      <c r="M20" s="310">
        <f>SUBTOTAL(109,ListHRI[Social 
Sciences])</f>
        <v>24112886</v>
      </c>
      <c r="N20" s="310">
        <f>SUBTOTAL(109,ListHRI[Other Sciences not 
classified above])</f>
        <v>85595489.999999985</v>
      </c>
      <c r="O20" s="310">
        <f>SUBTOTAL(109,ListHRI[Arts &amp; 
Humanities])</f>
        <v>0</v>
      </c>
      <c r="P20" s="310">
        <f>SUBTOTAL(109,ListHRI[Business 
Administration])</f>
        <v>0</v>
      </c>
      <c r="Q20" s="310">
        <f>SUBTOTAL(109,ListHRI[Education])</f>
        <v>2759910</v>
      </c>
      <c r="R20" s="310">
        <f>SUBTOTAL(109,ListHRI[Law])</f>
        <v>9490</v>
      </c>
      <c r="S20" s="310">
        <f>SUBTOTAL(109,ListHRI[Other Non-Science 
Activities])</f>
        <v>177967</v>
      </c>
      <c r="T20" s="94"/>
    </row>
    <row r="21" spans="1:20">
      <c r="A21" s="91"/>
      <c r="B21" s="92"/>
      <c r="C21" s="92"/>
      <c r="D21" s="92"/>
      <c r="E21" s="92"/>
      <c r="F21" s="92"/>
      <c r="G21" s="92"/>
      <c r="H21" s="92"/>
      <c r="I21" s="92"/>
      <c r="J21" s="92"/>
      <c r="K21" s="92"/>
      <c r="L21" s="92"/>
      <c r="M21" s="92"/>
      <c r="N21" s="92"/>
      <c r="O21" s="92"/>
      <c r="P21" s="92"/>
      <c r="Q21" s="92"/>
      <c r="R21" s="92"/>
      <c r="S21" s="94"/>
      <c r="T21" s="94"/>
    </row>
    <row r="22" spans="1:20" ht="33" customHeight="1">
      <c r="A22" s="439" t="s">
        <v>992</v>
      </c>
      <c r="B22" s="440"/>
      <c r="C22" s="440"/>
      <c r="D22" s="440"/>
      <c r="E22" s="440"/>
      <c r="F22" s="440"/>
      <c r="G22" s="440"/>
      <c r="H22" s="440"/>
      <c r="I22" s="440"/>
      <c r="J22" s="440"/>
      <c r="K22" s="440"/>
      <c r="L22" s="440"/>
      <c r="M22" s="440"/>
      <c r="N22" s="440"/>
      <c r="O22" s="440"/>
      <c r="P22" s="440"/>
      <c r="Q22" s="440"/>
      <c r="R22" s="440"/>
      <c r="S22" s="440"/>
      <c r="T22" s="94"/>
    </row>
    <row r="23" spans="1:20" ht="17.399999999999999">
      <c r="A23" s="438">
        <f>Hidden!$A$4</f>
        <v>45412</v>
      </c>
      <c r="B23" s="438"/>
      <c r="C23" s="438"/>
      <c r="D23" s="438"/>
      <c r="E23" s="438"/>
      <c r="F23" s="438"/>
      <c r="G23" s="438"/>
      <c r="H23" s="438"/>
      <c r="I23" s="438"/>
      <c r="J23" s="438"/>
      <c r="K23" s="438"/>
      <c r="L23" s="438"/>
      <c r="M23" s="438"/>
      <c r="N23" s="438"/>
      <c r="O23" s="438"/>
      <c r="P23" s="438"/>
      <c r="Q23" s="438"/>
      <c r="R23" s="438"/>
      <c r="S23" s="438"/>
      <c r="T23" s="94"/>
    </row>
    <row r="24" spans="1:20">
      <c r="A24" s="91"/>
      <c r="B24" s="92"/>
      <c r="C24" s="92"/>
      <c r="D24" s="92"/>
      <c r="E24" s="92"/>
      <c r="F24" s="92"/>
      <c r="G24" s="92"/>
      <c r="H24" s="92"/>
      <c r="I24" s="92"/>
      <c r="J24" s="92"/>
      <c r="K24" s="92"/>
      <c r="L24" s="92"/>
      <c r="M24" s="92"/>
      <c r="N24" s="92"/>
      <c r="O24" s="92"/>
      <c r="P24" s="92"/>
      <c r="Q24" s="92"/>
      <c r="R24" s="92"/>
      <c r="S24" s="94"/>
      <c r="T24" s="94"/>
    </row>
    <row r="25" spans="1:20" s="45" customFormat="1" ht="30">
      <c r="A25" s="79" t="s">
        <v>1</v>
      </c>
      <c r="B25" s="80" t="s">
        <v>889</v>
      </c>
      <c r="C25" s="44" t="s">
        <v>2</v>
      </c>
      <c r="D25" s="114" t="s">
        <v>869</v>
      </c>
      <c r="E25" s="114" t="s">
        <v>870</v>
      </c>
      <c r="F25" s="114" t="s">
        <v>861</v>
      </c>
      <c r="G25" s="44" t="s">
        <v>87</v>
      </c>
      <c r="H25" s="114" t="s">
        <v>862</v>
      </c>
      <c r="I25" s="114" t="s">
        <v>863</v>
      </c>
      <c r="J25" s="114" t="s">
        <v>864</v>
      </c>
      <c r="K25" s="114" t="s">
        <v>865</v>
      </c>
      <c r="L25" s="44" t="s">
        <v>92</v>
      </c>
      <c r="M25" s="114" t="s">
        <v>872</v>
      </c>
      <c r="N25" s="114" t="s">
        <v>866</v>
      </c>
      <c r="O25" s="114" t="s">
        <v>871</v>
      </c>
      <c r="P25" s="114" t="s">
        <v>867</v>
      </c>
      <c r="Q25" s="44" t="s">
        <v>97</v>
      </c>
      <c r="R25" s="44" t="s">
        <v>98</v>
      </c>
      <c r="S25" s="114" t="s">
        <v>868</v>
      </c>
      <c r="T25" s="94"/>
    </row>
    <row r="26" spans="1:20">
      <c r="A26" s="43" t="s">
        <v>63</v>
      </c>
      <c r="B26" s="95">
        <f>VLOOKUP(ListTSTC[[#This Row],[Institution Name]],InputResearch[],3,FALSE)</f>
        <v>490</v>
      </c>
      <c r="C26" s="282">
        <v>36273</v>
      </c>
      <c r="D26" s="47">
        <f>SUMIFS(InputResearch[Agricultural Sci. Fed],InputResearch[Institution Name],ListTSTC[[#This Row],[Institution Name]])+SUMIFS(InputResearch[Agricultural Sci. St. Approp.],InputResearch[Institution Name],ListTSTC[[#This Row],[Institution Name]])+SUMIFS(InputResearch[Agricultural Sci. St. C&amp;G],InputResearch[Institution Name],ListTSTC[[#This Row],[Institution Name]])+SUMIFS(InputResearch[Agricultural Sci. Inst Res],InputResearch[Institution Name],ListTSTC[[#This Row],[Institution Name]])+SUMIFS(InputResearch[Agricultural Sci. PFP],InputResearch[Institution Name],ListTSTC[[#This Row],[Institution Name]])+SUMIFS(InputResearch[Agricultural Sci. PNP],InputResearch[Institution Name],ListTSTC[[#This Row],[Institution Name]])</f>
        <v>0</v>
      </c>
      <c r="E26" s="47">
        <f>SUMIFS(InputResearch[Biological &amp; Other Life Sci. Fed],InputResearch[Institution Name],ListTSTC[[#This Row],[Institution Name]])+SUMIFS(InputResearch[Biological &amp; Other Life Sci. St. Approp.],InputResearch[Institution Name],ListTSTC[[#This Row],[Institution Name]])+SUMIFS(InputResearch[Biological &amp; Other Life Sci. St. C&amp;G],InputResearch[Institution Name],ListTSTC[[#This Row],[Institution Name]])+SUMIFS(InputResearch[Biological &amp; Other Life Sci. Inst Res],InputResearch[Institution Name],ListTSTC[[#This Row],[Institution Name]])+SUMIFS(InputResearch[Biological &amp; Other Life Sci. PFP],InputResearch[Institution Name],ListTSTC[[#This Row],[Institution Name]])+SUMIFS(InputResearch[Biological &amp; Other Life Sci. PNP],InputResearch[Institution Name],ListTSTC[[#This Row],[Institution Name]])</f>
        <v>0</v>
      </c>
      <c r="F26" s="47">
        <f>SUMIFS(InputResearch[Comp. Sci. Fed],InputResearch[Institution Name],ListTSTC[[#This Row],[Institution Name]])+SUMIFS(InputResearch[Comp. Sci. St. Approp.],InputResearch[Institution Name],ListTSTC[[#This Row],[Institution Name]])+SUMIFS(InputResearch[Comp. Sci. St. C&amp;G],InputResearch[Institution Name],ListTSTC[[#This Row],[Institution Name]])+SUMIFS(InputResearch[Comp. Sci. Inst Res],InputResearch[Institution Name],ListTSTC[[#This Row],[Institution Name]])+SUMIFS(InputResearch[Comp. Sci. PFP],InputResearch[Institution Name],ListTSTC[[#This Row],[Institution Name]])+SUMIFS(InputResearch[Comp. Sci. PNP],InputResearch[Institution Name],ListTSTC[[#This Row],[Institution Name]])</f>
        <v>0</v>
      </c>
      <c r="G26" s="47">
        <f>SUMIFS(InputResearch[Engineering Fed],InputResearch[Institution Name],ListTSTC[[#This Row],[Institution Name]])+SUMIFS(InputResearch[Engineering St. Approp.],InputResearch[Institution Name],ListTSTC[[#This Row],[Institution Name]])+SUMIFS(InputResearch[Engineering St. C&amp;G],InputResearch[Institution Name],ListTSTC[[#This Row],[Institution Name]])+SUMIFS(InputResearch[Engineering Inst Res],InputResearch[Institution Name],ListTSTC[[#This Row],[Institution Name]])+SUMIFS(InputResearch[Engineering PFP],InputResearch[Institution Name],ListTSTC[[#This Row],[Institution Name]])+SUMIFS(InputResearch[Engineering PNP],InputResearch[Institution Name],ListTSTC[[#This Row],[Institution Name]])</f>
        <v>0</v>
      </c>
      <c r="H26" s="47">
        <f>SUMIFS(InputResearch[Env Sci. Fed],InputResearch[Institution Name],ListTSTC[[#This Row],[Institution Name]])+SUMIFS(InputResearch[Env Sci. St. Approp.],InputResearch[Institution Name],ListTSTC[[#This Row],[Institution Name]])+SUMIFS(InputResearch[Env Sci. St. C&amp;G],InputResearch[Institution Name],ListTSTC[[#This Row],[Institution Name]])+SUMIFS(InputResearch[Env Sci. Inst Res],InputResearch[Institution Name],ListTSTC[[#This Row],[Institution Name]])+SUMIFS(InputResearch[Env Sci. PFP],InputResearch[Institution Name],ListTSTC[[#This Row],[Institution Name]])+SUMIFS(InputResearch[Env Sci. PNP],InputResearch[Institution Name],ListTSTC[[#This Row],[Institution Name]])</f>
        <v>0</v>
      </c>
      <c r="I26" s="47">
        <f>SUMIFS(InputResearch[Math Fed],InputResearch[Institution Name],ListTSTC[[#This Row],[Institution Name]])+SUMIFS(InputResearch[Math St. Approp.],InputResearch[Institution Name],ListTSTC[[#This Row],[Institution Name]])+SUMIFS(InputResearch[Math St. C&amp;G],InputResearch[Institution Name],ListTSTC[[#This Row],[Institution Name]])+SUMIFS(InputResearch[Math Inst Res],InputResearch[Institution Name],ListTSTC[[#This Row],[Institution Name]])+SUMIFS(InputResearch[Math PFP],InputResearch[Institution Name],ListTSTC[[#This Row],[Institution Name]])+SUMIFS(InputResearch[Math PNP],InputResearch[Institution Name],ListTSTC[[#This Row],[Institution Name]])</f>
        <v>0</v>
      </c>
      <c r="J26" s="47">
        <f>SUMIFS(InputResearch[Medical Fed],InputResearch[Institution Name],ListTSTC[[#This Row],[Institution Name]])+SUMIFS(InputResearch[Medical St. Approp.],InputResearch[Institution Name],ListTSTC[[#This Row],[Institution Name]])+SUMIFS(InputResearch[Medical St. C&amp;G],InputResearch[Institution Name],ListTSTC[[#This Row],[Institution Name]])+SUMIFS(InputResearch[Medical Inst Res],InputResearch[Institution Name],ListTSTC[[#This Row],[Institution Name]])+SUMIFS(InputResearch[Medical PFP],InputResearch[Institution Name],ListTSTC[[#This Row],[Institution Name]])+SUMIFS(InputResearch[Medical PNP],InputResearch[Institution Name],ListTSTC[[#This Row],[Institution Name]])</f>
        <v>0</v>
      </c>
      <c r="K26" s="47">
        <f>SUMIFS(InputResearch[Physical Sci. Fed],InputResearch[Institution Name],ListTSTC[[#This Row],[Institution Name]])+SUMIFS(InputResearch[Physical Sci. St. Approp.],InputResearch[Institution Name],ListTSTC[[#This Row],[Institution Name]])+SUMIFS(InputResearch[Physical Sci. St. C&amp;G],InputResearch[Institution Name],ListTSTC[[#This Row],[Institution Name]])+SUMIFS(InputResearch[Physical Sci. Inst Res],InputResearch[Institution Name],ListTSTC[[#This Row],[Institution Name]])+SUMIFS(InputResearch[Physical Sci. PFP],InputResearch[Institution Name],ListTSTC[[#This Row],[Institution Name]])+SUMIFS(InputResearch[Physical Sci. PNP],InputResearch[Institution Name],ListTSTC[[#This Row],[Institution Name]])</f>
        <v>0</v>
      </c>
      <c r="L26" s="47">
        <f>SUMIFS(InputResearch[Psychology Fed],InputResearch[Institution Name],ListTSTC[[#This Row],[Institution Name]])+SUMIFS(InputResearch[Psychology St. Approp.],InputResearch[Institution Name],ListTSTC[[#This Row],[Institution Name]])+SUMIFS(InputResearch[Psychology St. C&amp;G],InputResearch[Institution Name],ListTSTC[[#This Row],[Institution Name]])+SUMIFS(InputResearch[Psychology Inst Res],InputResearch[Institution Name],ListTSTC[[#This Row],[Institution Name]])+SUMIFS(InputResearch[Psychology PFP],InputResearch[Institution Name],ListTSTC[[#This Row],[Institution Name]])+SUMIFS(InputResearch[Psychology PNP],InputResearch[Institution Name],ListTSTC[[#This Row],[Institution Name]])</f>
        <v>0</v>
      </c>
      <c r="M26" s="47">
        <f>SUMIFS(InputResearch[Social Sci. Fed],InputResearch[Institution Name],ListTSTC[[#This Row],[Institution Name]])+SUMIFS(InputResearch[Social Sci. St. Approp.],InputResearch[Institution Name],ListTSTC[[#This Row],[Institution Name]])+SUMIFS(InputResearch[Social Sci. St. C&amp;G],InputResearch[Institution Name],ListTSTC[[#This Row],[Institution Name]])+SUMIFS(InputResearch[Social Sci. Inst Res],InputResearch[Institution Name],ListTSTC[[#This Row],[Institution Name]])+SUMIFS(InputResearch[Social Sci. PFP],InputResearch[Institution Name],ListTSTC[[#This Row],[Institution Name]])+SUMIFS(InputResearch[Social Sci. PNP],InputResearch[Institution Name],ListTSTC[[#This Row],[Institution Name]])</f>
        <v>0</v>
      </c>
      <c r="N26" s="47">
        <f>SUMIFS(InputResearch[Other Sci. Fed],InputResearch[Institution Name],ListTSTC[[#This Row],[Institution Name]])+SUMIFS(InputResearch[Other Sci. St. Approp.],InputResearch[Institution Name],ListTSTC[[#This Row],[Institution Name]])+SUMIFS(InputResearch[Other Sci. St. C&amp;G],InputResearch[Institution Name],ListTSTC[[#This Row],[Institution Name]])+SUMIFS(InputResearch[Other Sci. Inst Res],InputResearch[Institution Name],ListTSTC[[#This Row],[Institution Name]])+SUMIFS(InputResearch[Other Sci. PFP],InputResearch[Institution Name],ListTSTC[[#This Row],[Institution Name]])+SUMIFS(InputResearch[Other Sci. PNP],InputResearch[Institution Name],ListTSTC[[#This Row],[Institution Name]])</f>
        <v>0</v>
      </c>
      <c r="O26" s="47">
        <f>SUMIFS(InputResearch[Arts &amp; Humanities Fed],InputResearch[Institution Name],ListTSTC[[#This Row],[Institution Name]])+SUMIFS(InputResearch[Arts &amp; Humanities St. Approp.],InputResearch[Institution Name],ListTSTC[[#This Row],[Institution Name]])+SUMIFS(InputResearch[Arts &amp; Humanities St. C&amp;G],InputResearch[Institution Name],ListTSTC[[#This Row],[Institution Name]])+SUMIFS(InputResearch[Arts &amp; Humanities Inst Res],InputResearch[Institution Name],ListTSTC[[#This Row],[Institution Name]])+SUMIFS(InputResearch[Arts &amp; Humanities PFP],InputResearch[Institution Name],ListTSTC[[#This Row],[Institution Name]])+SUMIFS(InputResearch[Arts &amp; Humanities PNP],InputResearch[Institution Name],ListTSTC[[#This Row],[Institution Name]])</f>
        <v>0</v>
      </c>
      <c r="P26" s="47">
        <f>SUMIFS(InputResearch[Business Fed],InputResearch[Institution Name],ListTSTC[[#This Row],[Institution Name]])+SUMIFS(InputResearch[Business St. Approp.],InputResearch[Institution Name],ListTSTC[[#This Row],[Institution Name]])+SUMIFS(InputResearch[Business St. C&amp;G],InputResearch[Institution Name],ListTSTC[[#This Row],[Institution Name]])+SUMIFS(InputResearch[Business Inst Res],InputResearch[Institution Name],ListTSTC[[#This Row],[Institution Name]])+SUMIFS(InputResearch[Business PFP],InputResearch[Institution Name],ListTSTC[[#This Row],[Institution Name]])+SUMIFS(InputResearch[Business PNP],InputResearch[Institution Name],ListTSTC[[#This Row],[Institution Name]])</f>
        <v>0</v>
      </c>
      <c r="Q26" s="47">
        <f>SUMIFS(InputResearch[Education Fed],InputResearch[Institution Name],ListTSTC[[#This Row],[Institution Name]])+SUMIFS(InputResearch[Education St. Approp.],InputResearch[Institution Name],ListTSTC[[#This Row],[Institution Name]])+SUMIFS(InputResearch[Education St. C&amp;G],InputResearch[Institution Name],ListTSTC[[#This Row],[Institution Name]])+SUMIFS(InputResearch[Education Inst Res],InputResearch[Institution Name],ListTSTC[[#This Row],[Institution Name]])+SUMIFS(InputResearch[Education PFP],InputResearch[Institution Name],ListTSTC[[#This Row],[Institution Name]])+SUMIFS(InputResearch[Education PNP],InputResearch[Institution Name],ListTSTC[[#This Row],[Institution Name]])</f>
        <v>0</v>
      </c>
      <c r="R26" s="47">
        <f>SUMIFS(InputResearch[Law Fed],InputResearch[Institution Name],ListTSTC[[#This Row],[Institution Name]])+SUMIFS(InputResearch[Law St. Approp.],InputResearch[Institution Name],ListTSTC[[#This Row],[Institution Name]])+SUMIFS(InputResearch[Law St. C&amp;G],InputResearch[Institution Name],ListTSTC[[#This Row],[Institution Name]])+SUMIFS(InputResearch[Law Inst Res],InputResearch[Institution Name],ListTSTC[[#This Row],[Institution Name]])+SUMIFS(InputResearch[Law PFP],InputResearch[Institution Name],ListTSTC[[#This Row],[Institution Name]])+SUMIFS(InputResearch[Law PNP],InputResearch[Institution Name],ListTSTC[[#This Row],[Institution Name]])</f>
        <v>0</v>
      </c>
      <c r="S26" s="47">
        <f>SUMIFS(InputResearch[Other Non-Sci. Fed],InputResearch[Institution Name],ListTSTC[[#This Row],[Institution Name]])+SUMIFS(InputResearch[Other Non-Sci. St. Approp.],InputResearch[Institution Name],ListTSTC[[#This Row],[Institution Name]])+SUMIFS(InputResearch[Other Non-Sci. St. C&amp;G],InputResearch[Institution Name],ListTSTC[[#This Row],[Institution Name]])+SUMIFS(InputResearch[Other Non-Sci. Inst Res],InputResearch[Institution Name],ListTSTC[[#This Row],[Institution Name]])+SUMIFS(InputResearch[Other Non-Sci. PFP],InputResearch[Institution Name],ListTSTC[[#This Row],[Institution Name]])+SUMIFS(InputResearch[Other Non-Sci. PNP],InputResearch[Institution Name],ListTSTC[[#This Row],[Institution Name]])</f>
        <v>0</v>
      </c>
      <c r="T26" s="94"/>
    </row>
    <row r="27" spans="1:20">
      <c r="A27" s="43" t="s">
        <v>64</v>
      </c>
      <c r="B27" s="95">
        <f>VLOOKUP(ListTSTC[[#This Row],[Institution Name]],InputResearch[],3,FALSE)</f>
        <v>500</v>
      </c>
      <c r="C27" s="282">
        <v>23582</v>
      </c>
      <c r="D27" s="47">
        <f>SUMIFS(InputResearch[Agricultural Sci. Fed],InputResearch[Institution Name],ListTSTC[[#This Row],[Institution Name]])+SUMIFS(InputResearch[Agricultural Sci. St. Approp.],InputResearch[Institution Name],ListTSTC[[#This Row],[Institution Name]])+SUMIFS(InputResearch[Agricultural Sci. St. C&amp;G],InputResearch[Institution Name],ListTSTC[[#This Row],[Institution Name]])+SUMIFS(InputResearch[Agricultural Sci. Inst Res],InputResearch[Institution Name],ListTSTC[[#This Row],[Institution Name]])+SUMIFS(InputResearch[Agricultural Sci. PFP],InputResearch[Institution Name],ListTSTC[[#This Row],[Institution Name]])+SUMIFS(InputResearch[Agricultural Sci. PNP],InputResearch[Institution Name],ListTSTC[[#This Row],[Institution Name]])</f>
        <v>0</v>
      </c>
      <c r="E27" s="47">
        <f>SUMIFS(InputResearch[Biological &amp; Other Life Sci. Fed],InputResearch[Institution Name],ListTSTC[[#This Row],[Institution Name]])+SUMIFS(InputResearch[Biological &amp; Other Life Sci. St. Approp.],InputResearch[Institution Name],ListTSTC[[#This Row],[Institution Name]])+SUMIFS(InputResearch[Biological &amp; Other Life Sci. St. C&amp;G],InputResearch[Institution Name],ListTSTC[[#This Row],[Institution Name]])+SUMIFS(InputResearch[Biological &amp; Other Life Sci. Inst Res],InputResearch[Institution Name],ListTSTC[[#This Row],[Institution Name]])+SUMIFS(InputResearch[Biological &amp; Other Life Sci. PFP],InputResearch[Institution Name],ListTSTC[[#This Row],[Institution Name]])+SUMIFS(InputResearch[Biological &amp; Other Life Sci. PNP],InputResearch[Institution Name],ListTSTC[[#This Row],[Institution Name]])</f>
        <v>0</v>
      </c>
      <c r="F27" s="47">
        <f>SUMIFS(InputResearch[Comp. Sci. Fed],InputResearch[Institution Name],ListTSTC[[#This Row],[Institution Name]])+SUMIFS(InputResearch[Comp. Sci. St. Approp.],InputResearch[Institution Name],ListTSTC[[#This Row],[Institution Name]])+SUMIFS(InputResearch[Comp. Sci. St. C&amp;G],InputResearch[Institution Name],ListTSTC[[#This Row],[Institution Name]])+SUMIFS(InputResearch[Comp. Sci. Inst Res],InputResearch[Institution Name],ListTSTC[[#This Row],[Institution Name]])+SUMIFS(InputResearch[Comp. Sci. PFP],InputResearch[Institution Name],ListTSTC[[#This Row],[Institution Name]])+SUMIFS(InputResearch[Comp. Sci. PNP],InputResearch[Institution Name],ListTSTC[[#This Row],[Institution Name]])</f>
        <v>0</v>
      </c>
      <c r="G27" s="47">
        <f>SUMIFS(InputResearch[Engineering Fed],InputResearch[Institution Name],ListTSTC[[#This Row],[Institution Name]])+SUMIFS(InputResearch[Engineering St. Approp.],InputResearch[Institution Name],ListTSTC[[#This Row],[Institution Name]])+SUMIFS(InputResearch[Engineering St. C&amp;G],InputResearch[Institution Name],ListTSTC[[#This Row],[Institution Name]])+SUMIFS(InputResearch[Engineering Inst Res],InputResearch[Institution Name],ListTSTC[[#This Row],[Institution Name]])+SUMIFS(InputResearch[Engineering PFP],InputResearch[Institution Name],ListTSTC[[#This Row],[Institution Name]])+SUMIFS(InputResearch[Engineering PNP],InputResearch[Institution Name],ListTSTC[[#This Row],[Institution Name]])</f>
        <v>0</v>
      </c>
      <c r="H27" s="47">
        <f>SUMIFS(InputResearch[Env Sci. Fed],InputResearch[Institution Name],ListTSTC[[#This Row],[Institution Name]])+SUMIFS(InputResearch[Env Sci. St. Approp.],InputResearch[Institution Name],ListTSTC[[#This Row],[Institution Name]])+SUMIFS(InputResearch[Env Sci. St. C&amp;G],InputResearch[Institution Name],ListTSTC[[#This Row],[Institution Name]])+SUMIFS(InputResearch[Env Sci. Inst Res],InputResearch[Institution Name],ListTSTC[[#This Row],[Institution Name]])+SUMIFS(InputResearch[Env Sci. PFP],InputResearch[Institution Name],ListTSTC[[#This Row],[Institution Name]])+SUMIFS(InputResearch[Env Sci. PNP],InputResearch[Institution Name],ListTSTC[[#This Row],[Institution Name]])</f>
        <v>0</v>
      </c>
      <c r="I27" s="47">
        <f>SUMIFS(InputResearch[Math Fed],InputResearch[Institution Name],ListTSTC[[#This Row],[Institution Name]])+SUMIFS(InputResearch[Math St. Approp.],InputResearch[Institution Name],ListTSTC[[#This Row],[Institution Name]])+SUMIFS(InputResearch[Math St. C&amp;G],InputResearch[Institution Name],ListTSTC[[#This Row],[Institution Name]])+SUMIFS(InputResearch[Math Inst Res],InputResearch[Institution Name],ListTSTC[[#This Row],[Institution Name]])+SUMIFS(InputResearch[Math PFP],InputResearch[Institution Name],ListTSTC[[#This Row],[Institution Name]])+SUMIFS(InputResearch[Math PNP],InputResearch[Institution Name],ListTSTC[[#This Row],[Institution Name]])</f>
        <v>0</v>
      </c>
      <c r="J27" s="47">
        <f>SUMIFS(InputResearch[Medical Fed],InputResearch[Institution Name],ListTSTC[[#This Row],[Institution Name]])+SUMIFS(InputResearch[Medical St. Approp.],InputResearch[Institution Name],ListTSTC[[#This Row],[Institution Name]])+SUMIFS(InputResearch[Medical St. C&amp;G],InputResearch[Institution Name],ListTSTC[[#This Row],[Institution Name]])+SUMIFS(InputResearch[Medical Inst Res],InputResearch[Institution Name],ListTSTC[[#This Row],[Institution Name]])+SUMIFS(InputResearch[Medical PFP],InputResearch[Institution Name],ListTSTC[[#This Row],[Institution Name]])+SUMIFS(InputResearch[Medical PNP],InputResearch[Institution Name],ListTSTC[[#This Row],[Institution Name]])</f>
        <v>0</v>
      </c>
      <c r="K27" s="47">
        <f>SUMIFS(InputResearch[Physical Sci. Fed],InputResearch[Institution Name],ListTSTC[[#This Row],[Institution Name]])+SUMIFS(InputResearch[Physical Sci. St. Approp.],InputResearch[Institution Name],ListTSTC[[#This Row],[Institution Name]])+SUMIFS(InputResearch[Physical Sci. St. C&amp;G],InputResearch[Institution Name],ListTSTC[[#This Row],[Institution Name]])+SUMIFS(InputResearch[Physical Sci. Inst Res],InputResearch[Institution Name],ListTSTC[[#This Row],[Institution Name]])+SUMIFS(InputResearch[Physical Sci. PFP],InputResearch[Institution Name],ListTSTC[[#This Row],[Institution Name]])+SUMIFS(InputResearch[Physical Sci. PNP],InputResearch[Institution Name],ListTSTC[[#This Row],[Institution Name]])</f>
        <v>0</v>
      </c>
      <c r="L27" s="47">
        <f>SUMIFS(InputResearch[Psychology Fed],InputResearch[Institution Name],ListTSTC[[#This Row],[Institution Name]])+SUMIFS(InputResearch[Psychology St. Approp.],InputResearch[Institution Name],ListTSTC[[#This Row],[Institution Name]])+SUMIFS(InputResearch[Psychology St. C&amp;G],InputResearch[Institution Name],ListTSTC[[#This Row],[Institution Name]])+SUMIFS(InputResearch[Psychology Inst Res],InputResearch[Institution Name],ListTSTC[[#This Row],[Institution Name]])+SUMIFS(InputResearch[Psychology PFP],InputResearch[Institution Name],ListTSTC[[#This Row],[Institution Name]])+SUMIFS(InputResearch[Psychology PNP],InputResearch[Institution Name],ListTSTC[[#This Row],[Institution Name]])</f>
        <v>0</v>
      </c>
      <c r="M27" s="47">
        <f>SUMIFS(InputResearch[Social Sci. Fed],InputResearch[Institution Name],ListTSTC[[#This Row],[Institution Name]])+SUMIFS(InputResearch[Social Sci. St. Approp.],InputResearch[Institution Name],ListTSTC[[#This Row],[Institution Name]])+SUMIFS(InputResearch[Social Sci. St. C&amp;G],InputResearch[Institution Name],ListTSTC[[#This Row],[Institution Name]])+SUMIFS(InputResearch[Social Sci. Inst Res],InputResearch[Institution Name],ListTSTC[[#This Row],[Institution Name]])+SUMIFS(InputResearch[Social Sci. PFP],InputResearch[Institution Name],ListTSTC[[#This Row],[Institution Name]])+SUMIFS(InputResearch[Social Sci. PNP],InputResearch[Institution Name],ListTSTC[[#This Row],[Institution Name]])</f>
        <v>0</v>
      </c>
      <c r="N27" s="47">
        <f>SUMIFS(InputResearch[Other Sci. Fed],InputResearch[Institution Name],ListTSTC[[#This Row],[Institution Name]])+SUMIFS(InputResearch[Other Sci. St. Approp.],InputResearch[Institution Name],ListTSTC[[#This Row],[Institution Name]])+SUMIFS(InputResearch[Other Sci. St. C&amp;G],InputResearch[Institution Name],ListTSTC[[#This Row],[Institution Name]])+SUMIFS(InputResearch[Other Sci. Inst Res],InputResearch[Institution Name],ListTSTC[[#This Row],[Institution Name]])+SUMIFS(InputResearch[Other Sci. PFP],InputResearch[Institution Name],ListTSTC[[#This Row],[Institution Name]])+SUMIFS(InputResearch[Other Sci. PNP],InputResearch[Institution Name],ListTSTC[[#This Row],[Institution Name]])</f>
        <v>0</v>
      </c>
      <c r="O27" s="47">
        <f>SUMIFS(InputResearch[Arts &amp; Humanities Fed],InputResearch[Institution Name],ListTSTC[[#This Row],[Institution Name]])+SUMIFS(InputResearch[Arts &amp; Humanities St. Approp.],InputResearch[Institution Name],ListTSTC[[#This Row],[Institution Name]])+SUMIFS(InputResearch[Arts &amp; Humanities St. C&amp;G],InputResearch[Institution Name],ListTSTC[[#This Row],[Institution Name]])+SUMIFS(InputResearch[Arts &amp; Humanities Inst Res],InputResearch[Institution Name],ListTSTC[[#This Row],[Institution Name]])+SUMIFS(InputResearch[Arts &amp; Humanities PFP],InputResearch[Institution Name],ListTSTC[[#This Row],[Institution Name]])+SUMIFS(InputResearch[Arts &amp; Humanities PNP],InputResearch[Institution Name],ListTSTC[[#This Row],[Institution Name]])</f>
        <v>0</v>
      </c>
      <c r="P27" s="47">
        <f>SUMIFS(InputResearch[Business Fed],InputResearch[Institution Name],ListTSTC[[#This Row],[Institution Name]])+SUMIFS(InputResearch[Business St. Approp.],InputResearch[Institution Name],ListTSTC[[#This Row],[Institution Name]])+SUMIFS(InputResearch[Business St. C&amp;G],InputResearch[Institution Name],ListTSTC[[#This Row],[Institution Name]])+SUMIFS(InputResearch[Business Inst Res],InputResearch[Institution Name],ListTSTC[[#This Row],[Institution Name]])+SUMIFS(InputResearch[Business PFP],InputResearch[Institution Name],ListTSTC[[#This Row],[Institution Name]])+SUMIFS(InputResearch[Business PNP],InputResearch[Institution Name],ListTSTC[[#This Row],[Institution Name]])</f>
        <v>0</v>
      </c>
      <c r="Q27" s="47">
        <f>SUMIFS(InputResearch[Education Fed],InputResearch[Institution Name],ListTSTC[[#This Row],[Institution Name]])+SUMIFS(InputResearch[Education St. Approp.],InputResearch[Institution Name],ListTSTC[[#This Row],[Institution Name]])+SUMIFS(InputResearch[Education St. C&amp;G],InputResearch[Institution Name],ListTSTC[[#This Row],[Institution Name]])+SUMIFS(InputResearch[Education Inst Res],InputResearch[Institution Name],ListTSTC[[#This Row],[Institution Name]])+SUMIFS(InputResearch[Education PFP],InputResearch[Institution Name],ListTSTC[[#This Row],[Institution Name]])+SUMIFS(InputResearch[Education PNP],InputResearch[Institution Name],ListTSTC[[#This Row],[Institution Name]])</f>
        <v>0</v>
      </c>
      <c r="R27" s="47">
        <f>SUMIFS(InputResearch[Law Fed],InputResearch[Institution Name],ListTSTC[[#This Row],[Institution Name]])+SUMIFS(InputResearch[Law St. Approp.],InputResearch[Institution Name],ListTSTC[[#This Row],[Institution Name]])+SUMIFS(InputResearch[Law St. C&amp;G],InputResearch[Institution Name],ListTSTC[[#This Row],[Institution Name]])+SUMIFS(InputResearch[Law Inst Res],InputResearch[Institution Name],ListTSTC[[#This Row],[Institution Name]])+SUMIFS(InputResearch[Law PFP],InputResearch[Institution Name],ListTSTC[[#This Row],[Institution Name]])+SUMIFS(InputResearch[Law PNP],InputResearch[Institution Name],ListTSTC[[#This Row],[Institution Name]])</f>
        <v>0</v>
      </c>
      <c r="S27" s="47">
        <f>SUMIFS(InputResearch[Other Non-Sci. Fed],InputResearch[Institution Name],ListTSTC[[#This Row],[Institution Name]])+SUMIFS(InputResearch[Other Non-Sci. St. Approp.],InputResearch[Institution Name],ListTSTC[[#This Row],[Institution Name]])+SUMIFS(InputResearch[Other Non-Sci. St. C&amp;G],InputResearch[Institution Name],ListTSTC[[#This Row],[Institution Name]])+SUMIFS(InputResearch[Other Non-Sci. Inst Res],InputResearch[Institution Name],ListTSTC[[#This Row],[Institution Name]])+SUMIFS(InputResearch[Other Non-Sci. PFP],InputResearch[Institution Name],ListTSTC[[#This Row],[Institution Name]])+SUMIFS(InputResearch[Other Non-Sci. PNP],InputResearch[Institution Name],ListTSTC[[#This Row],[Institution Name]])</f>
        <v>0</v>
      </c>
      <c r="T27" s="94"/>
    </row>
    <row r="28" spans="1:20">
      <c r="A28" s="43" t="s">
        <v>65</v>
      </c>
      <c r="B28" s="95">
        <f>VLOOKUP(ListTSTC[[#This Row],[Institution Name]],InputResearch[],3,FALSE)</f>
        <v>510</v>
      </c>
      <c r="C28" s="282">
        <v>23485</v>
      </c>
      <c r="D28" s="47">
        <f>SUMIFS(InputResearch[Agricultural Sci. Fed],InputResearch[Institution Name],ListTSTC[[#This Row],[Institution Name]])+SUMIFS(InputResearch[Agricultural Sci. St. Approp.],InputResearch[Institution Name],ListTSTC[[#This Row],[Institution Name]])+SUMIFS(InputResearch[Agricultural Sci. St. C&amp;G],InputResearch[Institution Name],ListTSTC[[#This Row],[Institution Name]])+SUMIFS(InputResearch[Agricultural Sci. Inst Res],InputResearch[Institution Name],ListTSTC[[#This Row],[Institution Name]])+SUMIFS(InputResearch[Agricultural Sci. PFP],InputResearch[Institution Name],ListTSTC[[#This Row],[Institution Name]])+SUMIFS(InputResearch[Agricultural Sci. PNP],InputResearch[Institution Name],ListTSTC[[#This Row],[Institution Name]])</f>
        <v>0</v>
      </c>
      <c r="E28" s="47">
        <f>SUMIFS(InputResearch[Biological &amp; Other Life Sci. Fed],InputResearch[Institution Name],ListTSTC[[#This Row],[Institution Name]])+SUMIFS(InputResearch[Biological &amp; Other Life Sci. St. Approp.],InputResearch[Institution Name],ListTSTC[[#This Row],[Institution Name]])+SUMIFS(InputResearch[Biological &amp; Other Life Sci. St. C&amp;G],InputResearch[Institution Name],ListTSTC[[#This Row],[Institution Name]])+SUMIFS(InputResearch[Biological &amp; Other Life Sci. Inst Res],InputResearch[Institution Name],ListTSTC[[#This Row],[Institution Name]])+SUMIFS(InputResearch[Biological &amp; Other Life Sci. PFP],InputResearch[Institution Name],ListTSTC[[#This Row],[Institution Name]])+SUMIFS(InputResearch[Biological &amp; Other Life Sci. PNP],InputResearch[Institution Name],ListTSTC[[#This Row],[Institution Name]])</f>
        <v>0</v>
      </c>
      <c r="F28" s="47">
        <f>SUMIFS(InputResearch[Comp. Sci. Fed],InputResearch[Institution Name],ListTSTC[[#This Row],[Institution Name]])+SUMIFS(InputResearch[Comp. Sci. St. Approp.],InputResearch[Institution Name],ListTSTC[[#This Row],[Institution Name]])+SUMIFS(InputResearch[Comp. Sci. St. C&amp;G],InputResearch[Institution Name],ListTSTC[[#This Row],[Institution Name]])+SUMIFS(InputResearch[Comp. Sci. Inst Res],InputResearch[Institution Name],ListTSTC[[#This Row],[Institution Name]])+SUMIFS(InputResearch[Comp. Sci. PFP],InputResearch[Institution Name],ListTSTC[[#This Row],[Institution Name]])+SUMIFS(InputResearch[Comp. Sci. PNP],InputResearch[Institution Name],ListTSTC[[#This Row],[Institution Name]])</f>
        <v>0</v>
      </c>
      <c r="G28" s="47">
        <f>SUMIFS(InputResearch[Engineering Fed],InputResearch[Institution Name],ListTSTC[[#This Row],[Institution Name]])+SUMIFS(InputResearch[Engineering St. Approp.],InputResearch[Institution Name],ListTSTC[[#This Row],[Institution Name]])+SUMIFS(InputResearch[Engineering St. C&amp;G],InputResearch[Institution Name],ListTSTC[[#This Row],[Institution Name]])+SUMIFS(InputResearch[Engineering Inst Res],InputResearch[Institution Name],ListTSTC[[#This Row],[Institution Name]])+SUMIFS(InputResearch[Engineering PFP],InputResearch[Institution Name],ListTSTC[[#This Row],[Institution Name]])+SUMIFS(InputResearch[Engineering PNP],InputResearch[Institution Name],ListTSTC[[#This Row],[Institution Name]])</f>
        <v>0</v>
      </c>
      <c r="H28" s="47">
        <f>SUMIFS(InputResearch[Env Sci. Fed],InputResearch[Institution Name],ListTSTC[[#This Row],[Institution Name]])+SUMIFS(InputResearch[Env Sci. St. Approp.],InputResearch[Institution Name],ListTSTC[[#This Row],[Institution Name]])+SUMIFS(InputResearch[Env Sci. St. C&amp;G],InputResearch[Institution Name],ListTSTC[[#This Row],[Institution Name]])+SUMIFS(InputResearch[Env Sci. Inst Res],InputResearch[Institution Name],ListTSTC[[#This Row],[Institution Name]])+SUMIFS(InputResearch[Env Sci. PFP],InputResearch[Institution Name],ListTSTC[[#This Row],[Institution Name]])+SUMIFS(InputResearch[Env Sci. PNP],InputResearch[Institution Name],ListTSTC[[#This Row],[Institution Name]])</f>
        <v>0</v>
      </c>
      <c r="I28" s="47">
        <f>SUMIFS(InputResearch[Math Fed],InputResearch[Institution Name],ListTSTC[[#This Row],[Institution Name]])+SUMIFS(InputResearch[Math St. Approp.],InputResearch[Institution Name],ListTSTC[[#This Row],[Institution Name]])+SUMIFS(InputResearch[Math St. C&amp;G],InputResearch[Institution Name],ListTSTC[[#This Row],[Institution Name]])+SUMIFS(InputResearch[Math Inst Res],InputResearch[Institution Name],ListTSTC[[#This Row],[Institution Name]])+SUMIFS(InputResearch[Math PFP],InputResearch[Institution Name],ListTSTC[[#This Row],[Institution Name]])+SUMIFS(InputResearch[Math PNP],InputResearch[Institution Name],ListTSTC[[#This Row],[Institution Name]])</f>
        <v>0</v>
      </c>
      <c r="J28" s="47">
        <f>SUMIFS(InputResearch[Medical Fed],InputResearch[Institution Name],ListTSTC[[#This Row],[Institution Name]])+SUMIFS(InputResearch[Medical St. Approp.],InputResearch[Institution Name],ListTSTC[[#This Row],[Institution Name]])+SUMIFS(InputResearch[Medical St. C&amp;G],InputResearch[Institution Name],ListTSTC[[#This Row],[Institution Name]])+SUMIFS(InputResearch[Medical Inst Res],InputResearch[Institution Name],ListTSTC[[#This Row],[Institution Name]])+SUMIFS(InputResearch[Medical PFP],InputResearch[Institution Name],ListTSTC[[#This Row],[Institution Name]])+SUMIFS(InputResearch[Medical PNP],InputResearch[Institution Name],ListTSTC[[#This Row],[Institution Name]])</f>
        <v>0</v>
      </c>
      <c r="K28" s="47">
        <f>SUMIFS(InputResearch[Physical Sci. Fed],InputResearch[Institution Name],ListTSTC[[#This Row],[Institution Name]])+SUMIFS(InputResearch[Physical Sci. St. Approp.],InputResearch[Institution Name],ListTSTC[[#This Row],[Institution Name]])+SUMIFS(InputResearch[Physical Sci. St. C&amp;G],InputResearch[Institution Name],ListTSTC[[#This Row],[Institution Name]])+SUMIFS(InputResearch[Physical Sci. Inst Res],InputResearch[Institution Name],ListTSTC[[#This Row],[Institution Name]])+SUMIFS(InputResearch[Physical Sci. PFP],InputResearch[Institution Name],ListTSTC[[#This Row],[Institution Name]])+SUMIFS(InputResearch[Physical Sci. PNP],InputResearch[Institution Name],ListTSTC[[#This Row],[Institution Name]])</f>
        <v>0</v>
      </c>
      <c r="L28" s="47">
        <f>SUMIFS(InputResearch[Psychology Fed],InputResearch[Institution Name],ListTSTC[[#This Row],[Institution Name]])+SUMIFS(InputResearch[Psychology St. Approp.],InputResearch[Institution Name],ListTSTC[[#This Row],[Institution Name]])+SUMIFS(InputResearch[Psychology St. C&amp;G],InputResearch[Institution Name],ListTSTC[[#This Row],[Institution Name]])+SUMIFS(InputResearch[Psychology Inst Res],InputResearch[Institution Name],ListTSTC[[#This Row],[Institution Name]])+SUMIFS(InputResearch[Psychology PFP],InputResearch[Institution Name],ListTSTC[[#This Row],[Institution Name]])+SUMIFS(InputResearch[Psychology PNP],InputResearch[Institution Name],ListTSTC[[#This Row],[Institution Name]])</f>
        <v>0</v>
      </c>
      <c r="M28" s="47">
        <f>SUMIFS(InputResearch[Social Sci. Fed],InputResearch[Institution Name],ListTSTC[[#This Row],[Institution Name]])+SUMIFS(InputResearch[Social Sci. St. Approp.],InputResearch[Institution Name],ListTSTC[[#This Row],[Institution Name]])+SUMIFS(InputResearch[Social Sci. St. C&amp;G],InputResearch[Institution Name],ListTSTC[[#This Row],[Institution Name]])+SUMIFS(InputResearch[Social Sci. Inst Res],InputResearch[Institution Name],ListTSTC[[#This Row],[Institution Name]])+SUMIFS(InputResearch[Social Sci. PFP],InputResearch[Institution Name],ListTSTC[[#This Row],[Institution Name]])+SUMIFS(InputResearch[Social Sci. PNP],InputResearch[Institution Name],ListTSTC[[#This Row],[Institution Name]])</f>
        <v>0</v>
      </c>
      <c r="N28" s="47">
        <f>SUMIFS(InputResearch[Other Sci. Fed],InputResearch[Institution Name],ListTSTC[[#This Row],[Institution Name]])+SUMIFS(InputResearch[Other Sci. St. Approp.],InputResearch[Institution Name],ListTSTC[[#This Row],[Institution Name]])+SUMIFS(InputResearch[Other Sci. St. C&amp;G],InputResearch[Institution Name],ListTSTC[[#This Row],[Institution Name]])+SUMIFS(InputResearch[Other Sci. Inst Res],InputResearch[Institution Name],ListTSTC[[#This Row],[Institution Name]])+SUMIFS(InputResearch[Other Sci. PFP],InputResearch[Institution Name],ListTSTC[[#This Row],[Institution Name]])+SUMIFS(InputResearch[Other Sci. PNP],InputResearch[Institution Name],ListTSTC[[#This Row],[Institution Name]])</f>
        <v>0</v>
      </c>
      <c r="O28" s="47">
        <f>SUMIFS(InputResearch[Arts &amp; Humanities Fed],InputResearch[Institution Name],ListTSTC[[#This Row],[Institution Name]])+SUMIFS(InputResearch[Arts &amp; Humanities St. Approp.],InputResearch[Institution Name],ListTSTC[[#This Row],[Institution Name]])+SUMIFS(InputResearch[Arts &amp; Humanities St. C&amp;G],InputResearch[Institution Name],ListTSTC[[#This Row],[Institution Name]])+SUMIFS(InputResearch[Arts &amp; Humanities Inst Res],InputResearch[Institution Name],ListTSTC[[#This Row],[Institution Name]])+SUMIFS(InputResearch[Arts &amp; Humanities PFP],InputResearch[Institution Name],ListTSTC[[#This Row],[Institution Name]])+SUMIFS(InputResearch[Arts &amp; Humanities PNP],InputResearch[Institution Name],ListTSTC[[#This Row],[Institution Name]])</f>
        <v>0</v>
      </c>
      <c r="P28" s="47">
        <f>SUMIFS(InputResearch[Business Fed],InputResearch[Institution Name],ListTSTC[[#This Row],[Institution Name]])+SUMIFS(InputResearch[Business St. Approp.],InputResearch[Institution Name],ListTSTC[[#This Row],[Institution Name]])+SUMIFS(InputResearch[Business St. C&amp;G],InputResearch[Institution Name],ListTSTC[[#This Row],[Institution Name]])+SUMIFS(InputResearch[Business Inst Res],InputResearch[Institution Name],ListTSTC[[#This Row],[Institution Name]])+SUMIFS(InputResearch[Business PFP],InputResearch[Institution Name],ListTSTC[[#This Row],[Institution Name]])+SUMIFS(InputResearch[Business PNP],InputResearch[Institution Name],ListTSTC[[#This Row],[Institution Name]])</f>
        <v>0</v>
      </c>
      <c r="Q28" s="47">
        <f>SUMIFS(InputResearch[Education Fed],InputResearch[Institution Name],ListTSTC[[#This Row],[Institution Name]])+SUMIFS(InputResearch[Education St. Approp.],InputResearch[Institution Name],ListTSTC[[#This Row],[Institution Name]])+SUMIFS(InputResearch[Education St. C&amp;G],InputResearch[Institution Name],ListTSTC[[#This Row],[Institution Name]])+SUMIFS(InputResearch[Education Inst Res],InputResearch[Institution Name],ListTSTC[[#This Row],[Institution Name]])+SUMIFS(InputResearch[Education PFP],InputResearch[Institution Name],ListTSTC[[#This Row],[Institution Name]])+SUMIFS(InputResearch[Education PNP],InputResearch[Institution Name],ListTSTC[[#This Row],[Institution Name]])</f>
        <v>0</v>
      </c>
      <c r="R28" s="47">
        <f>SUMIFS(InputResearch[Law Fed],InputResearch[Institution Name],ListTSTC[[#This Row],[Institution Name]])+SUMIFS(InputResearch[Law St. Approp.],InputResearch[Institution Name],ListTSTC[[#This Row],[Institution Name]])+SUMIFS(InputResearch[Law St. C&amp;G],InputResearch[Institution Name],ListTSTC[[#This Row],[Institution Name]])+SUMIFS(InputResearch[Law Inst Res],InputResearch[Institution Name],ListTSTC[[#This Row],[Institution Name]])+SUMIFS(InputResearch[Law PFP],InputResearch[Institution Name],ListTSTC[[#This Row],[Institution Name]])+SUMIFS(InputResearch[Law PNP],InputResearch[Institution Name],ListTSTC[[#This Row],[Institution Name]])</f>
        <v>0</v>
      </c>
      <c r="S28" s="47">
        <f>SUMIFS(InputResearch[Other Non-Sci. Fed],InputResearch[Institution Name],ListTSTC[[#This Row],[Institution Name]])+SUMIFS(InputResearch[Other Non-Sci. St. Approp.],InputResearch[Institution Name],ListTSTC[[#This Row],[Institution Name]])+SUMIFS(InputResearch[Other Non-Sci. St. C&amp;G],InputResearch[Institution Name],ListTSTC[[#This Row],[Institution Name]])+SUMIFS(InputResearch[Other Non-Sci. Inst Res],InputResearch[Institution Name],ListTSTC[[#This Row],[Institution Name]])+SUMIFS(InputResearch[Other Non-Sci. PFP],InputResearch[Institution Name],ListTSTC[[#This Row],[Institution Name]])+SUMIFS(InputResearch[Other Non-Sci. PNP],InputResearch[Institution Name],ListTSTC[[#This Row],[Institution Name]])</f>
        <v>0</v>
      </c>
      <c r="T28" s="94"/>
    </row>
    <row r="29" spans="1:20">
      <c r="A29" s="43" t="s">
        <v>66</v>
      </c>
      <c r="B29" s="95">
        <f>VLOOKUP(ListTSTC[[#This Row],[Institution Name]],InputResearch[],3,FALSE)</f>
        <v>520</v>
      </c>
      <c r="C29" s="282">
        <v>9225</v>
      </c>
      <c r="D29" s="47">
        <f>SUMIFS(InputResearch[Agricultural Sci. Fed],InputResearch[Institution Name],ListTSTC[[#This Row],[Institution Name]])+SUMIFS(InputResearch[Agricultural Sci. St. Approp.],InputResearch[Institution Name],ListTSTC[[#This Row],[Institution Name]])+SUMIFS(InputResearch[Agricultural Sci. St. C&amp;G],InputResearch[Institution Name],ListTSTC[[#This Row],[Institution Name]])+SUMIFS(InputResearch[Agricultural Sci. Inst Res],InputResearch[Institution Name],ListTSTC[[#This Row],[Institution Name]])+SUMIFS(InputResearch[Agricultural Sci. PFP],InputResearch[Institution Name],ListTSTC[[#This Row],[Institution Name]])+SUMIFS(InputResearch[Agricultural Sci. PNP],InputResearch[Institution Name],ListTSTC[[#This Row],[Institution Name]])</f>
        <v>0</v>
      </c>
      <c r="E29" s="47">
        <f>SUMIFS(InputResearch[Biological &amp; Other Life Sci. Fed],InputResearch[Institution Name],ListTSTC[[#This Row],[Institution Name]])+SUMIFS(InputResearch[Biological &amp; Other Life Sci. St. Approp.],InputResearch[Institution Name],ListTSTC[[#This Row],[Institution Name]])+SUMIFS(InputResearch[Biological &amp; Other Life Sci. St. C&amp;G],InputResearch[Institution Name],ListTSTC[[#This Row],[Institution Name]])+SUMIFS(InputResearch[Biological &amp; Other Life Sci. Inst Res],InputResearch[Institution Name],ListTSTC[[#This Row],[Institution Name]])+SUMIFS(InputResearch[Biological &amp; Other Life Sci. PFP],InputResearch[Institution Name],ListTSTC[[#This Row],[Institution Name]])+SUMIFS(InputResearch[Biological &amp; Other Life Sci. PNP],InputResearch[Institution Name],ListTSTC[[#This Row],[Institution Name]])</f>
        <v>0</v>
      </c>
      <c r="F29" s="47">
        <f>SUMIFS(InputResearch[Comp. Sci. Fed],InputResearch[Institution Name],ListTSTC[[#This Row],[Institution Name]])+SUMIFS(InputResearch[Comp. Sci. St. Approp.],InputResearch[Institution Name],ListTSTC[[#This Row],[Institution Name]])+SUMIFS(InputResearch[Comp. Sci. St. C&amp;G],InputResearch[Institution Name],ListTSTC[[#This Row],[Institution Name]])+SUMIFS(InputResearch[Comp. Sci. Inst Res],InputResearch[Institution Name],ListTSTC[[#This Row],[Institution Name]])+SUMIFS(InputResearch[Comp. Sci. PFP],InputResearch[Institution Name],ListTSTC[[#This Row],[Institution Name]])+SUMIFS(InputResearch[Comp. Sci. PNP],InputResearch[Institution Name],ListTSTC[[#This Row],[Institution Name]])</f>
        <v>0</v>
      </c>
      <c r="G29" s="47">
        <f>SUMIFS(InputResearch[Engineering Fed],InputResearch[Institution Name],ListTSTC[[#This Row],[Institution Name]])+SUMIFS(InputResearch[Engineering St. Approp.],InputResearch[Institution Name],ListTSTC[[#This Row],[Institution Name]])+SUMIFS(InputResearch[Engineering St. C&amp;G],InputResearch[Institution Name],ListTSTC[[#This Row],[Institution Name]])+SUMIFS(InputResearch[Engineering Inst Res],InputResearch[Institution Name],ListTSTC[[#This Row],[Institution Name]])+SUMIFS(InputResearch[Engineering PFP],InputResearch[Institution Name],ListTSTC[[#This Row],[Institution Name]])+SUMIFS(InputResearch[Engineering PNP],InputResearch[Institution Name],ListTSTC[[#This Row],[Institution Name]])</f>
        <v>0</v>
      </c>
      <c r="H29" s="47">
        <f>SUMIFS(InputResearch[Env Sci. Fed],InputResearch[Institution Name],ListTSTC[[#This Row],[Institution Name]])+SUMIFS(InputResearch[Env Sci. St. Approp.],InputResearch[Institution Name],ListTSTC[[#This Row],[Institution Name]])+SUMIFS(InputResearch[Env Sci. St. C&amp;G],InputResearch[Institution Name],ListTSTC[[#This Row],[Institution Name]])+SUMIFS(InputResearch[Env Sci. Inst Res],InputResearch[Institution Name],ListTSTC[[#This Row],[Institution Name]])+SUMIFS(InputResearch[Env Sci. PFP],InputResearch[Institution Name],ListTSTC[[#This Row],[Institution Name]])+SUMIFS(InputResearch[Env Sci. PNP],InputResearch[Institution Name],ListTSTC[[#This Row],[Institution Name]])</f>
        <v>0</v>
      </c>
      <c r="I29" s="47">
        <f>SUMIFS(InputResearch[Math Fed],InputResearch[Institution Name],ListTSTC[[#This Row],[Institution Name]])+SUMIFS(InputResearch[Math St. Approp.],InputResearch[Institution Name],ListTSTC[[#This Row],[Institution Name]])+SUMIFS(InputResearch[Math St. C&amp;G],InputResearch[Institution Name],ListTSTC[[#This Row],[Institution Name]])+SUMIFS(InputResearch[Math Inst Res],InputResearch[Institution Name],ListTSTC[[#This Row],[Institution Name]])+SUMIFS(InputResearch[Math PFP],InputResearch[Institution Name],ListTSTC[[#This Row],[Institution Name]])+SUMIFS(InputResearch[Math PNP],InputResearch[Institution Name],ListTSTC[[#This Row],[Institution Name]])</f>
        <v>0</v>
      </c>
      <c r="J29" s="47">
        <f>SUMIFS(InputResearch[Medical Fed],InputResearch[Institution Name],ListTSTC[[#This Row],[Institution Name]])+SUMIFS(InputResearch[Medical St. Approp.],InputResearch[Institution Name],ListTSTC[[#This Row],[Institution Name]])+SUMIFS(InputResearch[Medical St. C&amp;G],InputResearch[Institution Name],ListTSTC[[#This Row],[Institution Name]])+SUMIFS(InputResearch[Medical Inst Res],InputResearch[Institution Name],ListTSTC[[#This Row],[Institution Name]])+SUMIFS(InputResearch[Medical PFP],InputResearch[Institution Name],ListTSTC[[#This Row],[Institution Name]])+SUMIFS(InputResearch[Medical PNP],InputResearch[Institution Name],ListTSTC[[#This Row],[Institution Name]])</f>
        <v>0</v>
      </c>
      <c r="K29" s="47">
        <f>SUMIFS(InputResearch[Physical Sci. Fed],InputResearch[Institution Name],ListTSTC[[#This Row],[Institution Name]])+SUMIFS(InputResearch[Physical Sci. St. Approp.],InputResearch[Institution Name],ListTSTC[[#This Row],[Institution Name]])+SUMIFS(InputResearch[Physical Sci. St. C&amp;G],InputResearch[Institution Name],ListTSTC[[#This Row],[Institution Name]])+SUMIFS(InputResearch[Physical Sci. Inst Res],InputResearch[Institution Name],ListTSTC[[#This Row],[Institution Name]])+SUMIFS(InputResearch[Physical Sci. PFP],InputResearch[Institution Name],ListTSTC[[#This Row],[Institution Name]])+SUMIFS(InputResearch[Physical Sci. PNP],InputResearch[Institution Name],ListTSTC[[#This Row],[Institution Name]])</f>
        <v>0</v>
      </c>
      <c r="L29" s="47">
        <f>SUMIFS(InputResearch[Psychology Fed],InputResearch[Institution Name],ListTSTC[[#This Row],[Institution Name]])+SUMIFS(InputResearch[Psychology St. Approp.],InputResearch[Institution Name],ListTSTC[[#This Row],[Institution Name]])+SUMIFS(InputResearch[Psychology St. C&amp;G],InputResearch[Institution Name],ListTSTC[[#This Row],[Institution Name]])+SUMIFS(InputResearch[Psychology Inst Res],InputResearch[Institution Name],ListTSTC[[#This Row],[Institution Name]])+SUMIFS(InputResearch[Psychology PFP],InputResearch[Institution Name],ListTSTC[[#This Row],[Institution Name]])+SUMIFS(InputResearch[Psychology PNP],InputResearch[Institution Name],ListTSTC[[#This Row],[Institution Name]])</f>
        <v>0</v>
      </c>
      <c r="M29" s="47">
        <f>SUMIFS(InputResearch[Social Sci. Fed],InputResearch[Institution Name],ListTSTC[[#This Row],[Institution Name]])+SUMIFS(InputResearch[Social Sci. St. Approp.],InputResearch[Institution Name],ListTSTC[[#This Row],[Institution Name]])+SUMIFS(InputResearch[Social Sci. St. C&amp;G],InputResearch[Institution Name],ListTSTC[[#This Row],[Institution Name]])+SUMIFS(InputResearch[Social Sci. Inst Res],InputResearch[Institution Name],ListTSTC[[#This Row],[Institution Name]])+SUMIFS(InputResearch[Social Sci. PFP],InputResearch[Institution Name],ListTSTC[[#This Row],[Institution Name]])+SUMIFS(InputResearch[Social Sci. PNP],InputResearch[Institution Name],ListTSTC[[#This Row],[Institution Name]])</f>
        <v>0</v>
      </c>
      <c r="N29" s="47">
        <f>SUMIFS(InputResearch[Other Sci. Fed],InputResearch[Institution Name],ListTSTC[[#This Row],[Institution Name]])+SUMIFS(InputResearch[Other Sci. St. Approp.],InputResearch[Institution Name],ListTSTC[[#This Row],[Institution Name]])+SUMIFS(InputResearch[Other Sci. St. C&amp;G],InputResearch[Institution Name],ListTSTC[[#This Row],[Institution Name]])+SUMIFS(InputResearch[Other Sci. Inst Res],InputResearch[Institution Name],ListTSTC[[#This Row],[Institution Name]])+SUMIFS(InputResearch[Other Sci. PFP],InputResearch[Institution Name],ListTSTC[[#This Row],[Institution Name]])+SUMIFS(InputResearch[Other Sci. PNP],InputResearch[Institution Name],ListTSTC[[#This Row],[Institution Name]])</f>
        <v>0</v>
      </c>
      <c r="O29" s="47">
        <f>SUMIFS(InputResearch[Arts &amp; Humanities Fed],InputResearch[Institution Name],ListTSTC[[#This Row],[Institution Name]])+SUMIFS(InputResearch[Arts &amp; Humanities St. Approp.],InputResearch[Institution Name],ListTSTC[[#This Row],[Institution Name]])+SUMIFS(InputResearch[Arts &amp; Humanities St. C&amp;G],InputResearch[Institution Name],ListTSTC[[#This Row],[Institution Name]])+SUMIFS(InputResearch[Arts &amp; Humanities Inst Res],InputResearch[Institution Name],ListTSTC[[#This Row],[Institution Name]])+SUMIFS(InputResearch[Arts &amp; Humanities PFP],InputResearch[Institution Name],ListTSTC[[#This Row],[Institution Name]])+SUMIFS(InputResearch[Arts &amp; Humanities PNP],InputResearch[Institution Name],ListTSTC[[#This Row],[Institution Name]])</f>
        <v>0</v>
      </c>
      <c r="P29" s="47">
        <f>SUMIFS(InputResearch[Business Fed],InputResearch[Institution Name],ListTSTC[[#This Row],[Institution Name]])+SUMIFS(InputResearch[Business St. Approp.],InputResearch[Institution Name],ListTSTC[[#This Row],[Institution Name]])+SUMIFS(InputResearch[Business St. C&amp;G],InputResearch[Institution Name],ListTSTC[[#This Row],[Institution Name]])+SUMIFS(InputResearch[Business Inst Res],InputResearch[Institution Name],ListTSTC[[#This Row],[Institution Name]])+SUMIFS(InputResearch[Business PFP],InputResearch[Institution Name],ListTSTC[[#This Row],[Institution Name]])+SUMIFS(InputResearch[Business PNP],InputResearch[Institution Name],ListTSTC[[#This Row],[Institution Name]])</f>
        <v>0</v>
      </c>
      <c r="Q29" s="47">
        <f>SUMIFS(InputResearch[Education Fed],InputResearch[Institution Name],ListTSTC[[#This Row],[Institution Name]])+SUMIFS(InputResearch[Education St. Approp.],InputResearch[Institution Name],ListTSTC[[#This Row],[Institution Name]])+SUMIFS(InputResearch[Education St. C&amp;G],InputResearch[Institution Name],ListTSTC[[#This Row],[Institution Name]])+SUMIFS(InputResearch[Education Inst Res],InputResearch[Institution Name],ListTSTC[[#This Row],[Institution Name]])+SUMIFS(InputResearch[Education PFP],InputResearch[Institution Name],ListTSTC[[#This Row],[Institution Name]])+SUMIFS(InputResearch[Education PNP],InputResearch[Institution Name],ListTSTC[[#This Row],[Institution Name]])</f>
        <v>0</v>
      </c>
      <c r="R29" s="47">
        <f>SUMIFS(InputResearch[Law Fed],InputResearch[Institution Name],ListTSTC[[#This Row],[Institution Name]])+SUMIFS(InputResearch[Law St. Approp.],InputResearch[Institution Name],ListTSTC[[#This Row],[Institution Name]])+SUMIFS(InputResearch[Law St. C&amp;G],InputResearch[Institution Name],ListTSTC[[#This Row],[Institution Name]])+SUMIFS(InputResearch[Law Inst Res],InputResearch[Institution Name],ListTSTC[[#This Row],[Institution Name]])+SUMIFS(InputResearch[Law PFP],InputResearch[Institution Name],ListTSTC[[#This Row],[Institution Name]])+SUMIFS(InputResearch[Law PNP],InputResearch[Institution Name],ListTSTC[[#This Row],[Institution Name]])</f>
        <v>95852</v>
      </c>
      <c r="S29" s="47">
        <f>SUMIFS(InputResearch[Other Non-Sci. Fed],InputResearch[Institution Name],ListTSTC[[#This Row],[Institution Name]])+SUMIFS(InputResearch[Other Non-Sci. St. Approp.],InputResearch[Institution Name],ListTSTC[[#This Row],[Institution Name]])+SUMIFS(InputResearch[Other Non-Sci. St. C&amp;G],InputResearch[Institution Name],ListTSTC[[#This Row],[Institution Name]])+SUMIFS(InputResearch[Other Non-Sci. Inst Res],InputResearch[Institution Name],ListTSTC[[#This Row],[Institution Name]])+SUMIFS(InputResearch[Other Non-Sci. PFP],InputResearch[Institution Name],ListTSTC[[#This Row],[Institution Name]])+SUMIFS(InputResearch[Other Non-Sci. PNP],InputResearch[Institution Name],ListTSTC[[#This Row],[Institution Name]])</f>
        <v>0</v>
      </c>
      <c r="T29" s="94"/>
    </row>
    <row r="30" spans="1:20">
      <c r="A30" s="43" t="s">
        <v>67</v>
      </c>
      <c r="B30" s="95">
        <f>VLOOKUP(ListTSTC[[#This Row],[Institution Name]],InputResearch[],3,FALSE)</f>
        <v>530</v>
      </c>
      <c r="C30" s="282">
        <v>9932</v>
      </c>
      <c r="D30" s="47">
        <f>SUMIFS(InputResearch[Agricultural Sci. Fed],InputResearch[Institution Name],ListTSTC[[#This Row],[Institution Name]])+SUMIFS(InputResearch[Agricultural Sci. St. Approp.],InputResearch[Institution Name],ListTSTC[[#This Row],[Institution Name]])+SUMIFS(InputResearch[Agricultural Sci. St. C&amp;G],InputResearch[Institution Name],ListTSTC[[#This Row],[Institution Name]])+SUMIFS(InputResearch[Agricultural Sci. Inst Res],InputResearch[Institution Name],ListTSTC[[#This Row],[Institution Name]])+SUMIFS(InputResearch[Agricultural Sci. PFP],InputResearch[Institution Name],ListTSTC[[#This Row],[Institution Name]])+SUMIFS(InputResearch[Agricultural Sci. PNP],InputResearch[Institution Name],ListTSTC[[#This Row],[Institution Name]])</f>
        <v>0</v>
      </c>
      <c r="E30" s="47">
        <f>SUMIFS(InputResearch[Biological &amp; Other Life Sci. Fed],InputResearch[Institution Name],ListTSTC[[#This Row],[Institution Name]])+SUMIFS(InputResearch[Biological &amp; Other Life Sci. St. Approp.],InputResearch[Institution Name],ListTSTC[[#This Row],[Institution Name]])+SUMIFS(InputResearch[Biological &amp; Other Life Sci. St. C&amp;G],InputResearch[Institution Name],ListTSTC[[#This Row],[Institution Name]])+SUMIFS(InputResearch[Biological &amp; Other Life Sci. Inst Res],InputResearch[Institution Name],ListTSTC[[#This Row],[Institution Name]])+SUMIFS(InputResearch[Biological &amp; Other Life Sci. PFP],InputResearch[Institution Name],ListTSTC[[#This Row],[Institution Name]])+SUMIFS(InputResearch[Biological &amp; Other Life Sci. PNP],InputResearch[Institution Name],ListTSTC[[#This Row],[Institution Name]])</f>
        <v>0</v>
      </c>
      <c r="F30" s="47">
        <f>SUMIFS(InputResearch[Comp. Sci. Fed],InputResearch[Institution Name],ListTSTC[[#This Row],[Institution Name]])+SUMIFS(InputResearch[Comp. Sci. St. Approp.],InputResearch[Institution Name],ListTSTC[[#This Row],[Institution Name]])+SUMIFS(InputResearch[Comp. Sci. St. C&amp;G],InputResearch[Institution Name],ListTSTC[[#This Row],[Institution Name]])+SUMIFS(InputResearch[Comp. Sci. Inst Res],InputResearch[Institution Name],ListTSTC[[#This Row],[Institution Name]])+SUMIFS(InputResearch[Comp. Sci. PFP],InputResearch[Institution Name],ListTSTC[[#This Row],[Institution Name]])+SUMIFS(InputResearch[Comp. Sci. PNP],InputResearch[Institution Name],ListTSTC[[#This Row],[Institution Name]])</f>
        <v>0</v>
      </c>
      <c r="G30" s="47">
        <f>SUMIFS(InputResearch[Engineering Fed],InputResearch[Institution Name],ListTSTC[[#This Row],[Institution Name]])+SUMIFS(InputResearch[Engineering St. Approp.],InputResearch[Institution Name],ListTSTC[[#This Row],[Institution Name]])+SUMIFS(InputResearch[Engineering St. C&amp;G],InputResearch[Institution Name],ListTSTC[[#This Row],[Institution Name]])+SUMIFS(InputResearch[Engineering Inst Res],InputResearch[Institution Name],ListTSTC[[#This Row],[Institution Name]])+SUMIFS(InputResearch[Engineering PFP],InputResearch[Institution Name],ListTSTC[[#This Row],[Institution Name]])+SUMIFS(InputResearch[Engineering PNP],InputResearch[Institution Name],ListTSTC[[#This Row],[Institution Name]])</f>
        <v>0</v>
      </c>
      <c r="H30" s="47">
        <f>SUMIFS(InputResearch[Env Sci. Fed],InputResearch[Institution Name],ListTSTC[[#This Row],[Institution Name]])+SUMIFS(InputResearch[Env Sci. St. Approp.],InputResearch[Institution Name],ListTSTC[[#This Row],[Institution Name]])+SUMIFS(InputResearch[Env Sci. St. C&amp;G],InputResearch[Institution Name],ListTSTC[[#This Row],[Institution Name]])+SUMIFS(InputResearch[Env Sci. Inst Res],InputResearch[Institution Name],ListTSTC[[#This Row],[Institution Name]])+SUMIFS(InputResearch[Env Sci. PFP],InputResearch[Institution Name],ListTSTC[[#This Row],[Institution Name]])+SUMIFS(InputResearch[Env Sci. PNP],InputResearch[Institution Name],ListTSTC[[#This Row],[Institution Name]])</f>
        <v>0</v>
      </c>
      <c r="I30" s="47">
        <f>SUMIFS(InputResearch[Math Fed],InputResearch[Institution Name],ListTSTC[[#This Row],[Institution Name]])+SUMIFS(InputResearch[Math St. Approp.],InputResearch[Institution Name],ListTSTC[[#This Row],[Institution Name]])+SUMIFS(InputResearch[Math St. C&amp;G],InputResearch[Institution Name],ListTSTC[[#This Row],[Institution Name]])+SUMIFS(InputResearch[Math Inst Res],InputResearch[Institution Name],ListTSTC[[#This Row],[Institution Name]])+SUMIFS(InputResearch[Math PFP],InputResearch[Institution Name],ListTSTC[[#This Row],[Institution Name]])+SUMIFS(InputResearch[Math PNP],InputResearch[Institution Name],ListTSTC[[#This Row],[Institution Name]])</f>
        <v>0</v>
      </c>
      <c r="J30" s="47">
        <f>SUMIFS(InputResearch[Medical Fed],InputResearch[Institution Name],ListTSTC[[#This Row],[Institution Name]])+SUMIFS(InputResearch[Medical St. Approp.],InputResearch[Institution Name],ListTSTC[[#This Row],[Institution Name]])+SUMIFS(InputResearch[Medical St. C&amp;G],InputResearch[Institution Name],ListTSTC[[#This Row],[Institution Name]])+SUMIFS(InputResearch[Medical Inst Res],InputResearch[Institution Name],ListTSTC[[#This Row],[Institution Name]])+SUMIFS(InputResearch[Medical PFP],InputResearch[Institution Name],ListTSTC[[#This Row],[Institution Name]])+SUMIFS(InputResearch[Medical PNP],InputResearch[Institution Name],ListTSTC[[#This Row],[Institution Name]])</f>
        <v>0</v>
      </c>
      <c r="K30" s="47">
        <f>SUMIFS(InputResearch[Physical Sci. Fed],InputResearch[Institution Name],ListTSTC[[#This Row],[Institution Name]])+SUMIFS(InputResearch[Physical Sci. St. Approp.],InputResearch[Institution Name],ListTSTC[[#This Row],[Institution Name]])+SUMIFS(InputResearch[Physical Sci. St. C&amp;G],InputResearch[Institution Name],ListTSTC[[#This Row],[Institution Name]])+SUMIFS(InputResearch[Physical Sci. Inst Res],InputResearch[Institution Name],ListTSTC[[#This Row],[Institution Name]])+SUMIFS(InputResearch[Physical Sci. PFP],InputResearch[Institution Name],ListTSTC[[#This Row],[Institution Name]])+SUMIFS(InputResearch[Physical Sci. PNP],InputResearch[Institution Name],ListTSTC[[#This Row],[Institution Name]])</f>
        <v>0</v>
      </c>
      <c r="L30" s="47">
        <f>SUMIFS(InputResearch[Psychology Fed],InputResearch[Institution Name],ListTSTC[[#This Row],[Institution Name]])+SUMIFS(InputResearch[Psychology St. Approp.],InputResearch[Institution Name],ListTSTC[[#This Row],[Institution Name]])+SUMIFS(InputResearch[Psychology St. C&amp;G],InputResearch[Institution Name],ListTSTC[[#This Row],[Institution Name]])+SUMIFS(InputResearch[Psychology Inst Res],InputResearch[Institution Name],ListTSTC[[#This Row],[Institution Name]])+SUMIFS(InputResearch[Psychology PFP],InputResearch[Institution Name],ListTSTC[[#This Row],[Institution Name]])+SUMIFS(InputResearch[Psychology PNP],InputResearch[Institution Name],ListTSTC[[#This Row],[Institution Name]])</f>
        <v>0</v>
      </c>
      <c r="M30" s="47">
        <f>SUMIFS(InputResearch[Social Sci. Fed],InputResearch[Institution Name],ListTSTC[[#This Row],[Institution Name]])+SUMIFS(InputResearch[Social Sci. St. Approp.],InputResearch[Institution Name],ListTSTC[[#This Row],[Institution Name]])+SUMIFS(InputResearch[Social Sci. St. C&amp;G],InputResearch[Institution Name],ListTSTC[[#This Row],[Institution Name]])+SUMIFS(InputResearch[Social Sci. Inst Res],InputResearch[Institution Name],ListTSTC[[#This Row],[Institution Name]])+SUMIFS(InputResearch[Social Sci. PFP],InputResearch[Institution Name],ListTSTC[[#This Row],[Institution Name]])+SUMIFS(InputResearch[Social Sci. PNP],InputResearch[Institution Name],ListTSTC[[#This Row],[Institution Name]])</f>
        <v>0</v>
      </c>
      <c r="N30" s="47">
        <f>SUMIFS(InputResearch[Other Sci. Fed],InputResearch[Institution Name],ListTSTC[[#This Row],[Institution Name]])+SUMIFS(InputResearch[Other Sci. St. Approp.],InputResearch[Institution Name],ListTSTC[[#This Row],[Institution Name]])+SUMIFS(InputResearch[Other Sci. St. C&amp;G],InputResearch[Institution Name],ListTSTC[[#This Row],[Institution Name]])+SUMIFS(InputResearch[Other Sci. Inst Res],InputResearch[Institution Name],ListTSTC[[#This Row],[Institution Name]])+SUMIFS(InputResearch[Other Sci. PFP],InputResearch[Institution Name],ListTSTC[[#This Row],[Institution Name]])+SUMIFS(InputResearch[Other Sci. PNP],InputResearch[Institution Name],ListTSTC[[#This Row],[Institution Name]])</f>
        <v>0</v>
      </c>
      <c r="O30" s="47">
        <f>SUMIFS(InputResearch[Arts &amp; Humanities Fed],InputResearch[Institution Name],ListTSTC[[#This Row],[Institution Name]])+SUMIFS(InputResearch[Arts &amp; Humanities St. Approp.],InputResearch[Institution Name],ListTSTC[[#This Row],[Institution Name]])+SUMIFS(InputResearch[Arts &amp; Humanities St. C&amp;G],InputResearch[Institution Name],ListTSTC[[#This Row],[Institution Name]])+SUMIFS(InputResearch[Arts &amp; Humanities Inst Res],InputResearch[Institution Name],ListTSTC[[#This Row],[Institution Name]])+SUMIFS(InputResearch[Arts &amp; Humanities PFP],InputResearch[Institution Name],ListTSTC[[#This Row],[Institution Name]])+SUMIFS(InputResearch[Arts &amp; Humanities PNP],InputResearch[Institution Name],ListTSTC[[#This Row],[Institution Name]])</f>
        <v>0</v>
      </c>
      <c r="P30" s="47">
        <f>SUMIFS(InputResearch[Business Fed],InputResearch[Institution Name],ListTSTC[[#This Row],[Institution Name]])+SUMIFS(InputResearch[Business St. Approp.],InputResearch[Institution Name],ListTSTC[[#This Row],[Institution Name]])+SUMIFS(InputResearch[Business St. C&amp;G],InputResearch[Institution Name],ListTSTC[[#This Row],[Institution Name]])+SUMIFS(InputResearch[Business Inst Res],InputResearch[Institution Name],ListTSTC[[#This Row],[Institution Name]])+SUMIFS(InputResearch[Business PFP],InputResearch[Institution Name],ListTSTC[[#This Row],[Institution Name]])+SUMIFS(InputResearch[Business PNP],InputResearch[Institution Name],ListTSTC[[#This Row],[Institution Name]])</f>
        <v>0</v>
      </c>
      <c r="Q30" s="47">
        <f>SUMIFS(InputResearch[Education Fed],InputResearch[Institution Name],ListTSTC[[#This Row],[Institution Name]])+SUMIFS(InputResearch[Education St. Approp.],InputResearch[Institution Name],ListTSTC[[#This Row],[Institution Name]])+SUMIFS(InputResearch[Education St. C&amp;G],InputResearch[Institution Name],ListTSTC[[#This Row],[Institution Name]])+SUMIFS(InputResearch[Education Inst Res],InputResearch[Institution Name],ListTSTC[[#This Row],[Institution Name]])+SUMIFS(InputResearch[Education PFP],InputResearch[Institution Name],ListTSTC[[#This Row],[Institution Name]])+SUMIFS(InputResearch[Education PNP],InputResearch[Institution Name],ListTSTC[[#This Row],[Institution Name]])</f>
        <v>0</v>
      </c>
      <c r="R30" s="47">
        <f>SUMIFS(InputResearch[Law Fed],InputResearch[Institution Name],ListTSTC[[#This Row],[Institution Name]])+SUMIFS(InputResearch[Law St. Approp.],InputResearch[Institution Name],ListTSTC[[#This Row],[Institution Name]])+SUMIFS(InputResearch[Law St. C&amp;G],InputResearch[Institution Name],ListTSTC[[#This Row],[Institution Name]])+SUMIFS(InputResearch[Law Inst Res],InputResearch[Institution Name],ListTSTC[[#This Row],[Institution Name]])+SUMIFS(InputResearch[Law PFP],InputResearch[Institution Name],ListTSTC[[#This Row],[Institution Name]])+SUMIFS(InputResearch[Law PNP],InputResearch[Institution Name],ListTSTC[[#This Row],[Institution Name]])</f>
        <v>0</v>
      </c>
      <c r="S30" s="47">
        <f>SUMIFS(InputResearch[Other Non-Sci. Fed],InputResearch[Institution Name],ListTSTC[[#This Row],[Institution Name]])+SUMIFS(InputResearch[Other Non-Sci. St. Approp.],InputResearch[Institution Name],ListTSTC[[#This Row],[Institution Name]])+SUMIFS(InputResearch[Other Non-Sci. St. C&amp;G],InputResearch[Institution Name],ListTSTC[[#This Row],[Institution Name]])+SUMIFS(InputResearch[Other Non-Sci. Inst Res],InputResearch[Institution Name],ListTSTC[[#This Row],[Institution Name]])+SUMIFS(InputResearch[Other Non-Sci. PFP],InputResearch[Institution Name],ListTSTC[[#This Row],[Institution Name]])+SUMIFS(InputResearch[Other Non-Sci. PNP],InputResearch[Institution Name],ListTSTC[[#This Row],[Institution Name]])</f>
        <v>0</v>
      </c>
      <c r="T30" s="94"/>
    </row>
    <row r="31" spans="1:20">
      <c r="A31" s="43" t="s">
        <v>68</v>
      </c>
      <c r="B31" s="95">
        <f>VLOOKUP(ListTSTC[[#This Row],[Institution Name]],InputResearch[],3,FALSE)</f>
        <v>540</v>
      </c>
      <c r="C31" s="282">
        <v>33965</v>
      </c>
      <c r="D31" s="47">
        <f>SUMIFS(InputResearch[Agricultural Sci. Fed],InputResearch[Institution Name],ListTSTC[[#This Row],[Institution Name]])+SUMIFS(InputResearch[Agricultural Sci. St. Approp.],InputResearch[Institution Name],ListTSTC[[#This Row],[Institution Name]])+SUMIFS(InputResearch[Agricultural Sci. St. C&amp;G],InputResearch[Institution Name],ListTSTC[[#This Row],[Institution Name]])+SUMIFS(InputResearch[Agricultural Sci. Inst Res],InputResearch[Institution Name],ListTSTC[[#This Row],[Institution Name]])+SUMIFS(InputResearch[Agricultural Sci. PFP],InputResearch[Institution Name],ListTSTC[[#This Row],[Institution Name]])+SUMIFS(InputResearch[Agricultural Sci. PNP],InputResearch[Institution Name],ListTSTC[[#This Row],[Institution Name]])</f>
        <v>0</v>
      </c>
      <c r="E31" s="47">
        <f>SUMIFS(InputResearch[Biological &amp; Other Life Sci. Fed],InputResearch[Institution Name],ListTSTC[[#This Row],[Institution Name]])+SUMIFS(InputResearch[Biological &amp; Other Life Sci. St. Approp.],InputResearch[Institution Name],ListTSTC[[#This Row],[Institution Name]])+SUMIFS(InputResearch[Biological &amp; Other Life Sci. St. C&amp;G],InputResearch[Institution Name],ListTSTC[[#This Row],[Institution Name]])+SUMIFS(InputResearch[Biological &amp; Other Life Sci. Inst Res],InputResearch[Institution Name],ListTSTC[[#This Row],[Institution Name]])+SUMIFS(InputResearch[Biological &amp; Other Life Sci. PFP],InputResearch[Institution Name],ListTSTC[[#This Row],[Institution Name]])+SUMIFS(InputResearch[Biological &amp; Other Life Sci. PNP],InputResearch[Institution Name],ListTSTC[[#This Row],[Institution Name]])</f>
        <v>0</v>
      </c>
      <c r="F31" s="47">
        <f>SUMIFS(InputResearch[Comp. Sci. Fed],InputResearch[Institution Name],ListTSTC[[#This Row],[Institution Name]])+SUMIFS(InputResearch[Comp. Sci. St. Approp.],InputResearch[Institution Name],ListTSTC[[#This Row],[Institution Name]])+SUMIFS(InputResearch[Comp. Sci. St. C&amp;G],InputResearch[Institution Name],ListTSTC[[#This Row],[Institution Name]])+SUMIFS(InputResearch[Comp. Sci. Inst Res],InputResearch[Institution Name],ListTSTC[[#This Row],[Institution Name]])+SUMIFS(InputResearch[Comp. Sci. PFP],InputResearch[Institution Name],ListTSTC[[#This Row],[Institution Name]])+SUMIFS(InputResearch[Comp. Sci. PNP],InputResearch[Institution Name],ListTSTC[[#This Row],[Institution Name]])</f>
        <v>0</v>
      </c>
      <c r="G31" s="47">
        <f>SUMIFS(InputResearch[Engineering Fed],InputResearch[Institution Name],ListTSTC[[#This Row],[Institution Name]])+SUMIFS(InputResearch[Engineering St. Approp.],InputResearch[Institution Name],ListTSTC[[#This Row],[Institution Name]])+SUMIFS(InputResearch[Engineering St. C&amp;G],InputResearch[Institution Name],ListTSTC[[#This Row],[Institution Name]])+SUMIFS(InputResearch[Engineering Inst Res],InputResearch[Institution Name],ListTSTC[[#This Row],[Institution Name]])+SUMIFS(InputResearch[Engineering PFP],InputResearch[Institution Name],ListTSTC[[#This Row],[Institution Name]])+SUMIFS(InputResearch[Engineering PNP],InputResearch[Institution Name],ListTSTC[[#This Row],[Institution Name]])</f>
        <v>0</v>
      </c>
      <c r="H31" s="47">
        <f>SUMIFS(InputResearch[Env Sci. Fed],InputResearch[Institution Name],ListTSTC[[#This Row],[Institution Name]])+SUMIFS(InputResearch[Env Sci. St. Approp.],InputResearch[Institution Name],ListTSTC[[#This Row],[Institution Name]])+SUMIFS(InputResearch[Env Sci. St. C&amp;G],InputResearch[Institution Name],ListTSTC[[#This Row],[Institution Name]])+SUMIFS(InputResearch[Env Sci. Inst Res],InputResearch[Institution Name],ListTSTC[[#This Row],[Institution Name]])+SUMIFS(InputResearch[Env Sci. PFP],InputResearch[Institution Name],ListTSTC[[#This Row],[Institution Name]])+SUMIFS(InputResearch[Env Sci. PNP],InputResearch[Institution Name],ListTSTC[[#This Row],[Institution Name]])</f>
        <v>0</v>
      </c>
      <c r="I31" s="47">
        <f>SUMIFS(InputResearch[Math Fed],InputResearch[Institution Name],ListTSTC[[#This Row],[Institution Name]])+SUMIFS(InputResearch[Math St. Approp.],InputResearch[Institution Name],ListTSTC[[#This Row],[Institution Name]])+SUMIFS(InputResearch[Math St. C&amp;G],InputResearch[Institution Name],ListTSTC[[#This Row],[Institution Name]])+SUMIFS(InputResearch[Math Inst Res],InputResearch[Institution Name],ListTSTC[[#This Row],[Institution Name]])+SUMIFS(InputResearch[Math PFP],InputResearch[Institution Name],ListTSTC[[#This Row],[Institution Name]])+SUMIFS(InputResearch[Math PNP],InputResearch[Institution Name],ListTSTC[[#This Row],[Institution Name]])</f>
        <v>0</v>
      </c>
      <c r="J31" s="47">
        <f>SUMIFS(InputResearch[Medical Fed],InputResearch[Institution Name],ListTSTC[[#This Row],[Institution Name]])+SUMIFS(InputResearch[Medical St. Approp.],InputResearch[Institution Name],ListTSTC[[#This Row],[Institution Name]])+SUMIFS(InputResearch[Medical St. C&amp;G],InputResearch[Institution Name],ListTSTC[[#This Row],[Institution Name]])+SUMIFS(InputResearch[Medical Inst Res],InputResearch[Institution Name],ListTSTC[[#This Row],[Institution Name]])+SUMIFS(InputResearch[Medical PFP],InputResearch[Institution Name],ListTSTC[[#This Row],[Institution Name]])+SUMIFS(InputResearch[Medical PNP],InputResearch[Institution Name],ListTSTC[[#This Row],[Institution Name]])</f>
        <v>0</v>
      </c>
      <c r="K31" s="47">
        <f>SUMIFS(InputResearch[Physical Sci. Fed],InputResearch[Institution Name],ListTSTC[[#This Row],[Institution Name]])+SUMIFS(InputResearch[Physical Sci. St. Approp.],InputResearch[Institution Name],ListTSTC[[#This Row],[Institution Name]])+SUMIFS(InputResearch[Physical Sci. St. C&amp;G],InputResearch[Institution Name],ListTSTC[[#This Row],[Institution Name]])+SUMIFS(InputResearch[Physical Sci. Inst Res],InputResearch[Institution Name],ListTSTC[[#This Row],[Institution Name]])+SUMIFS(InputResearch[Physical Sci. PFP],InputResearch[Institution Name],ListTSTC[[#This Row],[Institution Name]])+SUMIFS(InputResearch[Physical Sci. PNP],InputResearch[Institution Name],ListTSTC[[#This Row],[Institution Name]])</f>
        <v>0</v>
      </c>
      <c r="L31" s="47">
        <f>SUMIFS(InputResearch[Psychology Fed],InputResearch[Institution Name],ListTSTC[[#This Row],[Institution Name]])+SUMIFS(InputResearch[Psychology St. Approp.],InputResearch[Institution Name],ListTSTC[[#This Row],[Institution Name]])+SUMIFS(InputResearch[Psychology St. C&amp;G],InputResearch[Institution Name],ListTSTC[[#This Row],[Institution Name]])+SUMIFS(InputResearch[Psychology Inst Res],InputResearch[Institution Name],ListTSTC[[#This Row],[Institution Name]])+SUMIFS(InputResearch[Psychology PFP],InputResearch[Institution Name],ListTSTC[[#This Row],[Institution Name]])+SUMIFS(InputResearch[Psychology PNP],InputResearch[Institution Name],ListTSTC[[#This Row],[Institution Name]])</f>
        <v>0</v>
      </c>
      <c r="M31" s="47">
        <f>SUMIFS(InputResearch[Social Sci. Fed],InputResearch[Institution Name],ListTSTC[[#This Row],[Institution Name]])+SUMIFS(InputResearch[Social Sci. St. Approp.],InputResearch[Institution Name],ListTSTC[[#This Row],[Institution Name]])+SUMIFS(InputResearch[Social Sci. St. C&amp;G],InputResearch[Institution Name],ListTSTC[[#This Row],[Institution Name]])+SUMIFS(InputResearch[Social Sci. Inst Res],InputResearch[Institution Name],ListTSTC[[#This Row],[Institution Name]])+SUMIFS(InputResearch[Social Sci. PFP],InputResearch[Institution Name],ListTSTC[[#This Row],[Institution Name]])+SUMIFS(InputResearch[Social Sci. PNP],InputResearch[Institution Name],ListTSTC[[#This Row],[Institution Name]])</f>
        <v>0</v>
      </c>
      <c r="N31" s="47">
        <f>SUMIFS(InputResearch[Other Sci. Fed],InputResearch[Institution Name],ListTSTC[[#This Row],[Institution Name]])+SUMIFS(InputResearch[Other Sci. St. Approp.],InputResearch[Institution Name],ListTSTC[[#This Row],[Institution Name]])+SUMIFS(InputResearch[Other Sci. St. C&amp;G],InputResearch[Institution Name],ListTSTC[[#This Row],[Institution Name]])+SUMIFS(InputResearch[Other Sci. Inst Res],InputResearch[Institution Name],ListTSTC[[#This Row],[Institution Name]])+SUMIFS(InputResearch[Other Sci. PFP],InputResearch[Institution Name],ListTSTC[[#This Row],[Institution Name]])+SUMIFS(InputResearch[Other Sci. PNP],InputResearch[Institution Name],ListTSTC[[#This Row],[Institution Name]])</f>
        <v>0</v>
      </c>
      <c r="O31" s="47">
        <f>SUMIFS(InputResearch[Arts &amp; Humanities Fed],InputResearch[Institution Name],ListTSTC[[#This Row],[Institution Name]])+SUMIFS(InputResearch[Arts &amp; Humanities St. Approp.],InputResearch[Institution Name],ListTSTC[[#This Row],[Institution Name]])+SUMIFS(InputResearch[Arts &amp; Humanities St. C&amp;G],InputResearch[Institution Name],ListTSTC[[#This Row],[Institution Name]])+SUMIFS(InputResearch[Arts &amp; Humanities Inst Res],InputResearch[Institution Name],ListTSTC[[#This Row],[Institution Name]])+SUMIFS(InputResearch[Arts &amp; Humanities PFP],InputResearch[Institution Name],ListTSTC[[#This Row],[Institution Name]])+SUMIFS(InputResearch[Arts &amp; Humanities PNP],InputResearch[Institution Name],ListTSTC[[#This Row],[Institution Name]])</f>
        <v>0</v>
      </c>
      <c r="P31" s="47">
        <f>SUMIFS(InputResearch[Business Fed],InputResearch[Institution Name],ListTSTC[[#This Row],[Institution Name]])+SUMIFS(InputResearch[Business St. Approp.],InputResearch[Institution Name],ListTSTC[[#This Row],[Institution Name]])+SUMIFS(InputResearch[Business St. C&amp;G],InputResearch[Institution Name],ListTSTC[[#This Row],[Institution Name]])+SUMIFS(InputResearch[Business Inst Res],InputResearch[Institution Name],ListTSTC[[#This Row],[Institution Name]])+SUMIFS(InputResearch[Business PFP],InputResearch[Institution Name],ListTSTC[[#This Row],[Institution Name]])+SUMIFS(InputResearch[Business PNP],InputResearch[Institution Name],ListTSTC[[#This Row],[Institution Name]])</f>
        <v>0</v>
      </c>
      <c r="Q31" s="47">
        <f>SUMIFS(InputResearch[Education Fed],InputResearch[Institution Name],ListTSTC[[#This Row],[Institution Name]])+SUMIFS(InputResearch[Education St. Approp.],InputResearch[Institution Name],ListTSTC[[#This Row],[Institution Name]])+SUMIFS(InputResearch[Education St. C&amp;G],InputResearch[Institution Name],ListTSTC[[#This Row],[Institution Name]])+SUMIFS(InputResearch[Education Inst Res],InputResearch[Institution Name],ListTSTC[[#This Row],[Institution Name]])+SUMIFS(InputResearch[Education PFP],InputResearch[Institution Name],ListTSTC[[#This Row],[Institution Name]])+SUMIFS(InputResearch[Education PNP],InputResearch[Institution Name],ListTSTC[[#This Row],[Institution Name]])</f>
        <v>0</v>
      </c>
      <c r="R31" s="47">
        <f>SUMIFS(InputResearch[Law Fed],InputResearch[Institution Name],ListTSTC[[#This Row],[Institution Name]])+SUMIFS(InputResearch[Law St. Approp.],InputResearch[Institution Name],ListTSTC[[#This Row],[Institution Name]])+SUMIFS(InputResearch[Law St. C&amp;G],InputResearch[Institution Name],ListTSTC[[#This Row],[Institution Name]])+SUMIFS(InputResearch[Law Inst Res],InputResearch[Institution Name],ListTSTC[[#This Row],[Institution Name]])+SUMIFS(InputResearch[Law PFP],InputResearch[Institution Name],ListTSTC[[#This Row],[Institution Name]])+SUMIFS(InputResearch[Law PNP],InputResearch[Institution Name],ListTSTC[[#This Row],[Institution Name]])</f>
        <v>0</v>
      </c>
      <c r="S31" s="47">
        <f>SUMIFS(InputResearch[Other Non-Sci. Fed],InputResearch[Institution Name],ListTSTC[[#This Row],[Institution Name]])+SUMIFS(InputResearch[Other Non-Sci. St. Approp.],InputResearch[Institution Name],ListTSTC[[#This Row],[Institution Name]])+SUMIFS(InputResearch[Other Non-Sci. St. C&amp;G],InputResearch[Institution Name],ListTSTC[[#This Row],[Institution Name]])+SUMIFS(InputResearch[Other Non-Sci. Inst Res],InputResearch[Institution Name],ListTSTC[[#This Row],[Institution Name]])+SUMIFS(InputResearch[Other Non-Sci. PFP],InputResearch[Institution Name],ListTSTC[[#This Row],[Institution Name]])+SUMIFS(InputResearch[Other Non-Sci. PNP],InputResearch[Institution Name],ListTSTC[[#This Row],[Institution Name]])</f>
        <v>0</v>
      </c>
      <c r="T31" s="94"/>
    </row>
    <row r="32" spans="1:20">
      <c r="A32" s="43" t="s">
        <v>69</v>
      </c>
      <c r="B32" s="95">
        <f>VLOOKUP(ListTSTC[[#This Row],[Institution Name]],InputResearch[],3,FALSE)</f>
        <v>550</v>
      </c>
      <c r="C32" s="282">
        <v>3634</v>
      </c>
      <c r="D32" s="47">
        <f>SUMIFS(InputResearch[Agricultural Sci. Fed],InputResearch[Institution Name],ListTSTC[[#This Row],[Institution Name]])+SUMIFS(InputResearch[Agricultural Sci. St. Approp.],InputResearch[Institution Name],ListTSTC[[#This Row],[Institution Name]])+SUMIFS(InputResearch[Agricultural Sci. St. C&amp;G],InputResearch[Institution Name],ListTSTC[[#This Row],[Institution Name]])+SUMIFS(InputResearch[Agricultural Sci. Inst Res],InputResearch[Institution Name],ListTSTC[[#This Row],[Institution Name]])+SUMIFS(InputResearch[Agricultural Sci. PFP],InputResearch[Institution Name],ListTSTC[[#This Row],[Institution Name]])+SUMIFS(InputResearch[Agricultural Sci. PNP],InputResearch[Institution Name],ListTSTC[[#This Row],[Institution Name]])</f>
        <v>0</v>
      </c>
      <c r="E32" s="47">
        <f>SUMIFS(InputResearch[Biological &amp; Other Life Sci. Fed],InputResearch[Institution Name],ListTSTC[[#This Row],[Institution Name]])+SUMIFS(InputResearch[Biological &amp; Other Life Sci. St. Approp.],InputResearch[Institution Name],ListTSTC[[#This Row],[Institution Name]])+SUMIFS(InputResearch[Biological &amp; Other Life Sci. St. C&amp;G],InputResearch[Institution Name],ListTSTC[[#This Row],[Institution Name]])+SUMIFS(InputResearch[Biological &amp; Other Life Sci. Inst Res],InputResearch[Institution Name],ListTSTC[[#This Row],[Institution Name]])+SUMIFS(InputResearch[Biological &amp; Other Life Sci. PFP],InputResearch[Institution Name],ListTSTC[[#This Row],[Institution Name]])+SUMIFS(InputResearch[Biological &amp; Other Life Sci. PNP],InputResearch[Institution Name],ListTSTC[[#This Row],[Institution Name]])</f>
        <v>0</v>
      </c>
      <c r="F32" s="47">
        <f>SUMIFS(InputResearch[Comp. Sci. Fed],InputResearch[Institution Name],ListTSTC[[#This Row],[Institution Name]])+SUMIFS(InputResearch[Comp. Sci. St. Approp.],InputResearch[Institution Name],ListTSTC[[#This Row],[Institution Name]])+SUMIFS(InputResearch[Comp. Sci. St. C&amp;G],InputResearch[Institution Name],ListTSTC[[#This Row],[Institution Name]])+SUMIFS(InputResearch[Comp. Sci. Inst Res],InputResearch[Institution Name],ListTSTC[[#This Row],[Institution Name]])+SUMIFS(InputResearch[Comp. Sci. PFP],InputResearch[Institution Name],ListTSTC[[#This Row],[Institution Name]])+SUMIFS(InputResearch[Comp. Sci. PNP],InputResearch[Institution Name],ListTSTC[[#This Row],[Institution Name]])</f>
        <v>0</v>
      </c>
      <c r="G32" s="47">
        <f>SUMIFS(InputResearch[Engineering Fed],InputResearch[Institution Name],ListTSTC[[#This Row],[Institution Name]])+SUMIFS(InputResearch[Engineering St. Approp.],InputResearch[Institution Name],ListTSTC[[#This Row],[Institution Name]])+SUMIFS(InputResearch[Engineering St. C&amp;G],InputResearch[Institution Name],ListTSTC[[#This Row],[Institution Name]])+SUMIFS(InputResearch[Engineering Inst Res],InputResearch[Institution Name],ListTSTC[[#This Row],[Institution Name]])+SUMIFS(InputResearch[Engineering PFP],InputResearch[Institution Name],ListTSTC[[#This Row],[Institution Name]])+SUMIFS(InputResearch[Engineering PNP],InputResearch[Institution Name],ListTSTC[[#This Row],[Institution Name]])</f>
        <v>0</v>
      </c>
      <c r="H32" s="47">
        <f>SUMIFS(InputResearch[Env Sci. Fed],InputResearch[Institution Name],ListTSTC[[#This Row],[Institution Name]])+SUMIFS(InputResearch[Env Sci. St. Approp.],InputResearch[Institution Name],ListTSTC[[#This Row],[Institution Name]])+SUMIFS(InputResearch[Env Sci. St. C&amp;G],InputResearch[Institution Name],ListTSTC[[#This Row],[Institution Name]])+SUMIFS(InputResearch[Env Sci. Inst Res],InputResearch[Institution Name],ListTSTC[[#This Row],[Institution Name]])+SUMIFS(InputResearch[Env Sci. PFP],InputResearch[Institution Name],ListTSTC[[#This Row],[Institution Name]])+SUMIFS(InputResearch[Env Sci. PNP],InputResearch[Institution Name],ListTSTC[[#This Row],[Institution Name]])</f>
        <v>0</v>
      </c>
      <c r="I32" s="47">
        <f>SUMIFS(InputResearch[Math Fed],InputResearch[Institution Name],ListTSTC[[#This Row],[Institution Name]])+SUMIFS(InputResearch[Math St. Approp.],InputResearch[Institution Name],ListTSTC[[#This Row],[Institution Name]])+SUMIFS(InputResearch[Math St. C&amp;G],InputResearch[Institution Name],ListTSTC[[#This Row],[Institution Name]])+SUMIFS(InputResearch[Math Inst Res],InputResearch[Institution Name],ListTSTC[[#This Row],[Institution Name]])+SUMIFS(InputResearch[Math PFP],InputResearch[Institution Name],ListTSTC[[#This Row],[Institution Name]])+SUMIFS(InputResearch[Math PNP],InputResearch[Institution Name],ListTSTC[[#This Row],[Institution Name]])</f>
        <v>0</v>
      </c>
      <c r="J32" s="47">
        <f>SUMIFS(InputResearch[Medical Fed],InputResearch[Institution Name],ListTSTC[[#This Row],[Institution Name]])+SUMIFS(InputResearch[Medical St. Approp.],InputResearch[Institution Name],ListTSTC[[#This Row],[Institution Name]])+SUMIFS(InputResearch[Medical St. C&amp;G],InputResearch[Institution Name],ListTSTC[[#This Row],[Institution Name]])+SUMIFS(InputResearch[Medical Inst Res],InputResearch[Institution Name],ListTSTC[[#This Row],[Institution Name]])+SUMIFS(InputResearch[Medical PFP],InputResearch[Institution Name],ListTSTC[[#This Row],[Institution Name]])+SUMIFS(InputResearch[Medical PNP],InputResearch[Institution Name],ListTSTC[[#This Row],[Institution Name]])</f>
        <v>0</v>
      </c>
      <c r="K32" s="47">
        <f>SUMIFS(InputResearch[Physical Sci. Fed],InputResearch[Institution Name],ListTSTC[[#This Row],[Institution Name]])+SUMIFS(InputResearch[Physical Sci. St. Approp.],InputResearch[Institution Name],ListTSTC[[#This Row],[Institution Name]])+SUMIFS(InputResearch[Physical Sci. St. C&amp;G],InputResearch[Institution Name],ListTSTC[[#This Row],[Institution Name]])+SUMIFS(InputResearch[Physical Sci. Inst Res],InputResearch[Institution Name],ListTSTC[[#This Row],[Institution Name]])+SUMIFS(InputResearch[Physical Sci. PFP],InputResearch[Institution Name],ListTSTC[[#This Row],[Institution Name]])+SUMIFS(InputResearch[Physical Sci. PNP],InputResearch[Institution Name],ListTSTC[[#This Row],[Institution Name]])</f>
        <v>0</v>
      </c>
      <c r="L32" s="47">
        <f>SUMIFS(InputResearch[Psychology Fed],InputResearch[Institution Name],ListTSTC[[#This Row],[Institution Name]])+SUMIFS(InputResearch[Psychology St. Approp.],InputResearch[Institution Name],ListTSTC[[#This Row],[Institution Name]])+SUMIFS(InputResearch[Psychology St. C&amp;G],InputResearch[Institution Name],ListTSTC[[#This Row],[Institution Name]])+SUMIFS(InputResearch[Psychology Inst Res],InputResearch[Institution Name],ListTSTC[[#This Row],[Institution Name]])+SUMIFS(InputResearch[Psychology PFP],InputResearch[Institution Name],ListTSTC[[#This Row],[Institution Name]])+SUMIFS(InputResearch[Psychology PNP],InputResearch[Institution Name],ListTSTC[[#This Row],[Institution Name]])</f>
        <v>0</v>
      </c>
      <c r="M32" s="47">
        <f>SUMIFS(InputResearch[Social Sci. Fed],InputResearch[Institution Name],ListTSTC[[#This Row],[Institution Name]])+SUMIFS(InputResearch[Social Sci. St. Approp.],InputResearch[Institution Name],ListTSTC[[#This Row],[Institution Name]])+SUMIFS(InputResearch[Social Sci. St. C&amp;G],InputResearch[Institution Name],ListTSTC[[#This Row],[Institution Name]])+SUMIFS(InputResearch[Social Sci. Inst Res],InputResearch[Institution Name],ListTSTC[[#This Row],[Institution Name]])+SUMIFS(InputResearch[Social Sci. PFP],InputResearch[Institution Name],ListTSTC[[#This Row],[Institution Name]])+SUMIFS(InputResearch[Social Sci. PNP],InputResearch[Institution Name],ListTSTC[[#This Row],[Institution Name]])</f>
        <v>0</v>
      </c>
      <c r="N32" s="47">
        <f>SUMIFS(InputResearch[Other Sci. Fed],InputResearch[Institution Name],ListTSTC[[#This Row],[Institution Name]])+SUMIFS(InputResearch[Other Sci. St. Approp.],InputResearch[Institution Name],ListTSTC[[#This Row],[Institution Name]])+SUMIFS(InputResearch[Other Sci. St. C&amp;G],InputResearch[Institution Name],ListTSTC[[#This Row],[Institution Name]])+SUMIFS(InputResearch[Other Sci. Inst Res],InputResearch[Institution Name],ListTSTC[[#This Row],[Institution Name]])+SUMIFS(InputResearch[Other Sci. PFP],InputResearch[Institution Name],ListTSTC[[#This Row],[Institution Name]])+SUMIFS(InputResearch[Other Sci. PNP],InputResearch[Institution Name],ListTSTC[[#This Row],[Institution Name]])</f>
        <v>0</v>
      </c>
      <c r="O32" s="47">
        <f>SUMIFS(InputResearch[Arts &amp; Humanities Fed],InputResearch[Institution Name],ListTSTC[[#This Row],[Institution Name]])+SUMIFS(InputResearch[Arts &amp; Humanities St. Approp.],InputResearch[Institution Name],ListTSTC[[#This Row],[Institution Name]])+SUMIFS(InputResearch[Arts &amp; Humanities St. C&amp;G],InputResearch[Institution Name],ListTSTC[[#This Row],[Institution Name]])+SUMIFS(InputResearch[Arts &amp; Humanities Inst Res],InputResearch[Institution Name],ListTSTC[[#This Row],[Institution Name]])+SUMIFS(InputResearch[Arts &amp; Humanities PFP],InputResearch[Institution Name],ListTSTC[[#This Row],[Institution Name]])+SUMIFS(InputResearch[Arts &amp; Humanities PNP],InputResearch[Institution Name],ListTSTC[[#This Row],[Institution Name]])</f>
        <v>0</v>
      </c>
      <c r="P32" s="47">
        <f>SUMIFS(InputResearch[Business Fed],InputResearch[Institution Name],ListTSTC[[#This Row],[Institution Name]])+SUMIFS(InputResearch[Business St. Approp.],InputResearch[Institution Name],ListTSTC[[#This Row],[Institution Name]])+SUMIFS(InputResearch[Business St. C&amp;G],InputResearch[Institution Name],ListTSTC[[#This Row],[Institution Name]])+SUMIFS(InputResearch[Business Inst Res],InputResearch[Institution Name],ListTSTC[[#This Row],[Institution Name]])+SUMIFS(InputResearch[Business PFP],InputResearch[Institution Name],ListTSTC[[#This Row],[Institution Name]])+SUMIFS(InputResearch[Business PNP],InputResearch[Institution Name],ListTSTC[[#This Row],[Institution Name]])</f>
        <v>0</v>
      </c>
      <c r="Q32" s="47">
        <f>SUMIFS(InputResearch[Education Fed],InputResearch[Institution Name],ListTSTC[[#This Row],[Institution Name]])+SUMIFS(InputResearch[Education St. Approp.],InputResearch[Institution Name],ListTSTC[[#This Row],[Institution Name]])+SUMIFS(InputResearch[Education St. C&amp;G],InputResearch[Institution Name],ListTSTC[[#This Row],[Institution Name]])+SUMIFS(InputResearch[Education Inst Res],InputResearch[Institution Name],ListTSTC[[#This Row],[Institution Name]])+SUMIFS(InputResearch[Education PFP],InputResearch[Institution Name],ListTSTC[[#This Row],[Institution Name]])+SUMIFS(InputResearch[Education PNP],InputResearch[Institution Name],ListTSTC[[#This Row],[Institution Name]])</f>
        <v>0</v>
      </c>
      <c r="R32" s="47">
        <f>SUMIFS(InputResearch[Law Fed],InputResearch[Institution Name],ListTSTC[[#This Row],[Institution Name]])+SUMIFS(InputResearch[Law St. Approp.],InputResearch[Institution Name],ListTSTC[[#This Row],[Institution Name]])+SUMIFS(InputResearch[Law St. C&amp;G],InputResearch[Institution Name],ListTSTC[[#This Row],[Institution Name]])+SUMIFS(InputResearch[Law Inst Res],InputResearch[Institution Name],ListTSTC[[#This Row],[Institution Name]])+SUMIFS(InputResearch[Law PFP],InputResearch[Institution Name],ListTSTC[[#This Row],[Institution Name]])+SUMIFS(InputResearch[Law PNP],InputResearch[Institution Name],ListTSTC[[#This Row],[Institution Name]])</f>
        <v>0</v>
      </c>
      <c r="S32" s="47">
        <f>SUMIFS(InputResearch[Other Non-Sci. Fed],InputResearch[Institution Name],ListTSTC[[#This Row],[Institution Name]])+SUMIFS(InputResearch[Other Non-Sci. St. Approp.],InputResearch[Institution Name],ListTSTC[[#This Row],[Institution Name]])+SUMIFS(InputResearch[Other Non-Sci. St. C&amp;G],InputResearch[Institution Name],ListTSTC[[#This Row],[Institution Name]])+SUMIFS(InputResearch[Other Non-Sci. Inst Res],InputResearch[Institution Name],ListTSTC[[#This Row],[Institution Name]])+SUMIFS(InputResearch[Other Non-Sci. PFP],InputResearch[Institution Name],ListTSTC[[#This Row],[Institution Name]])+SUMIFS(InputResearch[Other Non-Sci. PNP],InputResearch[Institution Name],ListTSTC[[#This Row],[Institution Name]])</f>
        <v>0</v>
      </c>
      <c r="T32" s="94"/>
    </row>
    <row r="33" spans="1:20">
      <c r="A33" s="43" t="s">
        <v>70</v>
      </c>
      <c r="B33" s="95">
        <f>VLOOKUP(ListTSTC[[#This Row],[Institution Name]],InputResearch[],3,FALSE)</f>
        <v>552</v>
      </c>
      <c r="C33" s="282">
        <v>133965</v>
      </c>
      <c r="D33" s="47">
        <f>SUMIFS(InputResearch[Agricultural Sci. Fed],InputResearch[Institution Name],ListTSTC[[#This Row],[Institution Name]])+SUMIFS(InputResearch[Agricultural Sci. St. Approp.],InputResearch[Institution Name],ListTSTC[[#This Row],[Institution Name]])+SUMIFS(InputResearch[Agricultural Sci. St. C&amp;G],InputResearch[Institution Name],ListTSTC[[#This Row],[Institution Name]])+SUMIFS(InputResearch[Agricultural Sci. Inst Res],InputResearch[Institution Name],ListTSTC[[#This Row],[Institution Name]])+SUMIFS(InputResearch[Agricultural Sci. PFP],InputResearch[Institution Name],ListTSTC[[#This Row],[Institution Name]])+SUMIFS(InputResearch[Agricultural Sci. PNP],InputResearch[Institution Name],ListTSTC[[#This Row],[Institution Name]])</f>
        <v>0</v>
      </c>
      <c r="E33" s="47">
        <f>SUMIFS(InputResearch[Biological &amp; Other Life Sci. Fed],InputResearch[Institution Name],ListTSTC[[#This Row],[Institution Name]])+SUMIFS(InputResearch[Biological &amp; Other Life Sci. St. Approp.],InputResearch[Institution Name],ListTSTC[[#This Row],[Institution Name]])+SUMIFS(InputResearch[Biological &amp; Other Life Sci. St. C&amp;G],InputResearch[Institution Name],ListTSTC[[#This Row],[Institution Name]])+SUMIFS(InputResearch[Biological &amp; Other Life Sci. Inst Res],InputResearch[Institution Name],ListTSTC[[#This Row],[Institution Name]])+SUMIFS(InputResearch[Biological &amp; Other Life Sci. PFP],InputResearch[Institution Name],ListTSTC[[#This Row],[Institution Name]])+SUMIFS(InputResearch[Biological &amp; Other Life Sci. PNP],InputResearch[Institution Name],ListTSTC[[#This Row],[Institution Name]])</f>
        <v>0</v>
      </c>
      <c r="F33" s="47">
        <f>SUMIFS(InputResearch[Comp. Sci. Fed],InputResearch[Institution Name],ListTSTC[[#This Row],[Institution Name]])+SUMIFS(InputResearch[Comp. Sci. St. Approp.],InputResearch[Institution Name],ListTSTC[[#This Row],[Institution Name]])+SUMIFS(InputResearch[Comp. Sci. St. C&amp;G],InputResearch[Institution Name],ListTSTC[[#This Row],[Institution Name]])+SUMIFS(InputResearch[Comp. Sci. Inst Res],InputResearch[Institution Name],ListTSTC[[#This Row],[Institution Name]])+SUMIFS(InputResearch[Comp. Sci. PFP],InputResearch[Institution Name],ListTSTC[[#This Row],[Institution Name]])+SUMIFS(InputResearch[Comp. Sci. PNP],InputResearch[Institution Name],ListTSTC[[#This Row],[Institution Name]])</f>
        <v>0</v>
      </c>
      <c r="G33" s="47">
        <f>SUMIFS(InputResearch[Engineering Fed],InputResearch[Institution Name],ListTSTC[[#This Row],[Institution Name]])+SUMIFS(InputResearch[Engineering St. Approp.],InputResearch[Institution Name],ListTSTC[[#This Row],[Institution Name]])+SUMIFS(InputResearch[Engineering St. C&amp;G],InputResearch[Institution Name],ListTSTC[[#This Row],[Institution Name]])+SUMIFS(InputResearch[Engineering Inst Res],InputResearch[Institution Name],ListTSTC[[#This Row],[Institution Name]])+SUMIFS(InputResearch[Engineering PFP],InputResearch[Institution Name],ListTSTC[[#This Row],[Institution Name]])+SUMIFS(InputResearch[Engineering PNP],InputResearch[Institution Name],ListTSTC[[#This Row],[Institution Name]])</f>
        <v>0</v>
      </c>
      <c r="H33" s="47">
        <f>SUMIFS(InputResearch[Env Sci. Fed],InputResearch[Institution Name],ListTSTC[[#This Row],[Institution Name]])+SUMIFS(InputResearch[Env Sci. St. Approp.],InputResearch[Institution Name],ListTSTC[[#This Row],[Institution Name]])+SUMIFS(InputResearch[Env Sci. St. C&amp;G],InputResearch[Institution Name],ListTSTC[[#This Row],[Institution Name]])+SUMIFS(InputResearch[Env Sci. Inst Res],InputResearch[Institution Name],ListTSTC[[#This Row],[Institution Name]])+SUMIFS(InputResearch[Env Sci. PFP],InputResearch[Institution Name],ListTSTC[[#This Row],[Institution Name]])+SUMIFS(InputResearch[Env Sci. PNP],InputResearch[Institution Name],ListTSTC[[#This Row],[Institution Name]])</f>
        <v>0</v>
      </c>
      <c r="I33" s="47">
        <f>SUMIFS(InputResearch[Math Fed],InputResearch[Institution Name],ListTSTC[[#This Row],[Institution Name]])+SUMIFS(InputResearch[Math St. Approp.],InputResearch[Institution Name],ListTSTC[[#This Row],[Institution Name]])+SUMIFS(InputResearch[Math St. C&amp;G],InputResearch[Institution Name],ListTSTC[[#This Row],[Institution Name]])+SUMIFS(InputResearch[Math Inst Res],InputResearch[Institution Name],ListTSTC[[#This Row],[Institution Name]])+SUMIFS(InputResearch[Math PFP],InputResearch[Institution Name],ListTSTC[[#This Row],[Institution Name]])+SUMIFS(InputResearch[Math PNP],InputResearch[Institution Name],ListTSTC[[#This Row],[Institution Name]])</f>
        <v>0</v>
      </c>
      <c r="J33" s="47">
        <f>SUMIFS(InputResearch[Medical Fed],InputResearch[Institution Name],ListTSTC[[#This Row],[Institution Name]])+SUMIFS(InputResearch[Medical St. Approp.],InputResearch[Institution Name],ListTSTC[[#This Row],[Institution Name]])+SUMIFS(InputResearch[Medical St. C&amp;G],InputResearch[Institution Name],ListTSTC[[#This Row],[Institution Name]])+SUMIFS(InputResearch[Medical Inst Res],InputResearch[Institution Name],ListTSTC[[#This Row],[Institution Name]])+SUMIFS(InputResearch[Medical PFP],InputResearch[Institution Name],ListTSTC[[#This Row],[Institution Name]])+SUMIFS(InputResearch[Medical PNP],InputResearch[Institution Name],ListTSTC[[#This Row],[Institution Name]])</f>
        <v>0</v>
      </c>
      <c r="K33" s="47">
        <f>SUMIFS(InputResearch[Physical Sci. Fed],InputResearch[Institution Name],ListTSTC[[#This Row],[Institution Name]])+SUMIFS(InputResearch[Physical Sci. St. Approp.],InputResearch[Institution Name],ListTSTC[[#This Row],[Institution Name]])+SUMIFS(InputResearch[Physical Sci. St. C&amp;G],InputResearch[Institution Name],ListTSTC[[#This Row],[Institution Name]])+SUMIFS(InputResearch[Physical Sci. Inst Res],InputResearch[Institution Name],ListTSTC[[#This Row],[Institution Name]])+SUMIFS(InputResearch[Physical Sci. PFP],InputResearch[Institution Name],ListTSTC[[#This Row],[Institution Name]])+SUMIFS(InputResearch[Physical Sci. PNP],InputResearch[Institution Name],ListTSTC[[#This Row],[Institution Name]])</f>
        <v>0</v>
      </c>
      <c r="L33" s="47">
        <f>SUMIFS(InputResearch[Psychology Fed],InputResearch[Institution Name],ListTSTC[[#This Row],[Institution Name]])+SUMIFS(InputResearch[Psychology St. Approp.],InputResearch[Institution Name],ListTSTC[[#This Row],[Institution Name]])+SUMIFS(InputResearch[Psychology St. C&amp;G],InputResearch[Institution Name],ListTSTC[[#This Row],[Institution Name]])+SUMIFS(InputResearch[Psychology Inst Res],InputResearch[Institution Name],ListTSTC[[#This Row],[Institution Name]])+SUMIFS(InputResearch[Psychology PFP],InputResearch[Institution Name],ListTSTC[[#This Row],[Institution Name]])+SUMIFS(InputResearch[Psychology PNP],InputResearch[Institution Name],ListTSTC[[#This Row],[Institution Name]])</f>
        <v>0</v>
      </c>
      <c r="M33" s="47">
        <f>SUMIFS(InputResearch[Social Sci. Fed],InputResearch[Institution Name],ListTSTC[[#This Row],[Institution Name]])+SUMIFS(InputResearch[Social Sci. St. Approp.],InputResearch[Institution Name],ListTSTC[[#This Row],[Institution Name]])+SUMIFS(InputResearch[Social Sci. St. C&amp;G],InputResearch[Institution Name],ListTSTC[[#This Row],[Institution Name]])+SUMIFS(InputResearch[Social Sci. Inst Res],InputResearch[Institution Name],ListTSTC[[#This Row],[Institution Name]])+SUMIFS(InputResearch[Social Sci. PFP],InputResearch[Institution Name],ListTSTC[[#This Row],[Institution Name]])+SUMIFS(InputResearch[Social Sci. PNP],InputResearch[Institution Name],ListTSTC[[#This Row],[Institution Name]])</f>
        <v>0</v>
      </c>
      <c r="N33" s="47">
        <f>SUMIFS(InputResearch[Other Sci. Fed],InputResearch[Institution Name],ListTSTC[[#This Row],[Institution Name]])+SUMIFS(InputResearch[Other Sci. St. Approp.],InputResearch[Institution Name],ListTSTC[[#This Row],[Institution Name]])+SUMIFS(InputResearch[Other Sci. St. C&amp;G],InputResearch[Institution Name],ListTSTC[[#This Row],[Institution Name]])+SUMIFS(InputResearch[Other Sci. Inst Res],InputResearch[Institution Name],ListTSTC[[#This Row],[Institution Name]])+SUMIFS(InputResearch[Other Sci. PFP],InputResearch[Institution Name],ListTSTC[[#This Row],[Institution Name]])+SUMIFS(InputResearch[Other Sci. PNP],InputResearch[Institution Name],ListTSTC[[#This Row],[Institution Name]])</f>
        <v>0</v>
      </c>
      <c r="O33" s="47">
        <f>SUMIFS(InputResearch[Arts &amp; Humanities Fed],InputResearch[Institution Name],ListTSTC[[#This Row],[Institution Name]])+SUMIFS(InputResearch[Arts &amp; Humanities St. Approp.],InputResearch[Institution Name],ListTSTC[[#This Row],[Institution Name]])+SUMIFS(InputResearch[Arts &amp; Humanities St. C&amp;G],InputResearch[Institution Name],ListTSTC[[#This Row],[Institution Name]])+SUMIFS(InputResearch[Arts &amp; Humanities Inst Res],InputResearch[Institution Name],ListTSTC[[#This Row],[Institution Name]])+SUMIFS(InputResearch[Arts &amp; Humanities PFP],InputResearch[Institution Name],ListTSTC[[#This Row],[Institution Name]])+SUMIFS(InputResearch[Arts &amp; Humanities PNP],InputResearch[Institution Name],ListTSTC[[#This Row],[Institution Name]])</f>
        <v>0</v>
      </c>
      <c r="P33" s="47">
        <f>SUMIFS(InputResearch[Business Fed],InputResearch[Institution Name],ListTSTC[[#This Row],[Institution Name]])+SUMIFS(InputResearch[Business St. Approp.],InputResearch[Institution Name],ListTSTC[[#This Row],[Institution Name]])+SUMIFS(InputResearch[Business St. C&amp;G],InputResearch[Institution Name],ListTSTC[[#This Row],[Institution Name]])+SUMIFS(InputResearch[Business Inst Res],InputResearch[Institution Name],ListTSTC[[#This Row],[Institution Name]])+SUMIFS(InputResearch[Business PFP],InputResearch[Institution Name],ListTSTC[[#This Row],[Institution Name]])+SUMIFS(InputResearch[Business PNP],InputResearch[Institution Name],ListTSTC[[#This Row],[Institution Name]])</f>
        <v>0</v>
      </c>
      <c r="Q33" s="47">
        <f>SUMIFS(InputResearch[Education Fed],InputResearch[Institution Name],ListTSTC[[#This Row],[Institution Name]])+SUMIFS(InputResearch[Education St. Approp.],InputResearch[Institution Name],ListTSTC[[#This Row],[Institution Name]])+SUMIFS(InputResearch[Education St. C&amp;G],InputResearch[Institution Name],ListTSTC[[#This Row],[Institution Name]])+SUMIFS(InputResearch[Education Inst Res],InputResearch[Institution Name],ListTSTC[[#This Row],[Institution Name]])+SUMIFS(InputResearch[Education PFP],InputResearch[Institution Name],ListTSTC[[#This Row],[Institution Name]])+SUMIFS(InputResearch[Education PNP],InputResearch[Institution Name],ListTSTC[[#This Row],[Institution Name]])</f>
        <v>0</v>
      </c>
      <c r="R33" s="47">
        <f>SUMIFS(InputResearch[Law Fed],InputResearch[Institution Name],ListTSTC[[#This Row],[Institution Name]])+SUMIFS(InputResearch[Law St. Approp.],InputResearch[Institution Name],ListTSTC[[#This Row],[Institution Name]])+SUMIFS(InputResearch[Law St. C&amp;G],InputResearch[Institution Name],ListTSTC[[#This Row],[Institution Name]])+SUMIFS(InputResearch[Law Inst Res],InputResearch[Institution Name],ListTSTC[[#This Row],[Institution Name]])+SUMIFS(InputResearch[Law PFP],InputResearch[Institution Name],ListTSTC[[#This Row],[Institution Name]])+SUMIFS(InputResearch[Law PNP],InputResearch[Institution Name],ListTSTC[[#This Row],[Institution Name]])</f>
        <v>0</v>
      </c>
      <c r="S33" s="47">
        <f>SUMIFS(InputResearch[Other Non-Sci. Fed],InputResearch[Institution Name],ListTSTC[[#This Row],[Institution Name]])+SUMIFS(InputResearch[Other Non-Sci. St. Approp.],InputResearch[Institution Name],ListTSTC[[#This Row],[Institution Name]])+SUMIFS(InputResearch[Other Non-Sci. St. C&amp;G],InputResearch[Institution Name],ListTSTC[[#This Row],[Institution Name]])+SUMIFS(InputResearch[Other Non-Sci. Inst Res],InputResearch[Institution Name],ListTSTC[[#This Row],[Institution Name]])+SUMIFS(InputResearch[Other Non-Sci. PFP],InputResearch[Institution Name],ListTSTC[[#This Row],[Institution Name]])+SUMIFS(InputResearch[Other Non-Sci. PNP],InputResearch[Institution Name],ListTSTC[[#This Row],[Institution Name]])</f>
        <v>0</v>
      </c>
      <c r="T33" s="94"/>
    </row>
    <row r="34" spans="1:20">
      <c r="A34" s="43" t="s">
        <v>71</v>
      </c>
      <c r="B34" s="95">
        <f>VLOOKUP(ListTSTC[[#This Row],[Institution Name]],InputResearch[],3,FALSE)</f>
        <v>553</v>
      </c>
      <c r="C34" s="282">
        <v>203634</v>
      </c>
      <c r="D34" s="47">
        <f>SUMIFS(InputResearch[Agricultural Sci. Fed],InputResearch[Institution Name],ListTSTC[[#This Row],[Institution Name]])+SUMIFS(InputResearch[Agricultural Sci. St. Approp.],InputResearch[Institution Name],ListTSTC[[#This Row],[Institution Name]])+SUMIFS(InputResearch[Agricultural Sci. St. C&amp;G],InputResearch[Institution Name],ListTSTC[[#This Row],[Institution Name]])+SUMIFS(InputResearch[Agricultural Sci. Inst Res],InputResearch[Institution Name],ListTSTC[[#This Row],[Institution Name]])+SUMIFS(InputResearch[Agricultural Sci. PFP],InputResearch[Institution Name],ListTSTC[[#This Row],[Institution Name]])+SUMIFS(InputResearch[Agricultural Sci. PNP],InputResearch[Institution Name],ListTSTC[[#This Row],[Institution Name]])</f>
        <v>0</v>
      </c>
      <c r="E34" s="47">
        <f>SUMIFS(InputResearch[Biological &amp; Other Life Sci. Fed],InputResearch[Institution Name],ListTSTC[[#This Row],[Institution Name]])+SUMIFS(InputResearch[Biological &amp; Other Life Sci. St. Approp.],InputResearch[Institution Name],ListTSTC[[#This Row],[Institution Name]])+SUMIFS(InputResearch[Biological &amp; Other Life Sci. St. C&amp;G],InputResearch[Institution Name],ListTSTC[[#This Row],[Institution Name]])+SUMIFS(InputResearch[Biological &amp; Other Life Sci. Inst Res],InputResearch[Institution Name],ListTSTC[[#This Row],[Institution Name]])+SUMIFS(InputResearch[Biological &amp; Other Life Sci. PFP],InputResearch[Institution Name],ListTSTC[[#This Row],[Institution Name]])+SUMIFS(InputResearch[Biological &amp; Other Life Sci. PNP],InputResearch[Institution Name],ListTSTC[[#This Row],[Institution Name]])</f>
        <v>0</v>
      </c>
      <c r="F34" s="47">
        <f>SUMIFS(InputResearch[Comp. Sci. Fed],InputResearch[Institution Name],ListTSTC[[#This Row],[Institution Name]])+SUMIFS(InputResearch[Comp. Sci. St. Approp.],InputResearch[Institution Name],ListTSTC[[#This Row],[Institution Name]])+SUMIFS(InputResearch[Comp. Sci. St. C&amp;G],InputResearch[Institution Name],ListTSTC[[#This Row],[Institution Name]])+SUMIFS(InputResearch[Comp. Sci. Inst Res],InputResearch[Institution Name],ListTSTC[[#This Row],[Institution Name]])+SUMIFS(InputResearch[Comp. Sci. PFP],InputResearch[Institution Name],ListTSTC[[#This Row],[Institution Name]])+SUMIFS(InputResearch[Comp. Sci. PNP],InputResearch[Institution Name],ListTSTC[[#This Row],[Institution Name]])</f>
        <v>0</v>
      </c>
      <c r="G34" s="47">
        <f>SUMIFS(InputResearch[Engineering Fed],InputResearch[Institution Name],ListTSTC[[#This Row],[Institution Name]])+SUMIFS(InputResearch[Engineering St. Approp.],InputResearch[Institution Name],ListTSTC[[#This Row],[Institution Name]])+SUMIFS(InputResearch[Engineering St. C&amp;G],InputResearch[Institution Name],ListTSTC[[#This Row],[Institution Name]])+SUMIFS(InputResearch[Engineering Inst Res],InputResearch[Institution Name],ListTSTC[[#This Row],[Institution Name]])+SUMIFS(InputResearch[Engineering PFP],InputResearch[Institution Name],ListTSTC[[#This Row],[Institution Name]])+SUMIFS(InputResearch[Engineering PNP],InputResearch[Institution Name],ListTSTC[[#This Row],[Institution Name]])</f>
        <v>0</v>
      </c>
      <c r="H34" s="47">
        <f>SUMIFS(InputResearch[Env Sci. Fed],InputResearch[Institution Name],ListTSTC[[#This Row],[Institution Name]])+SUMIFS(InputResearch[Env Sci. St. Approp.],InputResearch[Institution Name],ListTSTC[[#This Row],[Institution Name]])+SUMIFS(InputResearch[Env Sci. St. C&amp;G],InputResearch[Institution Name],ListTSTC[[#This Row],[Institution Name]])+SUMIFS(InputResearch[Env Sci. Inst Res],InputResearch[Institution Name],ListTSTC[[#This Row],[Institution Name]])+SUMIFS(InputResearch[Env Sci. PFP],InputResearch[Institution Name],ListTSTC[[#This Row],[Institution Name]])+SUMIFS(InputResearch[Env Sci. PNP],InputResearch[Institution Name],ListTSTC[[#This Row],[Institution Name]])</f>
        <v>0</v>
      </c>
      <c r="I34" s="47">
        <f>SUMIFS(InputResearch[Math Fed],InputResearch[Institution Name],ListTSTC[[#This Row],[Institution Name]])+SUMIFS(InputResearch[Math St. Approp.],InputResearch[Institution Name],ListTSTC[[#This Row],[Institution Name]])+SUMIFS(InputResearch[Math St. C&amp;G],InputResearch[Institution Name],ListTSTC[[#This Row],[Institution Name]])+SUMIFS(InputResearch[Math Inst Res],InputResearch[Institution Name],ListTSTC[[#This Row],[Institution Name]])+SUMIFS(InputResearch[Math PFP],InputResearch[Institution Name],ListTSTC[[#This Row],[Institution Name]])+SUMIFS(InputResearch[Math PNP],InputResearch[Institution Name],ListTSTC[[#This Row],[Institution Name]])</f>
        <v>0</v>
      </c>
      <c r="J34" s="47">
        <f>SUMIFS(InputResearch[Medical Fed],InputResearch[Institution Name],ListTSTC[[#This Row],[Institution Name]])+SUMIFS(InputResearch[Medical St. Approp.],InputResearch[Institution Name],ListTSTC[[#This Row],[Institution Name]])+SUMIFS(InputResearch[Medical St. C&amp;G],InputResearch[Institution Name],ListTSTC[[#This Row],[Institution Name]])+SUMIFS(InputResearch[Medical Inst Res],InputResearch[Institution Name],ListTSTC[[#This Row],[Institution Name]])+SUMIFS(InputResearch[Medical PFP],InputResearch[Institution Name],ListTSTC[[#This Row],[Institution Name]])+SUMIFS(InputResearch[Medical PNP],InputResearch[Institution Name],ListTSTC[[#This Row],[Institution Name]])</f>
        <v>0</v>
      </c>
      <c r="K34" s="47">
        <f>SUMIFS(InputResearch[Physical Sci. Fed],InputResearch[Institution Name],ListTSTC[[#This Row],[Institution Name]])+SUMIFS(InputResearch[Physical Sci. St. Approp.],InputResearch[Institution Name],ListTSTC[[#This Row],[Institution Name]])+SUMIFS(InputResearch[Physical Sci. St. C&amp;G],InputResearch[Institution Name],ListTSTC[[#This Row],[Institution Name]])+SUMIFS(InputResearch[Physical Sci. Inst Res],InputResearch[Institution Name],ListTSTC[[#This Row],[Institution Name]])+SUMIFS(InputResearch[Physical Sci. PFP],InputResearch[Institution Name],ListTSTC[[#This Row],[Institution Name]])+SUMIFS(InputResearch[Physical Sci. PNP],InputResearch[Institution Name],ListTSTC[[#This Row],[Institution Name]])</f>
        <v>0</v>
      </c>
      <c r="L34" s="47">
        <f>SUMIFS(InputResearch[Psychology Fed],InputResearch[Institution Name],ListTSTC[[#This Row],[Institution Name]])+SUMIFS(InputResearch[Psychology St. Approp.],InputResearch[Institution Name],ListTSTC[[#This Row],[Institution Name]])+SUMIFS(InputResearch[Psychology St. C&amp;G],InputResearch[Institution Name],ListTSTC[[#This Row],[Institution Name]])+SUMIFS(InputResearch[Psychology Inst Res],InputResearch[Institution Name],ListTSTC[[#This Row],[Institution Name]])+SUMIFS(InputResearch[Psychology PFP],InputResearch[Institution Name],ListTSTC[[#This Row],[Institution Name]])+SUMIFS(InputResearch[Psychology PNP],InputResearch[Institution Name],ListTSTC[[#This Row],[Institution Name]])</f>
        <v>0</v>
      </c>
      <c r="M34" s="47">
        <f>SUMIFS(InputResearch[Social Sci. Fed],InputResearch[Institution Name],ListTSTC[[#This Row],[Institution Name]])+SUMIFS(InputResearch[Social Sci. St. Approp.],InputResearch[Institution Name],ListTSTC[[#This Row],[Institution Name]])+SUMIFS(InputResearch[Social Sci. St. C&amp;G],InputResearch[Institution Name],ListTSTC[[#This Row],[Institution Name]])+SUMIFS(InputResearch[Social Sci. Inst Res],InputResearch[Institution Name],ListTSTC[[#This Row],[Institution Name]])+SUMIFS(InputResearch[Social Sci. PFP],InputResearch[Institution Name],ListTSTC[[#This Row],[Institution Name]])+SUMIFS(InputResearch[Social Sci. PNP],InputResearch[Institution Name],ListTSTC[[#This Row],[Institution Name]])</f>
        <v>0</v>
      </c>
      <c r="N34" s="47">
        <f>SUMIFS(InputResearch[Other Sci. Fed],InputResearch[Institution Name],ListTSTC[[#This Row],[Institution Name]])+SUMIFS(InputResearch[Other Sci. St. Approp.],InputResearch[Institution Name],ListTSTC[[#This Row],[Institution Name]])+SUMIFS(InputResearch[Other Sci. St. C&amp;G],InputResearch[Institution Name],ListTSTC[[#This Row],[Institution Name]])+SUMIFS(InputResearch[Other Sci. Inst Res],InputResearch[Institution Name],ListTSTC[[#This Row],[Institution Name]])+SUMIFS(InputResearch[Other Sci. PFP],InputResearch[Institution Name],ListTSTC[[#This Row],[Institution Name]])+SUMIFS(InputResearch[Other Sci. PNP],InputResearch[Institution Name],ListTSTC[[#This Row],[Institution Name]])</f>
        <v>0</v>
      </c>
      <c r="O34" s="47">
        <f>SUMIFS(InputResearch[Arts &amp; Humanities Fed],InputResearch[Institution Name],ListTSTC[[#This Row],[Institution Name]])+SUMIFS(InputResearch[Arts &amp; Humanities St. Approp.],InputResearch[Institution Name],ListTSTC[[#This Row],[Institution Name]])+SUMIFS(InputResearch[Arts &amp; Humanities St. C&amp;G],InputResearch[Institution Name],ListTSTC[[#This Row],[Institution Name]])+SUMIFS(InputResearch[Arts &amp; Humanities Inst Res],InputResearch[Institution Name],ListTSTC[[#This Row],[Institution Name]])+SUMIFS(InputResearch[Arts &amp; Humanities PFP],InputResearch[Institution Name],ListTSTC[[#This Row],[Institution Name]])+SUMIFS(InputResearch[Arts &amp; Humanities PNP],InputResearch[Institution Name],ListTSTC[[#This Row],[Institution Name]])</f>
        <v>0</v>
      </c>
      <c r="P34" s="47">
        <f>SUMIFS(InputResearch[Business Fed],InputResearch[Institution Name],ListTSTC[[#This Row],[Institution Name]])+SUMIFS(InputResearch[Business St. Approp.],InputResearch[Institution Name],ListTSTC[[#This Row],[Institution Name]])+SUMIFS(InputResearch[Business St. C&amp;G],InputResearch[Institution Name],ListTSTC[[#This Row],[Institution Name]])+SUMIFS(InputResearch[Business Inst Res],InputResearch[Institution Name],ListTSTC[[#This Row],[Institution Name]])+SUMIFS(InputResearch[Business PFP],InputResearch[Institution Name],ListTSTC[[#This Row],[Institution Name]])+SUMIFS(InputResearch[Business PNP],InputResearch[Institution Name],ListTSTC[[#This Row],[Institution Name]])</f>
        <v>0</v>
      </c>
      <c r="Q34" s="47">
        <f>SUMIFS(InputResearch[Education Fed],InputResearch[Institution Name],ListTSTC[[#This Row],[Institution Name]])+SUMIFS(InputResearch[Education St. Approp.],InputResearch[Institution Name],ListTSTC[[#This Row],[Institution Name]])+SUMIFS(InputResearch[Education St. C&amp;G],InputResearch[Institution Name],ListTSTC[[#This Row],[Institution Name]])+SUMIFS(InputResearch[Education Inst Res],InputResearch[Institution Name],ListTSTC[[#This Row],[Institution Name]])+SUMIFS(InputResearch[Education PFP],InputResearch[Institution Name],ListTSTC[[#This Row],[Institution Name]])+SUMIFS(InputResearch[Education PNP],InputResearch[Institution Name],ListTSTC[[#This Row],[Institution Name]])</f>
        <v>0</v>
      </c>
      <c r="R34" s="47">
        <f>SUMIFS(InputResearch[Law Fed],InputResearch[Institution Name],ListTSTC[[#This Row],[Institution Name]])+SUMIFS(InputResearch[Law St. Approp.],InputResearch[Institution Name],ListTSTC[[#This Row],[Institution Name]])+SUMIFS(InputResearch[Law St. C&amp;G],InputResearch[Institution Name],ListTSTC[[#This Row],[Institution Name]])+SUMIFS(InputResearch[Law Inst Res],InputResearch[Institution Name],ListTSTC[[#This Row],[Institution Name]])+SUMIFS(InputResearch[Law PFP],InputResearch[Institution Name],ListTSTC[[#This Row],[Institution Name]])+SUMIFS(InputResearch[Law PNP],InputResearch[Institution Name],ListTSTC[[#This Row],[Institution Name]])</f>
        <v>0</v>
      </c>
      <c r="S34" s="47">
        <f>SUMIFS(InputResearch[Other Non-Sci. Fed],InputResearch[Institution Name],ListTSTC[[#This Row],[Institution Name]])+SUMIFS(InputResearch[Other Non-Sci. St. Approp.],InputResearch[Institution Name],ListTSTC[[#This Row],[Institution Name]])+SUMIFS(InputResearch[Other Non-Sci. St. C&amp;G],InputResearch[Institution Name],ListTSTC[[#This Row],[Institution Name]])+SUMIFS(InputResearch[Other Non-Sci. Inst Res],InputResearch[Institution Name],ListTSTC[[#This Row],[Institution Name]])+SUMIFS(InputResearch[Other Non-Sci. PFP],InputResearch[Institution Name],ListTSTC[[#This Row],[Institution Name]])+SUMIFS(InputResearch[Other Non-Sci. PNP],InputResearch[Institution Name],ListTSTC[[#This Row],[Institution Name]])</f>
        <v>0</v>
      </c>
      <c r="T34" s="94"/>
    </row>
    <row r="35" spans="1:20">
      <c r="C35" s="46"/>
      <c r="D35" s="310">
        <f>SUBTOTAL(109,ListTSTC[Agricultural 
Sciences])</f>
        <v>0</v>
      </c>
      <c r="E35" s="310">
        <f>SUBTOTAL(109,ListTSTC[Biological &amp; Other 
Life Sciences])</f>
        <v>0</v>
      </c>
      <c r="F35" s="310">
        <f>SUBTOTAL(109,ListTSTC[Computer 
Science])</f>
        <v>0</v>
      </c>
      <c r="G35" s="310">
        <f>SUBTOTAL(109,ListTSTC[Engineering])</f>
        <v>0</v>
      </c>
      <c r="H35" s="310">
        <f>SUBTOTAL(109,ListTSTC[Environmental 
Sciences])</f>
        <v>0</v>
      </c>
      <c r="I35" s="310">
        <f>SUBTOTAL(109,ListTSTC[Mathematical 
Sciences])</f>
        <v>0</v>
      </c>
      <c r="J35" s="310">
        <f>SUBTOTAL(109,ListTSTC[Medical 
Sciences])</f>
        <v>0</v>
      </c>
      <c r="K35" s="310">
        <f>SUBTOTAL(109,ListTSTC[Physical 
Sciences])</f>
        <v>0</v>
      </c>
      <c r="L35" s="310">
        <f>SUBTOTAL(109,ListTSTC[Psychology])</f>
        <v>0</v>
      </c>
      <c r="M35" s="310">
        <f>SUBTOTAL(109,ListTSTC[Social 
Sciences])</f>
        <v>0</v>
      </c>
      <c r="N35" s="310">
        <f>SUBTOTAL(109,ListTSTC[Other Sciences not 
classified above])</f>
        <v>0</v>
      </c>
      <c r="O35" s="310">
        <f>SUBTOTAL(109,ListTSTC[Arts &amp; 
Humanities])</f>
        <v>0</v>
      </c>
      <c r="P35" s="310">
        <f>SUBTOTAL(109,ListTSTC[Business 
Administration])</f>
        <v>0</v>
      </c>
      <c r="Q35" s="310">
        <f>SUBTOTAL(109,ListTSTC[Education])</f>
        <v>0</v>
      </c>
      <c r="R35" s="310">
        <f>SUBTOTAL(109,ListTSTC[Law])</f>
        <v>95852</v>
      </c>
      <c r="S35" s="310">
        <f>SUBTOTAL(109,ListTSTC[Other Non-Science 
Activities])</f>
        <v>0</v>
      </c>
      <c r="T35" s="94"/>
    </row>
    <row r="36" spans="1:20">
      <c r="A36" s="91"/>
      <c r="B36" s="92"/>
      <c r="C36" s="92"/>
      <c r="D36" s="92"/>
      <c r="E36" s="92"/>
      <c r="F36" s="92"/>
      <c r="G36" s="92"/>
      <c r="H36" s="92"/>
      <c r="I36" s="92"/>
      <c r="J36" s="92"/>
      <c r="K36" s="92"/>
      <c r="L36" s="92"/>
      <c r="M36" s="92"/>
      <c r="N36" s="92"/>
      <c r="O36" s="92"/>
      <c r="P36" s="92"/>
      <c r="Q36" s="92"/>
      <c r="R36" s="92"/>
      <c r="S36" s="94"/>
      <c r="T36" s="94"/>
    </row>
    <row r="37" spans="1:20" ht="33" customHeight="1">
      <c r="A37" s="439" t="s">
        <v>0</v>
      </c>
      <c r="B37" s="440"/>
      <c r="C37" s="440"/>
      <c r="D37" s="440"/>
      <c r="E37" s="440"/>
      <c r="F37" s="440"/>
      <c r="G37" s="440"/>
      <c r="H37" s="440"/>
      <c r="I37" s="440"/>
      <c r="J37" s="440"/>
      <c r="K37" s="440"/>
      <c r="L37" s="440"/>
      <c r="M37" s="440"/>
      <c r="N37" s="440"/>
      <c r="O37" s="440"/>
      <c r="P37" s="440"/>
      <c r="Q37" s="440"/>
      <c r="R37" s="440"/>
      <c r="S37" s="440"/>
      <c r="T37" s="94"/>
    </row>
    <row r="38" spans="1:20" ht="17.399999999999999">
      <c r="A38" s="438">
        <f>Hidden!$A$4</f>
        <v>45412</v>
      </c>
      <c r="B38" s="438"/>
      <c r="C38" s="438"/>
      <c r="D38" s="438"/>
      <c r="E38" s="438"/>
      <c r="F38" s="438"/>
      <c r="G38" s="438"/>
      <c r="H38" s="438"/>
      <c r="I38" s="438"/>
      <c r="J38" s="438"/>
      <c r="K38" s="438"/>
      <c r="L38" s="438"/>
      <c r="M38" s="438"/>
      <c r="N38" s="438"/>
      <c r="O38" s="438"/>
      <c r="P38" s="438"/>
      <c r="Q38" s="438"/>
      <c r="R38" s="438"/>
      <c r="S38" s="438"/>
      <c r="T38" s="94"/>
    </row>
    <row r="39" spans="1:20">
      <c r="A39" s="91"/>
      <c r="B39" s="92"/>
      <c r="C39" s="92"/>
      <c r="D39" s="92"/>
      <c r="E39" s="92"/>
      <c r="F39" s="92"/>
      <c r="G39" s="92"/>
      <c r="H39" s="92"/>
      <c r="I39" s="92"/>
      <c r="J39" s="92"/>
      <c r="K39" s="92"/>
      <c r="L39" s="92"/>
      <c r="M39" s="92"/>
      <c r="N39" s="92"/>
      <c r="O39" s="92"/>
      <c r="P39" s="92"/>
      <c r="Q39" s="92"/>
      <c r="R39" s="92"/>
      <c r="S39" s="94"/>
      <c r="T39" s="94"/>
    </row>
    <row r="40" spans="1:20" s="45" customFormat="1" ht="30">
      <c r="A40" s="79" t="s">
        <v>1</v>
      </c>
      <c r="B40" s="80" t="s">
        <v>889</v>
      </c>
      <c r="C40" s="44" t="s">
        <v>2</v>
      </c>
      <c r="D40" s="114" t="s">
        <v>869</v>
      </c>
      <c r="E40" s="114" t="s">
        <v>870</v>
      </c>
      <c r="F40" s="114" t="s">
        <v>861</v>
      </c>
      <c r="G40" s="44" t="s">
        <v>87</v>
      </c>
      <c r="H40" s="114" t="s">
        <v>862</v>
      </c>
      <c r="I40" s="114" t="s">
        <v>863</v>
      </c>
      <c r="J40" s="114" t="s">
        <v>864</v>
      </c>
      <c r="K40" s="114" t="s">
        <v>865</v>
      </c>
      <c r="L40" s="44" t="s">
        <v>92</v>
      </c>
      <c r="M40" s="114" t="s">
        <v>872</v>
      </c>
      <c r="N40" s="114" t="s">
        <v>866</v>
      </c>
      <c r="O40" s="114" t="s">
        <v>871</v>
      </c>
      <c r="P40" s="114" t="s">
        <v>867</v>
      </c>
      <c r="Q40" s="44" t="s">
        <v>97</v>
      </c>
      <c r="R40" s="44" t="s">
        <v>98</v>
      </c>
      <c r="S40" s="114" t="s">
        <v>868</v>
      </c>
      <c r="T40" s="94"/>
    </row>
    <row r="41" spans="1:20">
      <c r="A41" s="43" t="s">
        <v>20</v>
      </c>
      <c r="B41" s="95">
        <f>VLOOKUP(ListUNIV[[#This Row],[Institution Name]],InputResearch[],3,FALSE)</f>
        <v>40</v>
      </c>
      <c r="C41" s="282">
        <v>3656</v>
      </c>
      <c r="D41"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41"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8141028</v>
      </c>
      <c r="F41"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8248616</v>
      </c>
      <c r="G41"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58823595</v>
      </c>
      <c r="H41"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1167495</v>
      </c>
      <c r="I41"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2515991</v>
      </c>
      <c r="J41"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5381796</v>
      </c>
      <c r="K41"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23733596</v>
      </c>
      <c r="L41"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2347682</v>
      </c>
      <c r="M41"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2286733</v>
      </c>
      <c r="N41"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0</v>
      </c>
      <c r="O41"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1333586</v>
      </c>
      <c r="P41"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2737830</v>
      </c>
      <c r="Q41"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2463373</v>
      </c>
      <c r="R41"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41"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14989231</v>
      </c>
      <c r="T41" s="94"/>
    </row>
    <row r="42" spans="1:20">
      <c r="A42" s="43" t="s">
        <v>714</v>
      </c>
      <c r="B42" s="95">
        <f>VLOOKUP(ListUNIV[[#This Row],[Institution Name]],InputResearch[],3,FALSE)</f>
        <v>51</v>
      </c>
      <c r="C42" s="282">
        <v>3658</v>
      </c>
      <c r="D42"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92434</v>
      </c>
      <c r="E42"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84091321</v>
      </c>
      <c r="F42"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69695496</v>
      </c>
      <c r="G42"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430487881</v>
      </c>
      <c r="H42"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40913421</v>
      </c>
      <c r="I42"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39569288</v>
      </c>
      <c r="J42"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32474260</v>
      </c>
      <c r="K42"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61728573</v>
      </c>
      <c r="L42"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14700719</v>
      </c>
      <c r="M42"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39743120</v>
      </c>
      <c r="N42"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5999111</v>
      </c>
      <c r="O42"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6060807</v>
      </c>
      <c r="P42"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3807253</v>
      </c>
      <c r="Q42"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25074941</v>
      </c>
      <c r="R42"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7205252</v>
      </c>
      <c r="S42"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47994729</v>
      </c>
      <c r="T42" s="94"/>
    </row>
    <row r="43" spans="1:20">
      <c r="A43" s="43" t="s">
        <v>21</v>
      </c>
      <c r="B43" s="95">
        <f>VLOOKUP(ListUNIV[[#This Row],[Institution Name]],InputResearch[],3,FALSE)</f>
        <v>60</v>
      </c>
      <c r="C43" s="282">
        <v>9741</v>
      </c>
      <c r="D43"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43"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15053130</v>
      </c>
      <c r="F43"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10133801</v>
      </c>
      <c r="G43"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55008679</v>
      </c>
      <c r="H43"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973021</v>
      </c>
      <c r="I43"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1563533</v>
      </c>
      <c r="J43"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23541731</v>
      </c>
      <c r="K43"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17553208</v>
      </c>
      <c r="L43"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4914864</v>
      </c>
      <c r="M43"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2511556</v>
      </c>
      <c r="N43"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28683</v>
      </c>
      <c r="O43"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1355594</v>
      </c>
      <c r="P43"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10686354</v>
      </c>
      <c r="Q43"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1719725</v>
      </c>
      <c r="R43"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43"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0</v>
      </c>
      <c r="T43" s="94"/>
    </row>
    <row r="44" spans="1:20">
      <c r="A44" s="43" t="s">
        <v>22</v>
      </c>
      <c r="B44" s="95">
        <f>VLOOKUP(ListUNIV[[#This Row],[Institution Name]],InputResearch[],3,FALSE)</f>
        <v>70</v>
      </c>
      <c r="C44" s="282">
        <v>3661</v>
      </c>
      <c r="D44"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44"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23671160</v>
      </c>
      <c r="F44"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8148424</v>
      </c>
      <c r="G44"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41556444</v>
      </c>
      <c r="H44"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4666080</v>
      </c>
      <c r="I44"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2529428</v>
      </c>
      <c r="J44"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9758720</v>
      </c>
      <c r="K44"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11814413</v>
      </c>
      <c r="L44"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5554024</v>
      </c>
      <c r="M44"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4262598</v>
      </c>
      <c r="N44"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3714266</v>
      </c>
      <c r="O44"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4620179</v>
      </c>
      <c r="P44"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5399094</v>
      </c>
      <c r="Q44"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5706572</v>
      </c>
      <c r="R44"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44"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8216479</v>
      </c>
      <c r="T44" s="94"/>
    </row>
    <row r="45" spans="1:20">
      <c r="A45" s="43" t="s">
        <v>715</v>
      </c>
      <c r="B45" s="95">
        <f>VLOOKUP(ListUNIV[[#This Row],[Institution Name]],InputResearch[],3,FALSE)</f>
        <v>91</v>
      </c>
      <c r="C45" s="282">
        <v>3599</v>
      </c>
      <c r="D45"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1010979</v>
      </c>
      <c r="E45"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3367605</v>
      </c>
      <c r="F45"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1517225</v>
      </c>
      <c r="G45"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8631179</v>
      </c>
      <c r="H45"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2855471</v>
      </c>
      <c r="I45"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2791631</v>
      </c>
      <c r="J45"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26125171</v>
      </c>
      <c r="K45"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3361443</v>
      </c>
      <c r="L45"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1722273</v>
      </c>
      <c r="M45"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3328437</v>
      </c>
      <c r="N45"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5038996</v>
      </c>
      <c r="O45"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2845279</v>
      </c>
      <c r="P45"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3403829</v>
      </c>
      <c r="Q45"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3804157</v>
      </c>
      <c r="R45"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299086</v>
      </c>
      <c r="S45"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3001643</v>
      </c>
      <c r="T45" s="94"/>
    </row>
    <row r="46" spans="1:20">
      <c r="A46" s="43" t="s">
        <v>23</v>
      </c>
      <c r="B46" s="95">
        <f>VLOOKUP(ListUNIV[[#This Row],[Institution Name]],InputResearch[],3,FALSE)</f>
        <v>100</v>
      </c>
      <c r="C46" s="282">
        <v>9930</v>
      </c>
      <c r="D46"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46"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585023</v>
      </c>
      <c r="F46"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0</v>
      </c>
      <c r="G46"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1417898</v>
      </c>
      <c r="H46"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0</v>
      </c>
      <c r="I46"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7119</v>
      </c>
      <c r="J46"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7755</v>
      </c>
      <c r="K46"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28818</v>
      </c>
      <c r="L46"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62247</v>
      </c>
      <c r="M46"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60973</v>
      </c>
      <c r="N46"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282028</v>
      </c>
      <c r="O46"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256453</v>
      </c>
      <c r="P46"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133254</v>
      </c>
      <c r="Q46"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196519</v>
      </c>
      <c r="R46"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46"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717042</v>
      </c>
      <c r="T46" s="94"/>
    </row>
    <row r="47" spans="1:20">
      <c r="A47" s="43" t="s">
        <v>24</v>
      </c>
      <c r="B47" s="95">
        <f>VLOOKUP(ListUNIV[[#This Row],[Institution Name]],InputResearch[],3,FALSE)</f>
        <v>110</v>
      </c>
      <c r="C47" s="282">
        <v>10115</v>
      </c>
      <c r="D47"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24564</v>
      </c>
      <c r="E47"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24736859</v>
      </c>
      <c r="F47"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18964655</v>
      </c>
      <c r="G47"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28696446</v>
      </c>
      <c r="H47"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2609682</v>
      </c>
      <c r="I47"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1838136</v>
      </c>
      <c r="J47"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1769403</v>
      </c>
      <c r="K47"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10199369</v>
      </c>
      <c r="L47"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1775947</v>
      </c>
      <c r="M47"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14670339</v>
      </c>
      <c r="N47"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13994077</v>
      </c>
      <c r="O47"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6623599</v>
      </c>
      <c r="P47"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9064352</v>
      </c>
      <c r="Q47"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10416117</v>
      </c>
      <c r="R47"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101855</v>
      </c>
      <c r="S47"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4848983</v>
      </c>
      <c r="T47" s="94"/>
    </row>
    <row r="48" spans="1:20">
      <c r="A48" s="43" t="s">
        <v>25</v>
      </c>
      <c r="B48" s="95">
        <f>VLOOKUP(ListUNIV[[#This Row],[Institution Name]],InputResearch[],3,FALSE)</f>
        <v>120</v>
      </c>
      <c r="C48" s="282">
        <v>11163</v>
      </c>
      <c r="D48"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48"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525593</v>
      </c>
      <c r="F48"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2309</v>
      </c>
      <c r="G48"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618541</v>
      </c>
      <c r="H48"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0</v>
      </c>
      <c r="I48"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87462</v>
      </c>
      <c r="J48"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911252</v>
      </c>
      <c r="K48"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0</v>
      </c>
      <c r="L48"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557729</v>
      </c>
      <c r="M48"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560295</v>
      </c>
      <c r="N48"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768474</v>
      </c>
      <c r="O48"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0</v>
      </c>
      <c r="P48"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211833</v>
      </c>
      <c r="Q48"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103268</v>
      </c>
      <c r="R48"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48"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0</v>
      </c>
      <c r="T48" s="94"/>
    </row>
    <row r="49" spans="1:20">
      <c r="A49" s="43" t="s">
        <v>27</v>
      </c>
      <c r="B49" s="95">
        <f>VLOOKUP(ListUNIV[[#This Row],[Institution Name]],InputResearch[],3,FALSE)</f>
        <v>130</v>
      </c>
      <c r="C49" s="282">
        <v>3632</v>
      </c>
      <c r="D49" s="47">
        <v>222321737</v>
      </c>
      <c r="E49" s="47">
        <v>112450212</v>
      </c>
      <c r="F49" s="47">
        <v>22839667</v>
      </c>
      <c r="G49" s="47">
        <v>398936287</v>
      </c>
      <c r="H49" s="47">
        <v>109908407</v>
      </c>
      <c r="I49" s="47">
        <v>8322319</v>
      </c>
      <c r="J49" s="47">
        <v>14092475</v>
      </c>
      <c r="K49" s="47">
        <v>57585661</v>
      </c>
      <c r="L49" s="47">
        <v>8109830</v>
      </c>
      <c r="M49" s="47">
        <v>22204306</v>
      </c>
      <c r="N49" s="47">
        <v>12752520</v>
      </c>
      <c r="O49" s="47">
        <v>2307102</v>
      </c>
      <c r="P49" s="47">
        <v>9497088</v>
      </c>
      <c r="Q49" s="47">
        <v>27361618</v>
      </c>
      <c r="R49" s="47">
        <v>337938</v>
      </c>
      <c r="S49" s="47">
        <v>10564425</v>
      </c>
      <c r="T49" s="94"/>
    </row>
    <row r="50" spans="1:20">
      <c r="A50" s="43" t="s">
        <v>28</v>
      </c>
      <c r="B50" s="95">
        <f>VLOOKUP(ListUNIV[[#This Row],[Institution Name]],InputResearch[],3,FALSE)</f>
        <v>140</v>
      </c>
      <c r="C50" s="282">
        <v>10298</v>
      </c>
      <c r="D50"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50"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1200312</v>
      </c>
      <c r="F50"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3063496</v>
      </c>
      <c r="G50"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837365</v>
      </c>
      <c r="H50"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7461820</v>
      </c>
      <c r="I50"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0</v>
      </c>
      <c r="J50"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-330</v>
      </c>
      <c r="K50"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42921</v>
      </c>
      <c r="L50"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0</v>
      </c>
      <c r="M50"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1564555</v>
      </c>
      <c r="N50"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545583</v>
      </c>
      <c r="O50"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0</v>
      </c>
      <c r="P50"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0</v>
      </c>
      <c r="Q50"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50000</v>
      </c>
      <c r="R50"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50"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0</v>
      </c>
      <c r="T50" s="94"/>
    </row>
    <row r="51" spans="1:20">
      <c r="A51" s="43" t="s">
        <v>29</v>
      </c>
      <c r="B51" s="95">
        <f>VLOOKUP(ListUNIV[[#This Row],[Institution Name]],InputResearch[],3,FALSE)</f>
        <v>150</v>
      </c>
      <c r="C51" s="282">
        <v>3630</v>
      </c>
      <c r="D51"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9816444</v>
      </c>
      <c r="E51"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500975</v>
      </c>
      <c r="F51"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671353</v>
      </c>
      <c r="G51"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5095845</v>
      </c>
      <c r="H51"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2193</v>
      </c>
      <c r="I51"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40616</v>
      </c>
      <c r="J51"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9946</v>
      </c>
      <c r="K51"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1544658</v>
      </c>
      <c r="L51"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5230</v>
      </c>
      <c r="M51"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430610</v>
      </c>
      <c r="N51"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8939</v>
      </c>
      <c r="O51"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500286</v>
      </c>
      <c r="P51"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15158</v>
      </c>
      <c r="Q51"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588068</v>
      </c>
      <c r="R51"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2343585</v>
      </c>
      <c r="S51"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216941</v>
      </c>
      <c r="T51" s="94"/>
    </row>
    <row r="52" spans="1:20">
      <c r="A52" s="43" t="s">
        <v>30</v>
      </c>
      <c r="B52" s="95">
        <f>VLOOKUP(ListUNIV[[#This Row],[Institution Name]],InputResearch[],3,FALSE)</f>
        <v>160</v>
      </c>
      <c r="C52" s="282">
        <v>3631</v>
      </c>
      <c r="D52"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5285821</v>
      </c>
      <c r="E52"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1702806</v>
      </c>
      <c r="F52"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437531</v>
      </c>
      <c r="G52"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624812</v>
      </c>
      <c r="H52"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1929729</v>
      </c>
      <c r="I52"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101348</v>
      </c>
      <c r="J52"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1012201</v>
      </c>
      <c r="K52"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323582</v>
      </c>
      <c r="L52"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429667</v>
      </c>
      <c r="M52"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788769</v>
      </c>
      <c r="N52"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5436267</v>
      </c>
      <c r="O52"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515852</v>
      </c>
      <c r="P52"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1181152</v>
      </c>
      <c r="Q52"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1277949</v>
      </c>
      <c r="R52"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456656</v>
      </c>
      <c r="S52"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242102</v>
      </c>
      <c r="T52" s="94"/>
    </row>
    <row r="53" spans="1:20">
      <c r="A53" s="43" t="s">
        <v>31</v>
      </c>
      <c r="B53" s="95">
        <f>VLOOKUP(ListUNIV[[#This Row],[Institution Name]],InputResearch[],3,FALSE)</f>
        <v>170</v>
      </c>
      <c r="C53" s="282">
        <v>11161</v>
      </c>
      <c r="D53"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386419</v>
      </c>
      <c r="E53"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3642704</v>
      </c>
      <c r="F53"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968307</v>
      </c>
      <c r="G53"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9548898</v>
      </c>
      <c r="H53"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14742959</v>
      </c>
      <c r="I53"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101025</v>
      </c>
      <c r="J53"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380838</v>
      </c>
      <c r="K53"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1608915</v>
      </c>
      <c r="L53"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7934</v>
      </c>
      <c r="M53"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1037662</v>
      </c>
      <c r="N53"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1199353</v>
      </c>
      <c r="O53"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117081</v>
      </c>
      <c r="P53"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10682</v>
      </c>
      <c r="Q53"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1220734</v>
      </c>
      <c r="R53"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53"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3028705</v>
      </c>
      <c r="T53" s="94"/>
    </row>
    <row r="54" spans="1:20">
      <c r="A54" s="43" t="s">
        <v>32</v>
      </c>
      <c r="B54" s="95">
        <f>VLOOKUP(ListUNIV[[#This Row],[Institution Name]],InputResearch[],3,FALSE)</f>
        <v>180</v>
      </c>
      <c r="C54" s="282">
        <v>3639</v>
      </c>
      <c r="D54"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13640316</v>
      </c>
      <c r="E54"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2964388</v>
      </c>
      <c r="F54"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784181</v>
      </c>
      <c r="G54"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4866491</v>
      </c>
      <c r="H54"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212454</v>
      </c>
      <c r="I54"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0</v>
      </c>
      <c r="J54"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110945</v>
      </c>
      <c r="K54"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258219</v>
      </c>
      <c r="L54"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70970</v>
      </c>
      <c r="M54"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24040</v>
      </c>
      <c r="N54"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0</v>
      </c>
      <c r="O54"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0</v>
      </c>
      <c r="P54"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11800</v>
      </c>
      <c r="Q54"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481920</v>
      </c>
      <c r="R54"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54"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1360694</v>
      </c>
      <c r="T54" s="94"/>
    </row>
    <row r="55" spans="1:20">
      <c r="A55" s="43" t="s">
        <v>33</v>
      </c>
      <c r="B55" s="95">
        <f>VLOOKUP(ListUNIV[[#This Row],[Institution Name]],InputResearch[],3,FALSE)</f>
        <v>190</v>
      </c>
      <c r="C55" s="282">
        <v>9651</v>
      </c>
      <c r="D55"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55"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572600</v>
      </c>
      <c r="F55"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0</v>
      </c>
      <c r="G55"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237092</v>
      </c>
      <c r="H55"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162250</v>
      </c>
      <c r="I55"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151575</v>
      </c>
      <c r="J55"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10411</v>
      </c>
      <c r="K55"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185959</v>
      </c>
      <c r="L55"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81147</v>
      </c>
      <c r="M55"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157647</v>
      </c>
      <c r="N55"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1550266</v>
      </c>
      <c r="O55"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19805</v>
      </c>
      <c r="P55"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214010</v>
      </c>
      <c r="Q55"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394942</v>
      </c>
      <c r="R55"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55"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1092260</v>
      </c>
      <c r="T55" s="94"/>
    </row>
    <row r="56" spans="1:20">
      <c r="A56" s="43" t="s">
        <v>34</v>
      </c>
      <c r="B56" s="95">
        <f>VLOOKUP(ListUNIV[[#This Row],[Institution Name]],InputResearch[],3,FALSE)</f>
        <v>200</v>
      </c>
      <c r="C56" s="282">
        <v>3665</v>
      </c>
      <c r="D56"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6502374</v>
      </c>
      <c r="E56"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32311</v>
      </c>
      <c r="F56"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856</v>
      </c>
      <c r="G56"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1567493</v>
      </c>
      <c r="H56"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480766</v>
      </c>
      <c r="I56"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2036</v>
      </c>
      <c r="J56"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0</v>
      </c>
      <c r="K56"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34724</v>
      </c>
      <c r="L56"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0</v>
      </c>
      <c r="M56"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1500</v>
      </c>
      <c r="N56"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250427</v>
      </c>
      <c r="O56"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0</v>
      </c>
      <c r="P56"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0</v>
      </c>
      <c r="Q56"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953419</v>
      </c>
      <c r="R56"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56"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118168</v>
      </c>
      <c r="T56" s="94"/>
    </row>
    <row r="57" spans="1:20">
      <c r="A57" s="43" t="s">
        <v>35</v>
      </c>
      <c r="B57" s="95">
        <f>VLOOKUP(ListUNIV[[#This Row],[Institution Name]],InputResearch[],3,FALSE)</f>
        <v>210</v>
      </c>
      <c r="C57" s="282">
        <v>3565</v>
      </c>
      <c r="D57"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811534</v>
      </c>
      <c r="E57"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87736</v>
      </c>
      <c r="F57"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462794</v>
      </c>
      <c r="G57"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59601</v>
      </c>
      <c r="H57"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0</v>
      </c>
      <c r="I57"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219698</v>
      </c>
      <c r="J57"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136142</v>
      </c>
      <c r="K57"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1136916</v>
      </c>
      <c r="L57"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140566</v>
      </c>
      <c r="M57"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122154</v>
      </c>
      <c r="N57"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799026</v>
      </c>
      <c r="O57"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212433</v>
      </c>
      <c r="P57"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172608</v>
      </c>
      <c r="Q57"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1036438</v>
      </c>
      <c r="R57"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57"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1643720</v>
      </c>
      <c r="T57" s="94"/>
    </row>
    <row r="58" spans="1:20">
      <c r="A58" s="43" t="s">
        <v>36</v>
      </c>
      <c r="B58" s="95">
        <f>VLOOKUP(ListUNIV[[#This Row],[Institution Name]],InputResearch[],3,FALSE)</f>
        <v>220</v>
      </c>
      <c r="C58" s="282">
        <v>29269</v>
      </c>
      <c r="D58"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58"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0</v>
      </c>
      <c r="F58"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0</v>
      </c>
      <c r="G58"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0</v>
      </c>
      <c r="H58"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0</v>
      </c>
      <c r="I58"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1004</v>
      </c>
      <c r="J58"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0</v>
      </c>
      <c r="K58"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5732</v>
      </c>
      <c r="L58"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0</v>
      </c>
      <c r="M58"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200</v>
      </c>
      <c r="N58"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2971</v>
      </c>
      <c r="O58"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3772</v>
      </c>
      <c r="P58"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1325</v>
      </c>
      <c r="Q58"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919</v>
      </c>
      <c r="R58"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58"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0</v>
      </c>
      <c r="T58" s="94"/>
    </row>
    <row r="59" spans="1:20">
      <c r="A59" s="43" t="s">
        <v>37</v>
      </c>
      <c r="B59" s="95">
        <f>VLOOKUP(ListUNIV[[#This Row],[Institution Name]],InputResearch[],3,FALSE)</f>
        <v>223</v>
      </c>
      <c r="C59" s="282">
        <v>42295</v>
      </c>
      <c r="D59"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59"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0</v>
      </c>
      <c r="F59"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624379</v>
      </c>
      <c r="G59"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30308</v>
      </c>
      <c r="H59"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0</v>
      </c>
      <c r="I59"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18538</v>
      </c>
      <c r="J59"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0</v>
      </c>
      <c r="K59"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0</v>
      </c>
      <c r="L59"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0</v>
      </c>
      <c r="M59"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0</v>
      </c>
      <c r="N59"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640996</v>
      </c>
      <c r="O59"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13391</v>
      </c>
      <c r="P59"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83</v>
      </c>
      <c r="Q59"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842</v>
      </c>
      <c r="R59"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59"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0</v>
      </c>
      <c r="T59" s="94"/>
    </row>
    <row r="60" spans="1:20">
      <c r="A60" s="43" t="s">
        <v>38</v>
      </c>
      <c r="B60" s="95">
        <f>VLOOKUP(ListUNIV[[#This Row],[Institution Name]],InputResearch[],3,FALSE)</f>
        <v>226</v>
      </c>
      <c r="C60" s="282">
        <v>42485</v>
      </c>
      <c r="D60"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60"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217731</v>
      </c>
      <c r="F60"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132668</v>
      </c>
      <c r="G60"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33969</v>
      </c>
      <c r="H60"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39270</v>
      </c>
      <c r="I60"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11574</v>
      </c>
      <c r="J60"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12618</v>
      </c>
      <c r="K60"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0</v>
      </c>
      <c r="L60"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87239</v>
      </c>
      <c r="M60"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79669</v>
      </c>
      <c r="N60"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128585</v>
      </c>
      <c r="O60"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45915</v>
      </c>
      <c r="P60"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0</v>
      </c>
      <c r="Q60"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245296</v>
      </c>
      <c r="R60"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60"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704285</v>
      </c>
      <c r="T60" s="94"/>
    </row>
    <row r="61" spans="1:20">
      <c r="A61" s="43" t="s">
        <v>716</v>
      </c>
      <c r="B61" s="95">
        <f>VLOOKUP(ListUNIV[[#This Row],[Institution Name]],InputResearch[],3,FALSE)</f>
        <v>231</v>
      </c>
      <c r="C61" s="282">
        <v>3652</v>
      </c>
      <c r="D61"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92996</v>
      </c>
      <c r="E61"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9976659</v>
      </c>
      <c r="F61"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6101045</v>
      </c>
      <c r="G61"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37718610</v>
      </c>
      <c r="H61"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7355806</v>
      </c>
      <c r="I61"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4350796</v>
      </c>
      <c r="J61"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12762681</v>
      </c>
      <c r="K61"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10553549</v>
      </c>
      <c r="L61"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12125042</v>
      </c>
      <c r="M61"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6054553</v>
      </c>
      <c r="N61"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3147515</v>
      </c>
      <c r="O61"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697263</v>
      </c>
      <c r="P61"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-18</v>
      </c>
      <c r="Q61"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3895237</v>
      </c>
      <c r="R61"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132573</v>
      </c>
      <c r="S61"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53372814</v>
      </c>
      <c r="T61" s="94"/>
    </row>
    <row r="62" spans="1:20">
      <c r="A62" s="43" t="s">
        <v>39</v>
      </c>
      <c r="B62" s="95">
        <f>VLOOKUP(ListUNIV[[#This Row],[Institution Name]],InputResearch[],3,FALSE)</f>
        <v>240</v>
      </c>
      <c r="C62" s="282">
        <v>11711</v>
      </c>
      <c r="D62"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62"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136152</v>
      </c>
      <c r="F62"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56550</v>
      </c>
      <c r="G62"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182521</v>
      </c>
      <c r="H62"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902721</v>
      </c>
      <c r="I62"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0</v>
      </c>
      <c r="J62"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0</v>
      </c>
      <c r="K62"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206336</v>
      </c>
      <c r="L62"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103723</v>
      </c>
      <c r="M62"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53577</v>
      </c>
      <c r="N62"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415953</v>
      </c>
      <c r="O62"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2681</v>
      </c>
      <c r="P62"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0</v>
      </c>
      <c r="Q62"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72525</v>
      </c>
      <c r="R62"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62"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-5708</v>
      </c>
      <c r="T62" s="94"/>
    </row>
    <row r="63" spans="1:20">
      <c r="A63" s="43" t="s">
        <v>40</v>
      </c>
      <c r="B63" s="95">
        <f>VLOOKUP(ListUNIV[[#This Row],[Institution Name]],InputResearch[],3,FALSE)</f>
        <v>250</v>
      </c>
      <c r="C63" s="282">
        <v>12826</v>
      </c>
      <c r="D63"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63"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0</v>
      </c>
      <c r="F63"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184131</v>
      </c>
      <c r="G63"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0</v>
      </c>
      <c r="H63"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0</v>
      </c>
      <c r="I63"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4987</v>
      </c>
      <c r="J63"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0</v>
      </c>
      <c r="K63"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0</v>
      </c>
      <c r="L63"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0</v>
      </c>
      <c r="M63"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575370</v>
      </c>
      <c r="N63"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687444</v>
      </c>
      <c r="O63"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15529</v>
      </c>
      <c r="P63"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0</v>
      </c>
      <c r="Q63"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0</v>
      </c>
      <c r="R63"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63"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207734</v>
      </c>
      <c r="T63" s="94"/>
    </row>
    <row r="64" spans="1:20">
      <c r="A64" s="43" t="s">
        <v>41</v>
      </c>
      <c r="B64" s="95">
        <f>VLOOKUP(ListUNIV[[#This Row],[Institution Name]],InputResearch[],3,FALSE)</f>
        <v>260</v>
      </c>
      <c r="C64" s="282">
        <v>13231</v>
      </c>
      <c r="D64"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64"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0</v>
      </c>
      <c r="F64"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126518</v>
      </c>
      <c r="G64"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0</v>
      </c>
      <c r="H64"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280219</v>
      </c>
      <c r="I64"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13039</v>
      </c>
      <c r="J64"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0</v>
      </c>
      <c r="K64"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0</v>
      </c>
      <c r="L64"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0</v>
      </c>
      <c r="M64"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0</v>
      </c>
      <c r="N64"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0</v>
      </c>
      <c r="O64"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44025</v>
      </c>
      <c r="P64"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0</v>
      </c>
      <c r="Q64"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0</v>
      </c>
      <c r="R64"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64"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0</v>
      </c>
      <c r="T64" s="94"/>
    </row>
    <row r="65" spans="1:20">
      <c r="A65" s="43" t="s">
        <v>42</v>
      </c>
      <c r="B65" s="95">
        <f>VLOOKUP(ListUNIV[[#This Row],[Institution Name]],InputResearch[],3,FALSE)</f>
        <v>270</v>
      </c>
      <c r="C65" s="282">
        <v>3581</v>
      </c>
      <c r="D65"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65"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66221</v>
      </c>
      <c r="F65"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218833</v>
      </c>
      <c r="G65"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1614256</v>
      </c>
      <c r="H65"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0</v>
      </c>
      <c r="I65"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0</v>
      </c>
      <c r="J65"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140587</v>
      </c>
      <c r="K65"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344065</v>
      </c>
      <c r="L65"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0</v>
      </c>
      <c r="M65"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50197</v>
      </c>
      <c r="N65"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37560</v>
      </c>
      <c r="O65"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11087</v>
      </c>
      <c r="P65"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154159</v>
      </c>
      <c r="Q65"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59156</v>
      </c>
      <c r="R65"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65"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436590</v>
      </c>
      <c r="T65" s="94"/>
    </row>
    <row r="66" spans="1:20">
      <c r="A66" s="43" t="s">
        <v>717</v>
      </c>
      <c r="B66" s="95">
        <f>VLOOKUP(ListUNIV[[#This Row],[Institution Name]],InputResearch[],3,FALSE)</f>
        <v>281</v>
      </c>
      <c r="C66" s="282">
        <v>3606</v>
      </c>
      <c r="D66"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318375</v>
      </c>
      <c r="E66"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616932</v>
      </c>
      <c r="F66"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109409</v>
      </c>
      <c r="G66"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108793</v>
      </c>
      <c r="H66"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0</v>
      </c>
      <c r="I66"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455678</v>
      </c>
      <c r="J66"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194008</v>
      </c>
      <c r="K66"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553586</v>
      </c>
      <c r="L66"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208524</v>
      </c>
      <c r="M66"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949831</v>
      </c>
      <c r="N66"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543514</v>
      </c>
      <c r="O66"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2841</v>
      </c>
      <c r="P66"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86280</v>
      </c>
      <c r="Q66"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598760</v>
      </c>
      <c r="R66"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3768239</v>
      </c>
      <c r="S66"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2996542</v>
      </c>
      <c r="T66" s="94"/>
    </row>
    <row r="67" spans="1:20">
      <c r="A67" s="43" t="s">
        <v>44</v>
      </c>
      <c r="B67" s="95">
        <f>VLOOKUP(ListUNIV[[#This Row],[Institution Name]],InputResearch[],3,FALSE)</f>
        <v>290</v>
      </c>
      <c r="C67" s="282">
        <v>3615</v>
      </c>
      <c r="D67"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2304437</v>
      </c>
      <c r="E67"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12264251</v>
      </c>
      <c r="F67"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5822096</v>
      </c>
      <c r="G67"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8944753</v>
      </c>
      <c r="H67"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4564558</v>
      </c>
      <c r="I67"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3464296</v>
      </c>
      <c r="J67"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5056988</v>
      </c>
      <c r="K67"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6707618</v>
      </c>
      <c r="L67"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958348</v>
      </c>
      <c r="M67"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10780301</v>
      </c>
      <c r="N67"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4212282</v>
      </c>
      <c r="O67"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3913296</v>
      </c>
      <c r="P67"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10661534</v>
      </c>
      <c r="Q67"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19103267</v>
      </c>
      <c r="R67"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29452502</v>
      </c>
      <c r="S67"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13080503</v>
      </c>
      <c r="T67" s="94"/>
    </row>
    <row r="68" spans="1:20">
      <c r="A68" s="43" t="s">
        <v>45</v>
      </c>
      <c r="B68" s="95">
        <f>VLOOKUP(ListUNIV[[#This Row],[Institution Name]],InputResearch[],3,FALSE)</f>
        <v>300</v>
      </c>
      <c r="C68" s="282">
        <v>3625</v>
      </c>
      <c r="D68"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483888</v>
      </c>
      <c r="E68"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1164914</v>
      </c>
      <c r="F68"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0</v>
      </c>
      <c r="G68"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0</v>
      </c>
      <c r="H68"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0</v>
      </c>
      <c r="I68"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0</v>
      </c>
      <c r="J68"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0</v>
      </c>
      <c r="K68"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231068</v>
      </c>
      <c r="L68"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0</v>
      </c>
      <c r="M68"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0</v>
      </c>
      <c r="N68"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0</v>
      </c>
      <c r="O68"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0</v>
      </c>
      <c r="P68"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0</v>
      </c>
      <c r="Q68"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1038103</v>
      </c>
      <c r="R68"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68"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1960463</v>
      </c>
      <c r="T68" s="94"/>
    </row>
    <row r="69" spans="1:20">
      <c r="A69" s="43" t="s">
        <v>46</v>
      </c>
      <c r="B69" s="95">
        <f>VLOOKUP(ListUNIV[[#This Row],[Institution Name]],InputResearch[],3,FALSE)</f>
        <v>310</v>
      </c>
      <c r="C69" s="282">
        <v>3644</v>
      </c>
      <c r="D69"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38567669</v>
      </c>
      <c r="E69"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20242245</v>
      </c>
      <c r="F69"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5753754</v>
      </c>
      <c r="G69"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56596600</v>
      </c>
      <c r="H69"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7453557</v>
      </c>
      <c r="I69"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4443053</v>
      </c>
      <c r="J69"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13346598</v>
      </c>
      <c r="K69"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15121476</v>
      </c>
      <c r="L69"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8435837</v>
      </c>
      <c r="M69"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13078941</v>
      </c>
      <c r="N69"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758286</v>
      </c>
      <c r="O69"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7904074</v>
      </c>
      <c r="P69"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18571040</v>
      </c>
      <c r="Q69"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13030240</v>
      </c>
      <c r="R69"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2026454</v>
      </c>
      <c r="S69"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4099489</v>
      </c>
      <c r="T69" s="94"/>
    </row>
    <row r="70" spans="1:20">
      <c r="A70" s="43" t="s">
        <v>47</v>
      </c>
      <c r="B70" s="95">
        <f>VLOOKUP(ListUNIV[[#This Row],[Institution Name]],InputResearch[],3,FALSE)</f>
        <v>320</v>
      </c>
      <c r="C70" s="282">
        <v>3541</v>
      </c>
      <c r="D70"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398300</v>
      </c>
      <c r="E70"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129876</v>
      </c>
      <c r="F70"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0</v>
      </c>
      <c r="G70"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13438</v>
      </c>
      <c r="H70"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0</v>
      </c>
      <c r="I70"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0</v>
      </c>
      <c r="J70"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0</v>
      </c>
      <c r="K70"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185314</v>
      </c>
      <c r="L70"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29429</v>
      </c>
      <c r="M70"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27079</v>
      </c>
      <c r="N70"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0</v>
      </c>
      <c r="O70"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7748</v>
      </c>
      <c r="P70"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0</v>
      </c>
      <c r="Q70"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141962</v>
      </c>
      <c r="R70"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984</v>
      </c>
      <c r="S70"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0</v>
      </c>
      <c r="T70" s="94"/>
    </row>
    <row r="71" spans="1:20">
      <c r="A71" s="43" t="s">
        <v>48</v>
      </c>
      <c r="B71" s="95">
        <f>VLOOKUP(ListUNIV[[#This Row],[Institution Name]],InputResearch[],3,FALSE)</f>
        <v>330</v>
      </c>
      <c r="C71" s="282">
        <v>3594</v>
      </c>
      <c r="D71"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71"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10247156</v>
      </c>
      <c r="F71"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8207912</v>
      </c>
      <c r="G71"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26732672</v>
      </c>
      <c r="H71"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1850123</v>
      </c>
      <c r="I71"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1846084</v>
      </c>
      <c r="J71"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427152</v>
      </c>
      <c r="K71"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10053775</v>
      </c>
      <c r="L71"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5550754</v>
      </c>
      <c r="M71"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11520733</v>
      </c>
      <c r="N71"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0</v>
      </c>
      <c r="O71"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9018697</v>
      </c>
      <c r="P71"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13633562</v>
      </c>
      <c r="Q71"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5719417</v>
      </c>
      <c r="R71"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71"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0</v>
      </c>
      <c r="T71" s="94"/>
    </row>
    <row r="72" spans="1:20">
      <c r="A72" s="43" t="s">
        <v>49</v>
      </c>
      <c r="B72" s="95">
        <f>VLOOKUP(ListUNIV[[#This Row],[Institution Name]],InputResearch[],3,FALSE)</f>
        <v>333</v>
      </c>
      <c r="C72" s="282">
        <v>42421</v>
      </c>
      <c r="D72"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72"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7863</v>
      </c>
      <c r="F72"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0</v>
      </c>
      <c r="G72"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0</v>
      </c>
      <c r="H72"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0</v>
      </c>
      <c r="I72"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0</v>
      </c>
      <c r="J72"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0</v>
      </c>
      <c r="K72"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0</v>
      </c>
      <c r="L72"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24502</v>
      </c>
      <c r="M72"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1063442</v>
      </c>
      <c r="N72"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146431</v>
      </c>
      <c r="O72"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0</v>
      </c>
      <c r="P72"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0</v>
      </c>
      <c r="Q72"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0</v>
      </c>
      <c r="R72"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110950</v>
      </c>
      <c r="S72"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0</v>
      </c>
      <c r="T72" s="94"/>
    </row>
    <row r="73" spans="1:20">
      <c r="A73" s="43" t="s">
        <v>50</v>
      </c>
      <c r="B73" s="95">
        <f>VLOOKUP(ListUNIV[[#This Row],[Institution Name]],InputResearch[],3,FALSE)</f>
        <v>340</v>
      </c>
      <c r="C73" s="282">
        <v>3592</v>
      </c>
      <c r="D73"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73"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22323</v>
      </c>
      <c r="F73"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968</v>
      </c>
      <c r="G73"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62722</v>
      </c>
      <c r="H73"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56308</v>
      </c>
      <c r="I73"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360</v>
      </c>
      <c r="J73"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316910</v>
      </c>
      <c r="K73"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12309</v>
      </c>
      <c r="L73"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0</v>
      </c>
      <c r="M73"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125475</v>
      </c>
      <c r="N73"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0</v>
      </c>
      <c r="O73"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22475</v>
      </c>
      <c r="P73"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2302</v>
      </c>
      <c r="Q73"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18275</v>
      </c>
      <c r="R73"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73"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0</v>
      </c>
      <c r="T73" s="94"/>
    </row>
    <row r="74" spans="1:20">
      <c r="A74" s="43" t="s">
        <v>26</v>
      </c>
      <c r="B74" s="95">
        <f>VLOOKUP(ListUNIV[[#This Row],[Institution Name]],InputResearch[],3,FALSE)</f>
        <v>350</v>
      </c>
      <c r="C74" s="282">
        <v>3624</v>
      </c>
      <c r="D74"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1756084</v>
      </c>
      <c r="E74"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287262</v>
      </c>
      <c r="F74"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26627</v>
      </c>
      <c r="G74"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0</v>
      </c>
      <c r="H74"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130305</v>
      </c>
      <c r="I74"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204924</v>
      </c>
      <c r="J74"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0</v>
      </c>
      <c r="K74"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25088</v>
      </c>
      <c r="L74"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26788</v>
      </c>
      <c r="M74"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140538</v>
      </c>
      <c r="N74"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0</v>
      </c>
      <c r="O74"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35702</v>
      </c>
      <c r="P74"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9234</v>
      </c>
      <c r="Q74"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321839</v>
      </c>
      <c r="R74"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74"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493023</v>
      </c>
      <c r="T74" s="94"/>
    </row>
    <row r="75" spans="1:20">
      <c r="A75" s="43" t="s">
        <v>51</v>
      </c>
      <c r="B75" s="95">
        <f>VLOOKUP(ListUNIV[[#This Row],[Institution Name]],InputResearch[],3,FALSE)</f>
        <v>360</v>
      </c>
      <c r="C75" s="282">
        <v>3642</v>
      </c>
      <c r="D75"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75"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3714542</v>
      </c>
      <c r="F75"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320988</v>
      </c>
      <c r="G75"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53887</v>
      </c>
      <c r="H75"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30177</v>
      </c>
      <c r="I75"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148158</v>
      </c>
      <c r="J75"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0</v>
      </c>
      <c r="K75"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393621</v>
      </c>
      <c r="L75"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0</v>
      </c>
      <c r="M75"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21414</v>
      </c>
      <c r="N75"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0</v>
      </c>
      <c r="O75"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0</v>
      </c>
      <c r="P75"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0</v>
      </c>
      <c r="Q75"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10845</v>
      </c>
      <c r="R75"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75"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3695784</v>
      </c>
      <c r="T75" s="94"/>
    </row>
    <row r="76" spans="1:20">
      <c r="A76" s="43" t="s">
        <v>52</v>
      </c>
      <c r="B76" s="95">
        <f>VLOOKUP(ListUNIV[[#This Row],[Institution Name]],InputResearch[],3,FALSE)</f>
        <v>370</v>
      </c>
      <c r="C76" s="282">
        <v>3646</v>
      </c>
      <c r="D76" s="47">
        <f>SUMIFS(InputResearch[Agricultural Sci. Fed],InputResearch[Institution Name],ListUNIV[[#This Row],[Institution Name]])+SUMIFS(InputResearch[Agricultural Sci. St. Approp.],InputResearch[Institution Name],ListUNIV[[#This Row],[Institution Name]])+SUMIFS(InputResearch[Agricultural Sci. St. C&amp;G],InputResearch[Institution Name],ListUNIV[[#This Row],[Institution Name]])+SUMIFS(InputResearch[Agricultural Sci. Inst Res],InputResearch[Institution Name],ListUNIV[[#This Row],[Institution Name]])+SUMIFS(InputResearch[Agricultural Sci. PFP],InputResearch[Institution Name],ListUNIV[[#This Row],[Institution Name]])+SUMIFS(InputResearch[Agricultural Sci. PNP],InputResearch[Institution Name],ListUNIV[[#This Row],[Institution Name]])</f>
        <v>0</v>
      </c>
      <c r="E76" s="47">
        <f>SUMIFS(InputResearch[Biological &amp; Other Life Sci. Fed],InputResearch[Institution Name],ListUNIV[[#This Row],[Institution Name]])+SUMIFS(InputResearch[Biological &amp; Other Life Sci. St. Approp.],InputResearch[Institution Name],ListUNIV[[#This Row],[Institution Name]])+SUMIFS(InputResearch[Biological &amp; Other Life Sci. St. C&amp;G],InputResearch[Institution Name],ListUNIV[[#This Row],[Institution Name]])+SUMIFS(InputResearch[Biological &amp; Other Life Sci. Inst Res],InputResearch[Institution Name],ListUNIV[[#This Row],[Institution Name]])+SUMIFS(InputResearch[Biological &amp; Other Life Sci. PFP],InputResearch[Institution Name],ListUNIV[[#This Row],[Institution Name]])+SUMIFS(InputResearch[Biological &amp; Other Life Sci. PNP],InputResearch[Institution Name],ListUNIV[[#This Row],[Institution Name]])</f>
        <v>1390539</v>
      </c>
      <c r="F76" s="47">
        <f>SUMIFS(InputResearch[Comp. Sci. Fed],InputResearch[Institution Name],ListUNIV[[#This Row],[Institution Name]])+SUMIFS(InputResearch[Comp. Sci. St. Approp.],InputResearch[Institution Name],ListUNIV[[#This Row],[Institution Name]])+SUMIFS(InputResearch[Comp. Sci. St. C&amp;G],InputResearch[Institution Name],ListUNIV[[#This Row],[Institution Name]])+SUMIFS(InputResearch[Comp. Sci. Inst Res],InputResearch[Institution Name],ListUNIV[[#This Row],[Institution Name]])+SUMIFS(InputResearch[Comp. Sci. PFP],InputResearch[Institution Name],ListUNIV[[#This Row],[Institution Name]])+SUMIFS(InputResearch[Comp. Sci. PNP],InputResearch[Institution Name],ListUNIV[[#This Row],[Institution Name]])</f>
        <v>68677</v>
      </c>
      <c r="G76" s="47">
        <f>SUMIFS(InputResearch[Engineering Fed],InputResearch[Institution Name],ListUNIV[[#This Row],[Institution Name]])+SUMIFS(InputResearch[Engineering St. Approp.],InputResearch[Institution Name],ListUNIV[[#This Row],[Institution Name]])+SUMIFS(InputResearch[Engineering St. C&amp;G],InputResearch[Institution Name],ListUNIV[[#This Row],[Institution Name]])+SUMIFS(InputResearch[Engineering Inst Res],InputResearch[Institution Name],ListUNIV[[#This Row],[Institution Name]])+SUMIFS(InputResearch[Engineering PFP],InputResearch[Institution Name],ListUNIV[[#This Row],[Institution Name]])+SUMIFS(InputResearch[Engineering PNP],InputResearch[Institution Name],ListUNIV[[#This Row],[Institution Name]])</f>
        <v>0</v>
      </c>
      <c r="H76" s="47">
        <f>SUMIFS(InputResearch[Env Sci. Fed],InputResearch[Institution Name],ListUNIV[[#This Row],[Institution Name]])+SUMIFS(InputResearch[Env Sci. St. Approp.],InputResearch[Institution Name],ListUNIV[[#This Row],[Institution Name]])+SUMIFS(InputResearch[Env Sci. St. C&amp;G],InputResearch[Institution Name],ListUNIV[[#This Row],[Institution Name]])+SUMIFS(InputResearch[Env Sci. Inst Res],InputResearch[Institution Name],ListUNIV[[#This Row],[Institution Name]])+SUMIFS(InputResearch[Env Sci. PFP],InputResearch[Institution Name],ListUNIV[[#This Row],[Institution Name]])+SUMIFS(InputResearch[Env Sci. PNP],InputResearch[Institution Name],ListUNIV[[#This Row],[Institution Name]])</f>
        <v>0</v>
      </c>
      <c r="I76" s="47">
        <f>SUMIFS(InputResearch[Math Fed],InputResearch[Institution Name],ListUNIV[[#This Row],[Institution Name]])+SUMIFS(InputResearch[Math St. Approp.],InputResearch[Institution Name],ListUNIV[[#This Row],[Institution Name]])+SUMIFS(InputResearch[Math St. C&amp;G],InputResearch[Institution Name],ListUNIV[[#This Row],[Institution Name]])+SUMIFS(InputResearch[Math Inst Res],InputResearch[Institution Name],ListUNIV[[#This Row],[Institution Name]])+SUMIFS(InputResearch[Math PFP],InputResearch[Institution Name],ListUNIV[[#This Row],[Institution Name]])+SUMIFS(InputResearch[Math PNP],InputResearch[Institution Name],ListUNIV[[#This Row],[Institution Name]])</f>
        <v>165859</v>
      </c>
      <c r="J76" s="47">
        <f>SUMIFS(InputResearch[Medical Fed],InputResearch[Institution Name],ListUNIV[[#This Row],[Institution Name]])+SUMIFS(InputResearch[Medical St. Approp.],InputResearch[Institution Name],ListUNIV[[#This Row],[Institution Name]])+SUMIFS(InputResearch[Medical St. C&amp;G],InputResearch[Institution Name],ListUNIV[[#This Row],[Institution Name]])+SUMIFS(InputResearch[Medical Inst Res],InputResearch[Institution Name],ListUNIV[[#This Row],[Institution Name]])+SUMIFS(InputResearch[Medical PFP],InputResearch[Institution Name],ListUNIV[[#This Row],[Institution Name]])+SUMIFS(InputResearch[Medical PNP],InputResearch[Institution Name],ListUNIV[[#This Row],[Institution Name]])</f>
        <v>0</v>
      </c>
      <c r="K76" s="47">
        <f>SUMIFS(InputResearch[Physical Sci. Fed],InputResearch[Institution Name],ListUNIV[[#This Row],[Institution Name]])+SUMIFS(InputResearch[Physical Sci. St. Approp.],InputResearch[Institution Name],ListUNIV[[#This Row],[Institution Name]])+SUMIFS(InputResearch[Physical Sci. St. C&amp;G],InputResearch[Institution Name],ListUNIV[[#This Row],[Institution Name]])+SUMIFS(InputResearch[Physical Sci. Inst Res],InputResearch[Institution Name],ListUNIV[[#This Row],[Institution Name]])+SUMIFS(InputResearch[Physical Sci. PFP],InputResearch[Institution Name],ListUNIV[[#This Row],[Institution Name]])+SUMIFS(InputResearch[Physical Sci. PNP],InputResearch[Institution Name],ListUNIV[[#This Row],[Institution Name]])</f>
        <v>190030</v>
      </c>
      <c r="L76" s="47">
        <f>SUMIFS(InputResearch[Psychology Fed],InputResearch[Institution Name],ListUNIV[[#This Row],[Institution Name]])+SUMIFS(InputResearch[Psychology St. Approp.],InputResearch[Institution Name],ListUNIV[[#This Row],[Institution Name]])+SUMIFS(InputResearch[Psychology St. C&amp;G],InputResearch[Institution Name],ListUNIV[[#This Row],[Institution Name]])+SUMIFS(InputResearch[Psychology Inst Res],InputResearch[Institution Name],ListUNIV[[#This Row],[Institution Name]])+SUMIFS(InputResearch[Psychology PFP],InputResearch[Institution Name],ListUNIV[[#This Row],[Institution Name]])+SUMIFS(InputResearch[Psychology PNP],InputResearch[Institution Name],ListUNIV[[#This Row],[Institution Name]])</f>
        <v>1449633</v>
      </c>
      <c r="M76" s="47">
        <f>SUMIFS(InputResearch[Social Sci. Fed],InputResearch[Institution Name],ListUNIV[[#This Row],[Institution Name]])+SUMIFS(InputResearch[Social Sci. St. Approp.],InputResearch[Institution Name],ListUNIV[[#This Row],[Institution Name]])+SUMIFS(InputResearch[Social Sci. St. C&amp;G],InputResearch[Institution Name],ListUNIV[[#This Row],[Institution Name]])+SUMIFS(InputResearch[Social Sci. Inst Res],InputResearch[Institution Name],ListUNIV[[#This Row],[Institution Name]])+SUMIFS(InputResearch[Social Sci. PFP],InputResearch[Institution Name],ListUNIV[[#This Row],[Institution Name]])+SUMIFS(InputResearch[Social Sci. PNP],InputResearch[Institution Name],ListUNIV[[#This Row],[Institution Name]])</f>
        <v>362073</v>
      </c>
      <c r="N76" s="47">
        <f>SUMIFS(InputResearch[Other Sci. Fed],InputResearch[Institution Name],ListUNIV[[#This Row],[Institution Name]])+SUMIFS(InputResearch[Other Sci. St. Approp.],InputResearch[Institution Name],ListUNIV[[#This Row],[Institution Name]])+SUMIFS(InputResearch[Other Sci. St. C&amp;G],InputResearch[Institution Name],ListUNIV[[#This Row],[Institution Name]])+SUMIFS(InputResearch[Other Sci. Inst Res],InputResearch[Institution Name],ListUNIV[[#This Row],[Institution Name]])+SUMIFS(InputResearch[Other Sci. PFP],InputResearch[Institution Name],ListUNIV[[#This Row],[Institution Name]])+SUMIFS(InputResearch[Other Sci. PNP],InputResearch[Institution Name],ListUNIV[[#This Row],[Institution Name]])</f>
        <v>2642368</v>
      </c>
      <c r="O76" s="47">
        <f>SUMIFS(InputResearch[Arts &amp; Humanities Fed],InputResearch[Institution Name],ListUNIV[[#This Row],[Institution Name]])+SUMIFS(InputResearch[Arts &amp; Humanities St. Approp.],InputResearch[Institution Name],ListUNIV[[#This Row],[Institution Name]])+SUMIFS(InputResearch[Arts &amp; Humanities St. C&amp;G],InputResearch[Institution Name],ListUNIV[[#This Row],[Institution Name]])+SUMIFS(InputResearch[Arts &amp; Humanities Inst Res],InputResearch[Institution Name],ListUNIV[[#This Row],[Institution Name]])+SUMIFS(InputResearch[Arts &amp; Humanities PFP],InputResearch[Institution Name],ListUNIV[[#This Row],[Institution Name]])+SUMIFS(InputResearch[Arts &amp; Humanities PNP],InputResearch[Institution Name],ListUNIV[[#This Row],[Institution Name]])</f>
        <v>0</v>
      </c>
      <c r="P76" s="47">
        <f>SUMIFS(InputResearch[Business Fed],InputResearch[Institution Name],ListUNIV[[#This Row],[Institution Name]])+SUMIFS(InputResearch[Business St. Approp.],InputResearch[Institution Name],ListUNIV[[#This Row],[Institution Name]])+SUMIFS(InputResearch[Business St. C&amp;G],InputResearch[Institution Name],ListUNIV[[#This Row],[Institution Name]])+SUMIFS(InputResearch[Business Inst Res],InputResearch[Institution Name],ListUNIV[[#This Row],[Institution Name]])+SUMIFS(InputResearch[Business PFP],InputResearch[Institution Name],ListUNIV[[#This Row],[Institution Name]])+SUMIFS(InputResearch[Business PNP],InputResearch[Institution Name],ListUNIV[[#This Row],[Institution Name]])</f>
        <v>1004903</v>
      </c>
      <c r="Q76" s="47">
        <f>SUMIFS(InputResearch[Education Fed],InputResearch[Institution Name],ListUNIV[[#This Row],[Institution Name]])+SUMIFS(InputResearch[Education St. Approp.],InputResearch[Institution Name],ListUNIV[[#This Row],[Institution Name]])+SUMIFS(InputResearch[Education St. C&amp;G],InputResearch[Institution Name],ListUNIV[[#This Row],[Institution Name]])+SUMIFS(InputResearch[Education Inst Res],InputResearch[Institution Name],ListUNIV[[#This Row],[Institution Name]])+SUMIFS(InputResearch[Education PFP],InputResearch[Institution Name],ListUNIV[[#This Row],[Institution Name]])+SUMIFS(InputResearch[Education PNP],InputResearch[Institution Name],ListUNIV[[#This Row],[Institution Name]])</f>
        <v>292831</v>
      </c>
      <c r="R76" s="47">
        <f>SUMIFS(InputResearch[Law Fed],InputResearch[Institution Name],ListUNIV[[#This Row],[Institution Name]])+SUMIFS(InputResearch[Law St. Approp.],InputResearch[Institution Name],ListUNIV[[#This Row],[Institution Name]])+SUMIFS(InputResearch[Law St. C&amp;G],InputResearch[Institution Name],ListUNIV[[#This Row],[Institution Name]])+SUMIFS(InputResearch[Law Inst Res],InputResearch[Institution Name],ListUNIV[[#This Row],[Institution Name]])+SUMIFS(InputResearch[Law PFP],InputResearch[Institution Name],ListUNIV[[#This Row],[Institution Name]])+SUMIFS(InputResearch[Law PNP],InputResearch[Institution Name],ListUNIV[[#This Row],[Institution Name]])</f>
        <v>0</v>
      </c>
      <c r="S76" s="47">
        <f>SUMIFS(InputResearch[Other Non-Sci. Fed],InputResearch[Institution Name],ListUNIV[[#This Row],[Institution Name]])+SUMIFS(InputResearch[Other Non-Sci. St. Approp.],InputResearch[Institution Name],ListUNIV[[#This Row],[Institution Name]])+SUMIFS(InputResearch[Other Non-Sci. St. C&amp;G],InputResearch[Institution Name],ListUNIV[[#This Row],[Institution Name]])+SUMIFS(InputResearch[Other Non-Sci. Inst Res],InputResearch[Institution Name],ListUNIV[[#This Row],[Institution Name]])+SUMIFS(InputResearch[Other Non-Sci. PFP],InputResearch[Institution Name],ListUNIV[[#This Row],[Institution Name]])+SUMIFS(InputResearch[Other Non-Sci. PNP],InputResearch[Institution Name],ListUNIV[[#This Row],[Institution Name]])</f>
        <v>302932</v>
      </c>
      <c r="T76" s="94"/>
    </row>
    <row r="77" spans="1:20">
      <c r="C77" s="46"/>
      <c r="D77" s="310">
        <f>SUBTOTAL(109,ListUNIV[Agricultural 
Sciences])</f>
        <v>303814371</v>
      </c>
      <c r="E77" s="310">
        <f>SUBTOTAL(109,ListUNIV[Biological &amp; Other 
Life Sciences])</f>
        <v>343810429</v>
      </c>
      <c r="F77" s="310">
        <f>SUBTOTAL(109,ListUNIV[Computer 
Science])</f>
        <v>173693266</v>
      </c>
      <c r="G77" s="310">
        <f>SUBTOTAL(109,ListUNIV[Engineering])</f>
        <v>1179107076</v>
      </c>
      <c r="H77" s="310">
        <f>SUBTOTAL(109,ListUNIV[Environmental 
Sciences])</f>
        <v>210748792</v>
      </c>
      <c r="I77" s="310">
        <f>SUBTOTAL(109,ListUNIV[Mathematical 
Sciences])</f>
        <v>74969555</v>
      </c>
      <c r="J77" s="310">
        <f>SUBTOTAL(109,ListUNIV[Medical 
Sciences])</f>
        <v>147980258</v>
      </c>
      <c r="K77" s="310">
        <f>SUBTOTAL(109,ListUNIV[Physical 
Sciences])</f>
        <v>235724542</v>
      </c>
      <c r="L77" s="310">
        <f>SUBTOTAL(109,ListUNIV[Psychology])</f>
        <v>69480648</v>
      </c>
      <c r="M77" s="310">
        <f>SUBTOTAL(109,ListUNIV[Social 
Sciences])</f>
        <v>138638687</v>
      </c>
      <c r="N77" s="310">
        <f>SUBTOTAL(109,ListUNIV[Other Sciences not 
classified above])</f>
        <v>65731921</v>
      </c>
      <c r="O77" s="310">
        <f>SUBTOTAL(109,ListUNIV[Arts &amp; 
Humanities])</f>
        <v>48506552</v>
      </c>
      <c r="P77" s="310">
        <f>SUBTOTAL(109,ListUNIV[Business 
Administration])</f>
        <v>90670701</v>
      </c>
      <c r="Q77" s="310">
        <f>SUBTOTAL(109,ListUNIV[Education])</f>
        <v>127399274</v>
      </c>
      <c r="R77" s="310">
        <f>SUBTOTAL(109,ListUNIV[Law])</f>
        <v>46236074</v>
      </c>
      <c r="S77" s="310">
        <f>SUBTOTAL(109,ListUNIV[Other Non-Science 
Activities])</f>
        <v>179379573</v>
      </c>
      <c r="T77" s="94"/>
    </row>
    <row r="78" spans="1:20">
      <c r="A78" s="91"/>
      <c r="B78" s="92"/>
      <c r="C78" s="92"/>
      <c r="D78" s="92"/>
      <c r="E78" s="92"/>
      <c r="F78" s="92"/>
      <c r="G78" s="92"/>
      <c r="H78" s="92"/>
      <c r="I78" s="92"/>
      <c r="J78" s="92"/>
      <c r="K78" s="92"/>
      <c r="L78" s="92"/>
      <c r="M78" s="92"/>
      <c r="N78" s="92"/>
      <c r="O78" s="92"/>
      <c r="P78" s="92"/>
      <c r="Q78" s="92"/>
      <c r="R78" s="92"/>
      <c r="S78" s="94"/>
      <c r="T78" s="94"/>
    </row>
    <row r="79" spans="1:20" ht="21">
      <c r="A79" s="439" t="s">
        <v>989</v>
      </c>
      <c r="B79" s="440"/>
      <c r="C79" s="440"/>
      <c r="D79" s="440"/>
      <c r="E79" s="440"/>
      <c r="F79" s="440"/>
      <c r="G79" s="440"/>
      <c r="H79" s="440"/>
      <c r="I79" s="440"/>
      <c r="J79" s="440"/>
      <c r="K79" s="440"/>
      <c r="L79" s="440"/>
      <c r="M79" s="440"/>
      <c r="N79" s="440"/>
      <c r="O79" s="440"/>
      <c r="P79" s="440"/>
      <c r="Q79" s="440"/>
      <c r="R79" s="440"/>
      <c r="S79" s="440"/>
      <c r="T79" s="94"/>
    </row>
    <row r="80" spans="1:20" ht="17.399999999999999">
      <c r="A80" s="438">
        <f>Hidden!$A$4</f>
        <v>45412</v>
      </c>
      <c r="B80" s="438"/>
      <c r="C80" s="438"/>
      <c r="D80" s="438"/>
      <c r="E80" s="438"/>
      <c r="F80" s="438"/>
      <c r="G80" s="438"/>
      <c r="H80" s="438"/>
      <c r="I80" s="438"/>
      <c r="J80" s="438"/>
      <c r="K80" s="438"/>
      <c r="L80" s="438"/>
      <c r="M80" s="438"/>
      <c r="N80" s="438"/>
      <c r="O80" s="438"/>
      <c r="P80" s="438"/>
      <c r="Q80" s="438"/>
      <c r="R80" s="438"/>
      <c r="S80" s="438"/>
      <c r="T80" s="94"/>
    </row>
    <row r="81" spans="1:20">
      <c r="A81" s="91"/>
      <c r="B81" s="92"/>
      <c r="C81" s="92"/>
      <c r="D81" s="92"/>
      <c r="E81" s="92"/>
      <c r="F81" s="92"/>
      <c r="G81" s="92"/>
      <c r="H81" s="92"/>
      <c r="I81" s="92"/>
      <c r="J81" s="92"/>
      <c r="K81" s="92"/>
      <c r="L81" s="92"/>
      <c r="M81" s="92"/>
      <c r="N81" s="92"/>
      <c r="O81" s="92"/>
      <c r="P81" s="92"/>
      <c r="Q81" s="92"/>
      <c r="R81" s="92"/>
      <c r="S81" s="94"/>
      <c r="T81" s="94"/>
    </row>
    <row r="82" spans="1:20" ht="30">
      <c r="A82" s="79" t="s">
        <v>1</v>
      </c>
      <c r="B82" s="80" t="s">
        <v>889</v>
      </c>
      <c r="C82" s="283" t="s">
        <v>2</v>
      </c>
      <c r="D82" s="283" t="s">
        <v>869</v>
      </c>
      <c r="E82" s="283" t="s">
        <v>870</v>
      </c>
      <c r="F82" s="283" t="s">
        <v>861</v>
      </c>
      <c r="G82" s="283" t="s">
        <v>87</v>
      </c>
      <c r="H82" s="287" t="s">
        <v>862</v>
      </c>
      <c r="I82" s="283" t="s">
        <v>863</v>
      </c>
      <c r="J82" s="283" t="s">
        <v>864</v>
      </c>
      <c r="K82" s="283" t="s">
        <v>865</v>
      </c>
      <c r="L82" s="283" t="s">
        <v>92</v>
      </c>
      <c r="M82" s="283" t="s">
        <v>93</v>
      </c>
      <c r="N82" s="283" t="s">
        <v>866</v>
      </c>
      <c r="O82" s="283" t="s">
        <v>871</v>
      </c>
      <c r="P82" s="283" t="s">
        <v>867</v>
      </c>
      <c r="Q82" s="283" t="s">
        <v>97</v>
      </c>
      <c r="R82" s="283" t="s">
        <v>98</v>
      </c>
      <c r="S82" s="283" t="s">
        <v>868</v>
      </c>
      <c r="T82" s="94"/>
    </row>
    <row r="83" spans="1:20">
      <c r="A83" s="93" t="s">
        <v>27</v>
      </c>
      <c r="B83" s="228">
        <f>VLOOKUP(ListTAMUS[[#This Row],[Institution Name]],InputResearch[],3,FALSE)</f>
        <v>130</v>
      </c>
      <c r="C83" s="284">
        <v>3632</v>
      </c>
      <c r="D83" s="285">
        <f>SUMIFS(InputResearch[Agricultural Sci. Fed],InputResearch[Institution Name],ListTAMUS[[#This Row],[Institution Name]])+SUMIFS(InputResearch[Agricultural Sci. St. Approp.],InputResearch[Institution Name],ListTAMUS[[#This Row],[Institution Name]])+SUMIFS(InputResearch[Agricultural Sci. St. C&amp;G],InputResearch[Institution Name],ListTAMUS[[#This Row],[Institution Name]])+SUMIFS(InputResearch[Agricultural Sci. Inst Res],InputResearch[Institution Name],ListTAMUS[[#This Row],[Institution Name]])+SUMIFS(InputResearch[Agricultural Sci. PFP],InputResearch[Institution Name],ListTAMUS[[#This Row],[Institution Name]])+SUMIFS(InputResearch[Agricultural Sci. PNP],InputResearch[Institution Name],ListTAMUS[[#This Row],[Institution Name]])</f>
        <v>17099582</v>
      </c>
      <c r="E83" s="285">
        <f>SUMIFS(InputResearch[Biological &amp; Other Life Sci. Fed],InputResearch[Institution Name],ListTAMUS[[#This Row],[Institution Name]])+SUMIFS(InputResearch[Biological &amp; Other Life Sci. St. Approp.],InputResearch[Institution Name],ListTAMUS[[#This Row],[Institution Name]])+SUMIFS(InputResearch[Biological &amp; Other Life Sci. St. C&amp;G],InputResearch[Institution Name],ListTAMUS[[#This Row],[Institution Name]])+SUMIFS(InputResearch[Biological &amp; Other Life Sci. Inst Res],InputResearch[Institution Name],ListTAMUS[[#This Row],[Institution Name]])+SUMIFS(InputResearch[Biological &amp; Other Life Sci. PFP],InputResearch[Institution Name],ListTAMUS[[#This Row],[Institution Name]])+SUMIFS(InputResearch[Biological &amp; Other Life Sci. PNP],InputResearch[Institution Name],ListTAMUS[[#This Row],[Institution Name]])</f>
        <v>33256050</v>
      </c>
      <c r="F83" s="285">
        <f>SUMIFS(InputResearch[Comp. Sci. Fed],InputResearch[Institution Name],ListTAMUS[[#This Row],[Institution Name]])+SUMIFS(InputResearch[Comp. Sci. St. Approp.],InputResearch[Institution Name],ListTAMUS[[#This Row],[Institution Name]])+SUMIFS(InputResearch[Comp. Sci. St. C&amp;G],InputResearch[Institution Name],ListTAMUS[[#This Row],[Institution Name]])+SUMIFS(InputResearch[Comp. Sci. Inst Res],InputResearch[Institution Name],ListTAMUS[[#This Row],[Institution Name]])+SUMIFS(InputResearch[Comp. Sci. PFP],InputResearch[Institution Name],ListTAMUS[[#This Row],[Institution Name]])+SUMIFS(InputResearch[Comp. Sci. PNP],InputResearch[Institution Name],ListTAMUS[[#This Row],[Institution Name]])</f>
        <v>11596644</v>
      </c>
      <c r="G83" s="285">
        <f>SUMIFS(InputResearch[Engineering Fed],InputResearch[Institution Name],ListTAMUS[[#This Row],[Institution Name]])+SUMIFS(InputResearch[Engineering St. Approp.],InputResearch[Institution Name],ListTAMUS[[#This Row],[Institution Name]])+SUMIFS(InputResearch[Engineering St. C&amp;G],InputResearch[Institution Name],ListTAMUS[[#This Row],[Institution Name]])+SUMIFS(InputResearch[Engineering Inst Res],InputResearch[Institution Name],ListTAMUS[[#This Row],[Institution Name]])+SUMIFS(InputResearch[Engineering PFP],InputResearch[Institution Name],ListTAMUS[[#This Row],[Institution Name]])+SUMIFS(InputResearch[Engineering PNP],InputResearch[Institution Name],ListTAMUS[[#This Row],[Institution Name]])</f>
        <v>69723916</v>
      </c>
      <c r="H83" s="285">
        <f>SUMIFS(InputResearch[Env Sci. Fed],InputResearch[Institution Name],ListTAMUS[[#This Row],[Institution Name]])+SUMIFS(InputResearch[Env Sci. St. Approp.],InputResearch[Institution Name],ListTAMUS[[#This Row],[Institution Name]])+SUMIFS(InputResearch[Env Sci. St. C&amp;G],InputResearch[Institution Name],ListTAMUS[[#This Row],[Institution Name]])+SUMIFS(InputResearch[Env Sci. Inst Res],InputResearch[Institution Name],ListTAMUS[[#This Row],[Institution Name]])+SUMIFS(InputResearch[Env Sci. PFP],InputResearch[Institution Name],ListTAMUS[[#This Row],[Institution Name]])+SUMIFS(InputResearch[Env Sci. PNP],InputResearch[Institution Name],ListTAMUS[[#This Row],[Institution Name]])</f>
        <v>104668666</v>
      </c>
      <c r="I83" s="285">
        <f>SUMIFS(InputResearch[Math Fed],InputResearch[Institution Name],ListTAMUS[[#This Row],[Institution Name]])+SUMIFS(InputResearch[Math St. Approp.],InputResearch[Institution Name],ListTAMUS[[#This Row],[Institution Name]])+SUMIFS(InputResearch[Math St. C&amp;G],InputResearch[Institution Name],ListTAMUS[[#This Row],[Institution Name]])+SUMIFS(InputResearch[Math Inst Res],InputResearch[Institution Name],ListTAMUS[[#This Row],[Institution Name]])+SUMIFS(InputResearch[Math PFP],InputResearch[Institution Name],ListTAMUS[[#This Row],[Institution Name]])+SUMIFS(InputResearch[Math PNP],InputResearch[Institution Name],ListTAMUS[[#This Row],[Institution Name]])</f>
        <v>7910686</v>
      </c>
      <c r="J83" s="285">
        <f>SUMIFS(InputResearch[Medical Fed],InputResearch[Institution Name],ListTAMUS[[#This Row],[Institution Name]])+SUMIFS(InputResearch[Medical St. Approp.],InputResearch[Institution Name],ListTAMUS[[#This Row],[Institution Name]])+SUMIFS(InputResearch[Medical St. C&amp;G],InputResearch[Institution Name],ListTAMUS[[#This Row],[Institution Name]])+SUMIFS(InputResearch[Medical Inst Res],InputResearch[Institution Name],ListTAMUS[[#This Row],[Institution Name]])+SUMIFS(InputResearch[Medical PFP],InputResearch[Institution Name],ListTAMUS[[#This Row],[Institution Name]])+SUMIFS(InputResearch[Medical PNP],InputResearch[Institution Name],ListTAMUS[[#This Row],[Institution Name]])</f>
        <v>10925261</v>
      </c>
      <c r="K83" s="285">
        <f>SUMIFS(InputResearch[Physical Sci. Fed],InputResearch[Institution Name],ListTAMUS[[#This Row],[Institution Name]])+SUMIFS(InputResearch[Physical Sci. St. Approp.],InputResearch[Institution Name],ListTAMUS[[#This Row],[Institution Name]])+SUMIFS(InputResearch[Physical Sci. St. C&amp;G],InputResearch[Institution Name],ListTAMUS[[#This Row],[Institution Name]])+SUMIFS(InputResearch[Physical Sci. Inst Res],InputResearch[Institution Name],ListTAMUS[[#This Row],[Institution Name]])+SUMIFS(InputResearch[Physical Sci. PFP],InputResearch[Institution Name],ListTAMUS[[#This Row],[Institution Name]])+SUMIFS(InputResearch[Physical Sci. PNP],InputResearch[Institution Name],ListTAMUS[[#This Row],[Institution Name]])</f>
        <v>46750899</v>
      </c>
      <c r="L83" s="285">
        <f>SUMIFS(InputResearch[Psychology Fed],InputResearch[Institution Name],ListTAMUS[[#This Row],[Institution Name]])+SUMIFS(InputResearch[Psychology St. Approp.],InputResearch[Institution Name],ListTAMUS[[#This Row],[Institution Name]])+SUMIFS(InputResearch[Psychology St. C&amp;G],InputResearch[Institution Name],ListTAMUS[[#This Row],[Institution Name]])+SUMIFS(InputResearch[Psychology Inst Res],InputResearch[Institution Name],ListTAMUS[[#This Row],[Institution Name]])+SUMIFS(InputResearch[Psychology PFP],InputResearch[Institution Name],ListTAMUS[[#This Row],[Institution Name]])+SUMIFS(InputResearch[Psychology PNP],InputResearch[Institution Name],ListTAMUS[[#This Row],[Institution Name]])</f>
        <v>6898777</v>
      </c>
      <c r="M83" s="285">
        <f>SUMIFS(InputResearch[Social Sci. Fed],InputResearch[Institution Name],ListTAMUS[[#This Row],[Institution Name]])+SUMIFS(InputResearch[Social Sci. St. Approp.],InputResearch[Institution Name],ListTAMUS[[#This Row],[Institution Name]])+SUMIFS(InputResearch[Social Sci. St. C&amp;G],InputResearch[Institution Name],ListTAMUS[[#This Row],[Institution Name]])+SUMIFS(InputResearch[Social Sci. Inst Res],InputResearch[Institution Name],ListTAMUS[[#This Row],[Institution Name]])+SUMIFS(InputResearch[Social Sci. PFP],InputResearch[Institution Name],ListTAMUS[[#This Row],[Institution Name]])+SUMIFS(InputResearch[Social Sci. PNP],InputResearch[Institution Name],ListTAMUS[[#This Row],[Institution Name]])</f>
        <v>16963795</v>
      </c>
      <c r="N83" s="285">
        <f>SUMIFS(InputResearch[Other Sci. Fed],InputResearch[Institution Name],ListTAMUS[[#This Row],[Institution Name]])+SUMIFS(InputResearch[Other Sci. St. Approp.],InputResearch[Institution Name],ListTAMUS[[#This Row],[Institution Name]])+SUMIFS(InputResearch[Other Sci. St. C&amp;G],InputResearch[Institution Name],ListTAMUS[[#This Row],[Institution Name]])+SUMIFS(InputResearch[Other Sci. Inst Res],InputResearch[Institution Name],ListTAMUS[[#This Row],[Institution Name]])+SUMIFS(InputResearch[Other Sci. PFP],InputResearch[Institution Name],ListTAMUS[[#This Row],[Institution Name]])+SUMIFS(InputResearch[Other Sci. PNP],InputResearch[Institution Name],ListTAMUS[[#This Row],[Institution Name]])</f>
        <v>6798508</v>
      </c>
      <c r="O83" s="285">
        <f>SUMIFS(InputResearch[Arts &amp; Humanities Fed],InputResearch[Institution Name],ListTAMUS[[#This Row],[Institution Name]])+SUMIFS(InputResearch[Arts &amp; Humanities St. Approp.],InputResearch[Institution Name],ListTAMUS[[#This Row],[Institution Name]])+SUMIFS(InputResearch[Arts &amp; Humanities St. C&amp;G],InputResearch[Institution Name],ListTAMUS[[#This Row],[Institution Name]])+SUMIFS(InputResearch[Arts &amp; Humanities Inst Res],InputResearch[Institution Name],ListTAMUS[[#This Row],[Institution Name]])+SUMIFS(InputResearch[Arts &amp; Humanities PFP],InputResearch[Institution Name],ListTAMUS[[#This Row],[Institution Name]])+SUMIFS(InputResearch[Arts &amp; Humanities PNP],InputResearch[Institution Name],ListTAMUS[[#This Row],[Institution Name]])</f>
        <v>2303019</v>
      </c>
      <c r="P83" s="285">
        <f>SUMIFS(InputResearch[Business Fed],InputResearch[Institution Name],ListTAMUS[[#This Row],[Institution Name]])+SUMIFS(InputResearch[Business St. Approp.],InputResearch[Institution Name],ListTAMUS[[#This Row],[Institution Name]])+SUMIFS(InputResearch[Business St. C&amp;G],InputResearch[Institution Name],ListTAMUS[[#This Row],[Institution Name]])+SUMIFS(InputResearch[Business Inst Res],InputResearch[Institution Name],ListTAMUS[[#This Row],[Institution Name]])+SUMIFS(InputResearch[Business PFP],InputResearch[Institution Name],ListTAMUS[[#This Row],[Institution Name]])+SUMIFS(InputResearch[Business PNP],InputResearch[Institution Name],ListTAMUS[[#This Row],[Institution Name]])</f>
        <v>9271027</v>
      </c>
      <c r="Q83" s="285">
        <f>SUMIFS(InputResearch[Education Fed],InputResearch[Institution Name],ListTAMUS[[#This Row],[Institution Name]])+SUMIFS(InputResearch[Education St. Approp.],InputResearch[Institution Name],ListTAMUS[[#This Row],[Institution Name]])+SUMIFS(InputResearch[Education St. C&amp;G],InputResearch[Institution Name],ListTAMUS[[#This Row],[Institution Name]])+SUMIFS(InputResearch[Education Inst Res],InputResearch[Institution Name],ListTAMUS[[#This Row],[Institution Name]])+SUMIFS(InputResearch[Education PFP],InputResearch[Institution Name],ListTAMUS[[#This Row],[Institution Name]])+SUMIFS(InputResearch[Education PNP],InputResearch[Institution Name],ListTAMUS[[#This Row],[Institution Name]])</f>
        <v>21535421</v>
      </c>
      <c r="R83" s="285">
        <f>SUMIFS(InputResearch[Law Fed],InputResearch[Institution Name],ListTAMUS[[#This Row],[Institution Name]])+SUMIFS(InputResearch[Law St. Approp.],InputResearch[Institution Name],ListTAMUS[[#This Row],[Institution Name]])+SUMIFS(InputResearch[Law St. C&amp;G],InputResearch[Institution Name],ListTAMUS[[#This Row],[Institution Name]])+SUMIFS(InputResearch[Law Inst Res],InputResearch[Institution Name],ListTAMUS[[#This Row],[Institution Name]])+SUMIFS(InputResearch[Law PFP],InputResearch[Institution Name],ListTAMUS[[#This Row],[Institution Name]])+SUMIFS(InputResearch[Law PNP],InputResearch[Institution Name],ListTAMUS[[#This Row],[Institution Name]])</f>
        <v>176818</v>
      </c>
      <c r="S83" s="285">
        <f>SUMIFS(InputResearch[Other Non-Sci. Fed],InputResearch[Institution Name],ListTAMUS[[#This Row],[Institution Name]])+SUMIFS(InputResearch[Other Non-Sci. St. Approp.],InputResearch[Institution Name],ListTAMUS[[#This Row],[Institution Name]])+SUMIFS(InputResearch[Other Non-Sci. St. C&amp;G],InputResearch[Institution Name],ListTAMUS[[#This Row],[Institution Name]])+SUMIFS(InputResearch[Other Non-Sci. Inst Res],InputResearch[Institution Name],ListTAMUS[[#This Row],[Institution Name]])+SUMIFS(InputResearch[Other Non-Sci. PFP],InputResearch[Institution Name],ListTAMUS[[#This Row],[Institution Name]])+SUMIFS(InputResearch[Other Non-Sci. PNP],InputResearch[Institution Name],ListTAMUS[[#This Row],[Institution Name]])</f>
        <v>0</v>
      </c>
      <c r="T83" s="94"/>
    </row>
    <row r="84" spans="1:20">
      <c r="A84" s="93" t="s">
        <v>54</v>
      </c>
      <c r="B84" s="228">
        <f>VLOOKUP(ListTAMUS[[#This Row],[Institution Name]],InputResearch[],3,FALSE)</f>
        <v>605</v>
      </c>
      <c r="C84" s="284">
        <v>555</v>
      </c>
      <c r="D84" s="47">
        <f>SUMIFS(InputResearch[Agricultural Sci. Fed],InputResearch[Institution Name],ListTAMUS[[#This Row],[Institution Name]])+SUMIFS(InputResearch[Agricultural Sci. St. Approp.],InputResearch[Institution Name],ListTAMUS[[#This Row],[Institution Name]])+SUMIFS(InputResearch[Agricultural Sci. St. C&amp;G],InputResearch[Institution Name],ListTAMUS[[#This Row],[Institution Name]])+SUMIFS(InputResearch[Agricultural Sci. Inst Res],InputResearch[Institution Name],ListTAMUS[[#This Row],[Institution Name]])+SUMIFS(InputResearch[Agricultural Sci. PFP],InputResearch[Institution Name],ListTAMUS[[#This Row],[Institution Name]])+SUMIFS(InputResearch[Agricultural Sci. PNP],InputResearch[Institution Name],ListTAMUS[[#This Row],[Institution Name]])</f>
        <v>1455978</v>
      </c>
      <c r="E84" s="47">
        <f>SUMIFS(InputResearch[Biological &amp; Other Life Sci. Fed],InputResearch[Institution Name],ListTAMUS[[#This Row],[Institution Name]])+SUMIFS(InputResearch[Biological &amp; Other Life Sci. St. Approp.],InputResearch[Institution Name],ListTAMUS[[#This Row],[Institution Name]])+SUMIFS(InputResearch[Biological &amp; Other Life Sci. St. C&amp;G],InputResearch[Institution Name],ListTAMUS[[#This Row],[Institution Name]])+SUMIFS(InputResearch[Biological &amp; Other Life Sci. Inst Res],InputResearch[Institution Name],ListTAMUS[[#This Row],[Institution Name]])+SUMIFS(InputResearch[Biological &amp; Other Life Sci. PFP],InputResearch[Institution Name],ListTAMUS[[#This Row],[Institution Name]])+SUMIFS(InputResearch[Biological &amp; Other Life Sci. PNP],InputResearch[Institution Name],ListTAMUS[[#This Row],[Institution Name]])</f>
        <v>216354</v>
      </c>
      <c r="F84" s="47">
        <f>SUMIFS(InputResearch[Comp. Sci. Fed],InputResearch[Institution Name],ListTAMUS[[#This Row],[Institution Name]])+SUMIFS(InputResearch[Comp. Sci. St. Approp.],InputResearch[Institution Name],ListTAMUS[[#This Row],[Institution Name]])+SUMIFS(InputResearch[Comp. Sci. St. C&amp;G],InputResearch[Institution Name],ListTAMUS[[#This Row],[Institution Name]])+SUMIFS(InputResearch[Comp. Sci. Inst Res],InputResearch[Institution Name],ListTAMUS[[#This Row],[Institution Name]])+SUMIFS(InputResearch[Comp. Sci. PFP],InputResearch[Institution Name],ListTAMUS[[#This Row],[Institution Name]])+SUMIFS(InputResearch[Comp. Sci. PNP],InputResearch[Institution Name],ListTAMUS[[#This Row],[Institution Name]])</f>
        <v>0</v>
      </c>
      <c r="G84" s="47">
        <f>SUMIFS(InputResearch[Engineering Fed],InputResearch[Institution Name],ListTAMUS[[#This Row],[Institution Name]])+SUMIFS(InputResearch[Engineering St. Approp.],InputResearch[Institution Name],ListTAMUS[[#This Row],[Institution Name]])+SUMIFS(InputResearch[Engineering St. C&amp;G],InputResearch[Institution Name],ListTAMUS[[#This Row],[Institution Name]])+SUMIFS(InputResearch[Engineering Inst Res],InputResearch[Institution Name],ListTAMUS[[#This Row],[Institution Name]])+SUMIFS(InputResearch[Engineering PFP],InputResearch[Institution Name],ListTAMUS[[#This Row],[Institution Name]])+SUMIFS(InputResearch[Engineering PNP],InputResearch[Institution Name],ListTAMUS[[#This Row],[Institution Name]])</f>
        <v>134324</v>
      </c>
      <c r="H84" s="47">
        <f>SUMIFS(InputResearch[Env Sci. Fed],InputResearch[Institution Name],ListTAMUS[[#This Row],[Institution Name]])+SUMIFS(InputResearch[Env Sci. St. Approp.],InputResearch[Institution Name],ListTAMUS[[#This Row],[Institution Name]])+SUMIFS(InputResearch[Env Sci. St. C&amp;G],InputResearch[Institution Name],ListTAMUS[[#This Row],[Institution Name]])+SUMIFS(InputResearch[Env Sci. Inst Res],InputResearch[Institution Name],ListTAMUS[[#This Row],[Institution Name]])+SUMIFS(InputResearch[Env Sci. PFP],InputResearch[Institution Name],ListTAMUS[[#This Row],[Institution Name]])+SUMIFS(InputResearch[Env Sci. PNP],InputResearch[Institution Name],ListTAMUS[[#This Row],[Institution Name]])</f>
        <v>8870</v>
      </c>
      <c r="I84" s="47">
        <f>SUMIFS(InputResearch[Math Fed],InputResearch[Institution Name],ListTAMUS[[#This Row],[Institution Name]])+SUMIFS(InputResearch[Math St. Approp.],InputResearch[Institution Name],ListTAMUS[[#This Row],[Institution Name]])+SUMIFS(InputResearch[Math St. C&amp;G],InputResearch[Institution Name],ListTAMUS[[#This Row],[Institution Name]])+SUMIFS(InputResearch[Math Inst Res],InputResearch[Institution Name],ListTAMUS[[#This Row],[Institution Name]])+SUMIFS(InputResearch[Math PFP],InputResearch[Institution Name],ListTAMUS[[#This Row],[Institution Name]])+SUMIFS(InputResearch[Math PNP],InputResearch[Institution Name],ListTAMUS[[#This Row],[Institution Name]])</f>
        <v>0</v>
      </c>
      <c r="J84" s="47">
        <f>SUMIFS(InputResearch[Medical Fed],InputResearch[Institution Name],ListTAMUS[[#This Row],[Institution Name]])+SUMIFS(InputResearch[Medical St. Approp.],InputResearch[Institution Name],ListTAMUS[[#This Row],[Institution Name]])+SUMIFS(InputResearch[Medical St. C&amp;G],InputResearch[Institution Name],ListTAMUS[[#This Row],[Institution Name]])+SUMIFS(InputResearch[Medical Inst Res],InputResearch[Institution Name],ListTAMUS[[#This Row],[Institution Name]])+SUMIFS(InputResearch[Medical PFP],InputResearch[Institution Name],ListTAMUS[[#This Row],[Institution Name]])+SUMIFS(InputResearch[Medical PNP],InputResearch[Institution Name],ListTAMUS[[#This Row],[Institution Name]])</f>
        <v>1923</v>
      </c>
      <c r="K84" s="47">
        <f>SUMIFS(InputResearch[Physical Sci. Fed],InputResearch[Institution Name],ListTAMUS[[#This Row],[Institution Name]])+SUMIFS(InputResearch[Physical Sci. St. Approp.],InputResearch[Institution Name],ListTAMUS[[#This Row],[Institution Name]])+SUMIFS(InputResearch[Physical Sci. St. C&amp;G],InputResearch[Institution Name],ListTAMUS[[#This Row],[Institution Name]])+SUMIFS(InputResearch[Physical Sci. Inst Res],InputResearch[Institution Name],ListTAMUS[[#This Row],[Institution Name]])+SUMIFS(InputResearch[Physical Sci. PFP],InputResearch[Institution Name],ListTAMUS[[#This Row],[Institution Name]])+SUMIFS(InputResearch[Physical Sci. PNP],InputResearch[Institution Name],ListTAMUS[[#This Row],[Institution Name]])</f>
        <v>0</v>
      </c>
      <c r="L84" s="47">
        <f>SUMIFS(InputResearch[Psychology Fed],InputResearch[Institution Name],ListTAMUS[[#This Row],[Institution Name]])+SUMIFS(InputResearch[Psychology St. Approp.],InputResearch[Institution Name],ListTAMUS[[#This Row],[Institution Name]])+SUMIFS(InputResearch[Psychology St. C&amp;G],InputResearch[Institution Name],ListTAMUS[[#This Row],[Institution Name]])+SUMIFS(InputResearch[Psychology Inst Res],InputResearch[Institution Name],ListTAMUS[[#This Row],[Institution Name]])+SUMIFS(InputResearch[Psychology PFP],InputResearch[Institution Name],ListTAMUS[[#This Row],[Institution Name]])+SUMIFS(InputResearch[Psychology PNP],InputResearch[Institution Name],ListTAMUS[[#This Row],[Institution Name]])</f>
        <v>0</v>
      </c>
      <c r="M84" s="47">
        <f>SUMIFS(InputResearch[Social Sci. Fed],InputResearch[Institution Name],ListTAMUS[[#This Row],[Institution Name]])+SUMIFS(InputResearch[Social Sci. St. Approp.],InputResearch[Institution Name],ListTAMUS[[#This Row],[Institution Name]])+SUMIFS(InputResearch[Social Sci. St. C&amp;G],InputResearch[Institution Name],ListTAMUS[[#This Row],[Institution Name]])+SUMIFS(InputResearch[Social Sci. Inst Res],InputResearch[Institution Name],ListTAMUS[[#This Row],[Institution Name]])+SUMIFS(InputResearch[Social Sci. PFP],InputResearch[Institution Name],ListTAMUS[[#This Row],[Institution Name]])+SUMIFS(InputResearch[Social Sci. PNP],InputResearch[Institution Name],ListTAMUS[[#This Row],[Institution Name]])</f>
        <v>57322</v>
      </c>
      <c r="N84" s="47">
        <f>SUMIFS(InputResearch[Other Sci. Fed],InputResearch[Institution Name],ListTAMUS[[#This Row],[Institution Name]])+SUMIFS(InputResearch[Other Sci. St. Approp.],InputResearch[Institution Name],ListTAMUS[[#This Row],[Institution Name]])+SUMIFS(InputResearch[Other Sci. St. C&amp;G],InputResearch[Institution Name],ListTAMUS[[#This Row],[Institution Name]])+SUMIFS(InputResearch[Other Sci. Inst Res],InputResearch[Institution Name],ListTAMUS[[#This Row],[Institution Name]])+SUMIFS(InputResearch[Other Sci. PFP],InputResearch[Institution Name],ListTAMUS[[#This Row],[Institution Name]])+SUMIFS(InputResearch[Other Sci. PNP],InputResearch[Institution Name],ListTAMUS[[#This Row],[Institution Name]])</f>
        <v>7041</v>
      </c>
      <c r="O84" s="47">
        <f>SUMIFS(InputResearch[Arts &amp; Humanities Fed],InputResearch[Institution Name],ListTAMUS[[#This Row],[Institution Name]])+SUMIFS(InputResearch[Arts &amp; Humanities St. Approp.],InputResearch[Institution Name],ListTAMUS[[#This Row],[Institution Name]])+SUMIFS(InputResearch[Arts &amp; Humanities St. C&amp;G],InputResearch[Institution Name],ListTAMUS[[#This Row],[Institution Name]])+SUMIFS(InputResearch[Arts &amp; Humanities Inst Res],InputResearch[Institution Name],ListTAMUS[[#This Row],[Institution Name]])+SUMIFS(InputResearch[Arts &amp; Humanities PFP],InputResearch[Institution Name],ListTAMUS[[#This Row],[Institution Name]])+SUMIFS(InputResearch[Arts &amp; Humanities PNP],InputResearch[Institution Name],ListTAMUS[[#This Row],[Institution Name]])</f>
        <v>0</v>
      </c>
      <c r="P84" s="47">
        <f>SUMIFS(InputResearch[Business Fed],InputResearch[Institution Name],ListTAMUS[[#This Row],[Institution Name]])+SUMIFS(InputResearch[Business St. Approp.],InputResearch[Institution Name],ListTAMUS[[#This Row],[Institution Name]])+SUMIFS(InputResearch[Business St. C&amp;G],InputResearch[Institution Name],ListTAMUS[[#This Row],[Institution Name]])+SUMIFS(InputResearch[Business Inst Res],InputResearch[Institution Name],ListTAMUS[[#This Row],[Institution Name]])+SUMIFS(InputResearch[Business PFP],InputResearch[Institution Name],ListTAMUS[[#This Row],[Institution Name]])+SUMIFS(InputResearch[Business PNP],InputResearch[Institution Name],ListTAMUS[[#This Row],[Institution Name]])</f>
        <v>0</v>
      </c>
      <c r="Q84" s="47">
        <f>SUMIFS(InputResearch[Education Fed],InputResearch[Institution Name],ListTAMUS[[#This Row],[Institution Name]])+SUMIFS(InputResearch[Education St. Approp.],InputResearch[Institution Name],ListTAMUS[[#This Row],[Institution Name]])+SUMIFS(InputResearch[Education St. C&amp;G],InputResearch[Institution Name],ListTAMUS[[#This Row],[Institution Name]])+SUMIFS(InputResearch[Education Inst Res],InputResearch[Institution Name],ListTAMUS[[#This Row],[Institution Name]])+SUMIFS(InputResearch[Education PFP],InputResearch[Institution Name],ListTAMUS[[#This Row],[Institution Name]])+SUMIFS(InputResearch[Education PNP],InputResearch[Institution Name],ListTAMUS[[#This Row],[Institution Name]])</f>
        <v>8211</v>
      </c>
      <c r="R84" s="47">
        <f>SUMIFS(InputResearch[Law Fed],InputResearch[Institution Name],ListTAMUS[[#This Row],[Institution Name]])+SUMIFS(InputResearch[Law St. Approp.],InputResearch[Institution Name],ListTAMUS[[#This Row],[Institution Name]])+SUMIFS(InputResearch[Law St. C&amp;G],InputResearch[Institution Name],ListTAMUS[[#This Row],[Institution Name]])+SUMIFS(InputResearch[Law Inst Res],InputResearch[Institution Name],ListTAMUS[[#This Row],[Institution Name]])+SUMIFS(InputResearch[Law PFP],InputResearch[Institution Name],ListTAMUS[[#This Row],[Institution Name]])+SUMIFS(InputResearch[Law PNP],InputResearch[Institution Name],ListTAMUS[[#This Row],[Institution Name]])</f>
        <v>0</v>
      </c>
      <c r="S84" s="47">
        <f>SUMIFS(InputResearch[Other Non-Sci. Fed],InputResearch[Institution Name],ListTAMUS[[#This Row],[Institution Name]])+SUMIFS(InputResearch[Other Non-Sci. St. Approp.],InputResearch[Institution Name],ListTAMUS[[#This Row],[Institution Name]])+SUMIFS(InputResearch[Other Non-Sci. St. C&amp;G],InputResearch[Institution Name],ListTAMUS[[#This Row],[Institution Name]])+SUMIFS(InputResearch[Other Non-Sci. Inst Res],InputResearch[Institution Name],ListTAMUS[[#This Row],[Institution Name]])+SUMIFS(InputResearch[Other Non-Sci. PFP],InputResearch[Institution Name],ListTAMUS[[#This Row],[Institution Name]])+SUMIFS(InputResearch[Other Non-Sci. PNP],InputResearch[Institution Name],ListTAMUS[[#This Row],[Institution Name]])</f>
        <v>6057</v>
      </c>
      <c r="T84" s="94"/>
    </row>
    <row r="85" spans="1:20">
      <c r="A85" s="93" t="s">
        <v>53</v>
      </c>
      <c r="B85" s="228">
        <f>VLOOKUP(ListTAMUS[[#This Row],[Institution Name]],InputResearch[],3,FALSE)</f>
        <v>600</v>
      </c>
      <c r="C85" s="284">
        <v>556</v>
      </c>
      <c r="D85" s="47">
        <f>SUMIFS(InputResearch[Agricultural Sci. Fed],InputResearch[Institution Name],ListTAMUS[[#This Row],[Institution Name]])+SUMIFS(InputResearch[Agricultural Sci. St. Approp.],InputResearch[Institution Name],ListTAMUS[[#This Row],[Institution Name]])+SUMIFS(InputResearch[Agricultural Sci. St. C&amp;G],InputResearch[Institution Name],ListTAMUS[[#This Row],[Institution Name]])+SUMIFS(InputResearch[Agricultural Sci. Inst Res],InputResearch[Institution Name],ListTAMUS[[#This Row],[Institution Name]])+SUMIFS(InputResearch[Agricultural Sci. PFP],InputResearch[Institution Name],ListTAMUS[[#This Row],[Institution Name]])+SUMIFS(InputResearch[Agricultural Sci. PNP],InputResearch[Institution Name],ListTAMUS[[#This Row],[Institution Name]])</f>
        <v>200184490</v>
      </c>
      <c r="E85" s="47">
        <f>SUMIFS(InputResearch[Biological &amp; Other Life Sci. Fed],InputResearch[Institution Name],ListTAMUS[[#This Row],[Institution Name]])+SUMIFS(InputResearch[Biological &amp; Other Life Sci. St. Approp.],InputResearch[Institution Name],ListTAMUS[[#This Row],[Institution Name]])+SUMIFS(InputResearch[Biological &amp; Other Life Sci. St. C&amp;G],InputResearch[Institution Name],ListTAMUS[[#This Row],[Institution Name]])+SUMIFS(InputResearch[Biological &amp; Other Life Sci. Inst Res],InputResearch[Institution Name],ListTAMUS[[#This Row],[Institution Name]])+SUMIFS(InputResearch[Biological &amp; Other Life Sci. PFP],InputResearch[Institution Name],ListTAMUS[[#This Row],[Institution Name]])+SUMIFS(InputResearch[Biological &amp; Other Life Sci. PNP],InputResearch[Institution Name],ListTAMUS[[#This Row],[Institution Name]])</f>
        <v>49263285</v>
      </c>
      <c r="F85" s="47">
        <f>SUMIFS(InputResearch[Comp. Sci. Fed],InputResearch[Institution Name],ListTAMUS[[#This Row],[Institution Name]])+SUMIFS(InputResearch[Comp. Sci. St. Approp.],InputResearch[Institution Name],ListTAMUS[[#This Row],[Institution Name]])+SUMIFS(InputResearch[Comp. Sci. St. C&amp;G],InputResearch[Institution Name],ListTAMUS[[#This Row],[Institution Name]])+SUMIFS(InputResearch[Comp. Sci. Inst Res],InputResearch[Institution Name],ListTAMUS[[#This Row],[Institution Name]])+SUMIFS(InputResearch[Comp. Sci. PFP],InputResearch[Institution Name],ListTAMUS[[#This Row],[Institution Name]])+SUMIFS(InputResearch[Comp. Sci. PNP],InputResearch[Institution Name],ListTAMUS[[#This Row],[Institution Name]])</f>
        <v>152169</v>
      </c>
      <c r="G85" s="47">
        <f>SUMIFS(InputResearch[Engineering Fed],InputResearch[Institution Name],ListTAMUS[[#This Row],[Institution Name]])+SUMIFS(InputResearch[Engineering St. Approp.],InputResearch[Institution Name],ListTAMUS[[#This Row],[Institution Name]])+SUMIFS(InputResearch[Engineering St. C&amp;G],InputResearch[Institution Name],ListTAMUS[[#This Row],[Institution Name]])+SUMIFS(InputResearch[Engineering Inst Res],InputResearch[Institution Name],ListTAMUS[[#This Row],[Institution Name]])+SUMIFS(InputResearch[Engineering PFP],InputResearch[Institution Name],ListTAMUS[[#This Row],[Institution Name]])+SUMIFS(InputResearch[Engineering PNP],InputResearch[Institution Name],ListTAMUS[[#This Row],[Institution Name]])</f>
        <v>3313015</v>
      </c>
      <c r="H85" s="47">
        <f>SUMIFS(InputResearch[Env Sci. Fed],InputResearch[Institution Name],ListTAMUS[[#This Row],[Institution Name]])+SUMIFS(InputResearch[Env Sci. St. Approp.],InputResearch[Institution Name],ListTAMUS[[#This Row],[Institution Name]])+SUMIFS(InputResearch[Env Sci. St. C&amp;G],InputResearch[Institution Name],ListTAMUS[[#This Row],[Institution Name]])+SUMIFS(InputResearch[Env Sci. Inst Res],InputResearch[Institution Name],ListTAMUS[[#This Row],[Institution Name]])+SUMIFS(InputResearch[Env Sci. PFP],InputResearch[Institution Name],ListTAMUS[[#This Row],[Institution Name]])+SUMIFS(InputResearch[Env Sci. PNP],InputResearch[Institution Name],ListTAMUS[[#This Row],[Institution Name]])</f>
        <v>3276438</v>
      </c>
      <c r="I85" s="47">
        <f>SUMIFS(InputResearch[Math Fed],InputResearch[Institution Name],ListTAMUS[[#This Row],[Institution Name]])+SUMIFS(InputResearch[Math St. Approp.],InputResearch[Institution Name],ListTAMUS[[#This Row],[Institution Name]])+SUMIFS(InputResearch[Math St. C&amp;G],InputResearch[Institution Name],ListTAMUS[[#This Row],[Institution Name]])+SUMIFS(InputResearch[Math Inst Res],InputResearch[Institution Name],ListTAMUS[[#This Row],[Institution Name]])+SUMIFS(InputResearch[Math PFP],InputResearch[Institution Name],ListTAMUS[[#This Row],[Institution Name]])+SUMIFS(InputResearch[Math PNP],InputResearch[Institution Name],ListTAMUS[[#This Row],[Institution Name]])</f>
        <v>0</v>
      </c>
      <c r="J85" s="47">
        <f>SUMIFS(InputResearch[Medical Fed],InputResearch[Institution Name],ListTAMUS[[#This Row],[Institution Name]])+SUMIFS(InputResearch[Medical St. Approp.],InputResearch[Institution Name],ListTAMUS[[#This Row],[Institution Name]])+SUMIFS(InputResearch[Medical St. C&amp;G],InputResearch[Institution Name],ListTAMUS[[#This Row],[Institution Name]])+SUMIFS(InputResearch[Medical Inst Res],InputResearch[Institution Name],ListTAMUS[[#This Row],[Institution Name]])+SUMIFS(InputResearch[Medical PFP],InputResearch[Institution Name],ListTAMUS[[#This Row],[Institution Name]])+SUMIFS(InputResearch[Medical PNP],InputResearch[Institution Name],ListTAMUS[[#This Row],[Institution Name]])</f>
        <v>2685915</v>
      </c>
      <c r="K85" s="47">
        <f>SUMIFS(InputResearch[Physical Sci. Fed],InputResearch[Institution Name],ListTAMUS[[#This Row],[Institution Name]])+SUMIFS(InputResearch[Physical Sci. St. Approp.],InputResearch[Institution Name],ListTAMUS[[#This Row],[Institution Name]])+SUMIFS(InputResearch[Physical Sci. St. C&amp;G],InputResearch[Institution Name],ListTAMUS[[#This Row],[Institution Name]])+SUMIFS(InputResearch[Physical Sci. Inst Res],InputResearch[Institution Name],ListTAMUS[[#This Row],[Institution Name]])+SUMIFS(InputResearch[Physical Sci. PFP],InputResearch[Institution Name],ListTAMUS[[#This Row],[Institution Name]])+SUMIFS(InputResearch[Physical Sci. PNP],InputResearch[Institution Name],ListTAMUS[[#This Row],[Institution Name]])</f>
        <v>789585</v>
      </c>
      <c r="L85" s="47">
        <f>SUMIFS(InputResearch[Psychology Fed],InputResearch[Institution Name],ListTAMUS[[#This Row],[Institution Name]])+SUMIFS(InputResearch[Psychology St. Approp.],InputResearch[Institution Name],ListTAMUS[[#This Row],[Institution Name]])+SUMIFS(InputResearch[Psychology St. C&amp;G],InputResearch[Institution Name],ListTAMUS[[#This Row],[Institution Name]])+SUMIFS(InputResearch[Psychology Inst Res],InputResearch[Institution Name],ListTAMUS[[#This Row],[Institution Name]])+SUMIFS(InputResearch[Psychology PFP],InputResearch[Institution Name],ListTAMUS[[#This Row],[Institution Name]])+SUMIFS(InputResearch[Psychology PNP],InputResearch[Institution Name],ListTAMUS[[#This Row],[Institution Name]])</f>
        <v>0</v>
      </c>
      <c r="M85" s="47">
        <f>SUMIFS(InputResearch[Social Sci. Fed],InputResearch[Institution Name],ListTAMUS[[#This Row],[Institution Name]])+SUMIFS(InputResearch[Social Sci. St. Approp.],InputResearch[Institution Name],ListTAMUS[[#This Row],[Institution Name]])+SUMIFS(InputResearch[Social Sci. St. C&amp;G],InputResearch[Institution Name],ListTAMUS[[#This Row],[Institution Name]])+SUMIFS(InputResearch[Social Sci. Inst Res],InputResearch[Institution Name],ListTAMUS[[#This Row],[Institution Name]])+SUMIFS(InputResearch[Social Sci. PFP],InputResearch[Institution Name],ListTAMUS[[#This Row],[Institution Name]])+SUMIFS(InputResearch[Social Sci. PNP],InputResearch[Institution Name],ListTAMUS[[#This Row],[Institution Name]])</f>
        <v>2222399</v>
      </c>
      <c r="N85" s="47">
        <f>SUMIFS(InputResearch[Other Sci. Fed],InputResearch[Institution Name],ListTAMUS[[#This Row],[Institution Name]])+SUMIFS(InputResearch[Other Sci. St. Approp.],InputResearch[Institution Name],ListTAMUS[[#This Row],[Institution Name]])+SUMIFS(InputResearch[Other Sci. St. C&amp;G],InputResearch[Institution Name],ListTAMUS[[#This Row],[Institution Name]])+SUMIFS(InputResearch[Other Sci. Inst Res],InputResearch[Institution Name],ListTAMUS[[#This Row],[Institution Name]])+SUMIFS(InputResearch[Other Sci. PFP],InputResearch[Institution Name],ListTAMUS[[#This Row],[Institution Name]])+SUMIFS(InputResearch[Other Sci. PNP],InputResearch[Institution Name],ListTAMUS[[#This Row],[Institution Name]])</f>
        <v>4251412</v>
      </c>
      <c r="O85" s="47">
        <f>SUMIFS(InputResearch[Arts &amp; Humanities Fed],InputResearch[Institution Name],ListTAMUS[[#This Row],[Institution Name]])+SUMIFS(InputResearch[Arts &amp; Humanities St. Approp.],InputResearch[Institution Name],ListTAMUS[[#This Row],[Institution Name]])+SUMIFS(InputResearch[Arts &amp; Humanities St. C&amp;G],InputResearch[Institution Name],ListTAMUS[[#This Row],[Institution Name]])+SUMIFS(InputResearch[Arts &amp; Humanities Inst Res],InputResearch[Institution Name],ListTAMUS[[#This Row],[Institution Name]])+SUMIFS(InputResearch[Arts &amp; Humanities PFP],InputResearch[Institution Name],ListTAMUS[[#This Row],[Institution Name]])+SUMIFS(InputResearch[Arts &amp; Humanities PNP],InputResearch[Institution Name],ListTAMUS[[#This Row],[Institution Name]])</f>
        <v>0</v>
      </c>
      <c r="P85" s="47">
        <f>SUMIFS(InputResearch[Business Fed],InputResearch[Institution Name],ListTAMUS[[#This Row],[Institution Name]])+SUMIFS(InputResearch[Business St. Approp.],InputResearch[Institution Name],ListTAMUS[[#This Row],[Institution Name]])+SUMIFS(InputResearch[Business St. C&amp;G],InputResearch[Institution Name],ListTAMUS[[#This Row],[Institution Name]])+SUMIFS(InputResearch[Business Inst Res],InputResearch[Institution Name],ListTAMUS[[#This Row],[Institution Name]])+SUMIFS(InputResearch[Business PFP],InputResearch[Institution Name],ListTAMUS[[#This Row],[Institution Name]])+SUMIFS(InputResearch[Business PNP],InputResearch[Institution Name],ListTAMUS[[#This Row],[Institution Name]])</f>
        <v>6969</v>
      </c>
      <c r="Q85" s="47">
        <f>SUMIFS(InputResearch[Education Fed],InputResearch[Institution Name],ListTAMUS[[#This Row],[Institution Name]])+SUMIFS(InputResearch[Education St. Approp.],InputResearch[Institution Name],ListTAMUS[[#This Row],[Institution Name]])+SUMIFS(InputResearch[Education St. C&amp;G],InputResearch[Institution Name],ListTAMUS[[#This Row],[Institution Name]])+SUMIFS(InputResearch[Education Inst Res],InputResearch[Institution Name],ListTAMUS[[#This Row],[Institution Name]])+SUMIFS(InputResearch[Education PFP],InputResearch[Institution Name],ListTAMUS[[#This Row],[Institution Name]])+SUMIFS(InputResearch[Education PNP],InputResearch[Institution Name],ListTAMUS[[#This Row],[Institution Name]])</f>
        <v>3325751</v>
      </c>
      <c r="R85" s="47">
        <f>SUMIFS(InputResearch[Law Fed],InputResearch[Institution Name],ListTAMUS[[#This Row],[Institution Name]])+SUMIFS(InputResearch[Law St. Approp.],InputResearch[Institution Name],ListTAMUS[[#This Row],[Institution Name]])+SUMIFS(InputResearch[Law St. C&amp;G],InputResearch[Institution Name],ListTAMUS[[#This Row],[Institution Name]])+SUMIFS(InputResearch[Law Inst Res],InputResearch[Institution Name],ListTAMUS[[#This Row],[Institution Name]])+SUMIFS(InputResearch[Law PFP],InputResearch[Institution Name],ListTAMUS[[#This Row],[Institution Name]])+SUMIFS(InputResearch[Law PNP],InputResearch[Institution Name],ListTAMUS[[#This Row],[Institution Name]])</f>
        <v>0</v>
      </c>
      <c r="S85" s="47">
        <f>SUMIFS(InputResearch[Other Non-Sci. Fed],InputResearch[Institution Name],ListTAMUS[[#This Row],[Institution Name]])+SUMIFS(InputResearch[Other Non-Sci. St. Approp.],InputResearch[Institution Name],ListTAMUS[[#This Row],[Institution Name]])+SUMIFS(InputResearch[Other Non-Sci. St. C&amp;G],InputResearch[Institution Name],ListTAMUS[[#This Row],[Institution Name]])+SUMIFS(InputResearch[Other Non-Sci. Inst Res],InputResearch[Institution Name],ListTAMUS[[#This Row],[Institution Name]])+SUMIFS(InputResearch[Other Non-Sci. PFP],InputResearch[Institution Name],ListTAMUS[[#This Row],[Institution Name]])+SUMIFS(InputResearch[Other Non-Sci. PNP],InputResearch[Institution Name],ListTAMUS[[#This Row],[Institution Name]])</f>
        <v>486032</v>
      </c>
      <c r="T85" s="94"/>
    </row>
    <row r="86" spans="1:20">
      <c r="A86" s="93" t="s">
        <v>55</v>
      </c>
      <c r="B86" s="228">
        <f>VLOOKUP(ListTAMUS[[#This Row],[Institution Name]],InputResearch[],3,FALSE)</f>
        <v>610</v>
      </c>
      <c r="C86" s="284">
        <v>712</v>
      </c>
      <c r="D86" s="47">
        <f>SUMIFS(InputResearch[Agricultural Sci. Fed],InputResearch[Institution Name],ListTAMUS[[#This Row],[Institution Name]])+SUMIFS(InputResearch[Agricultural Sci. St. Approp.],InputResearch[Institution Name],ListTAMUS[[#This Row],[Institution Name]])+SUMIFS(InputResearch[Agricultural Sci. St. C&amp;G],InputResearch[Institution Name],ListTAMUS[[#This Row],[Institution Name]])+SUMIFS(InputResearch[Agricultural Sci. Inst Res],InputResearch[Institution Name],ListTAMUS[[#This Row],[Institution Name]])+SUMIFS(InputResearch[Agricultural Sci. PFP],InputResearch[Institution Name],ListTAMUS[[#This Row],[Institution Name]])+SUMIFS(InputResearch[Agricultural Sci. PNP],InputResearch[Institution Name],ListTAMUS[[#This Row],[Institution Name]])</f>
        <v>19007</v>
      </c>
      <c r="E86" s="47">
        <f>SUMIFS(InputResearch[Biological &amp; Other Life Sci. Fed],InputResearch[Institution Name],ListTAMUS[[#This Row],[Institution Name]])+SUMIFS(InputResearch[Biological &amp; Other Life Sci. St. Approp.],InputResearch[Institution Name],ListTAMUS[[#This Row],[Institution Name]])+SUMIFS(InputResearch[Biological &amp; Other Life Sci. St. C&amp;G],InputResearch[Institution Name],ListTAMUS[[#This Row],[Institution Name]])+SUMIFS(InputResearch[Biological &amp; Other Life Sci. Inst Res],InputResearch[Institution Name],ListTAMUS[[#This Row],[Institution Name]])+SUMIFS(InputResearch[Biological &amp; Other Life Sci. PFP],InputResearch[Institution Name],ListTAMUS[[#This Row],[Institution Name]])+SUMIFS(InputResearch[Biological &amp; Other Life Sci. PNP],InputResearch[Institution Name],ListTAMUS[[#This Row],[Institution Name]])</f>
        <v>29350093</v>
      </c>
      <c r="F86" s="47">
        <f>SUMIFS(InputResearch[Comp. Sci. Fed],InputResearch[Institution Name],ListTAMUS[[#This Row],[Institution Name]])+SUMIFS(InputResearch[Comp. Sci. St. Approp.],InputResearch[Institution Name],ListTAMUS[[#This Row],[Institution Name]])+SUMIFS(InputResearch[Comp. Sci. St. C&amp;G],InputResearch[Institution Name],ListTAMUS[[#This Row],[Institution Name]])+SUMIFS(InputResearch[Comp. Sci. Inst Res],InputResearch[Institution Name],ListTAMUS[[#This Row],[Institution Name]])+SUMIFS(InputResearch[Comp. Sci. PFP],InputResearch[Institution Name],ListTAMUS[[#This Row],[Institution Name]])+SUMIFS(InputResearch[Comp. Sci. PNP],InputResearch[Institution Name],ListTAMUS[[#This Row],[Institution Name]])</f>
        <v>10744184</v>
      </c>
      <c r="G86" s="47">
        <f>SUMIFS(InputResearch[Engineering Fed],InputResearch[Institution Name],ListTAMUS[[#This Row],[Institution Name]])+SUMIFS(InputResearch[Engineering St. Approp.],InputResearch[Institution Name],ListTAMUS[[#This Row],[Institution Name]])+SUMIFS(InputResearch[Engineering St. C&amp;G],InputResearch[Institution Name],ListTAMUS[[#This Row],[Institution Name]])+SUMIFS(InputResearch[Engineering Inst Res],InputResearch[Institution Name],ListTAMUS[[#This Row],[Institution Name]])+SUMIFS(InputResearch[Engineering PFP],InputResearch[Institution Name],ListTAMUS[[#This Row],[Institution Name]])+SUMIFS(InputResearch[Engineering PNP],InputResearch[Institution Name],ListTAMUS[[#This Row],[Institution Name]])</f>
        <v>228946574</v>
      </c>
      <c r="H86" s="47">
        <f>SUMIFS(InputResearch[Env Sci. Fed],InputResearch[Institution Name],ListTAMUS[[#This Row],[Institution Name]])+SUMIFS(InputResearch[Env Sci. St. Approp.],InputResearch[Institution Name],ListTAMUS[[#This Row],[Institution Name]])+SUMIFS(InputResearch[Env Sci. St. C&amp;G],InputResearch[Institution Name],ListTAMUS[[#This Row],[Institution Name]])+SUMIFS(InputResearch[Env Sci. Inst Res],InputResearch[Institution Name],ListTAMUS[[#This Row],[Institution Name]])+SUMIFS(InputResearch[Env Sci. PFP],InputResearch[Institution Name],ListTAMUS[[#This Row],[Institution Name]])+SUMIFS(InputResearch[Env Sci. PNP],InputResearch[Institution Name],ListTAMUS[[#This Row],[Institution Name]])</f>
        <v>1183385</v>
      </c>
      <c r="I86" s="47">
        <f>SUMIFS(InputResearch[Math Fed],InputResearch[Institution Name],ListTAMUS[[#This Row],[Institution Name]])+SUMIFS(InputResearch[Math St. Approp.],InputResearch[Institution Name],ListTAMUS[[#This Row],[Institution Name]])+SUMIFS(InputResearch[Math St. C&amp;G],InputResearch[Institution Name],ListTAMUS[[#This Row],[Institution Name]])+SUMIFS(InputResearch[Math Inst Res],InputResearch[Institution Name],ListTAMUS[[#This Row],[Institution Name]])+SUMIFS(InputResearch[Math PFP],InputResearch[Institution Name],ListTAMUS[[#This Row],[Institution Name]])+SUMIFS(InputResearch[Math PNP],InputResearch[Institution Name],ListTAMUS[[#This Row],[Institution Name]])</f>
        <v>182978</v>
      </c>
      <c r="J86" s="47">
        <f>SUMIFS(InputResearch[Medical Fed],InputResearch[Institution Name],ListTAMUS[[#This Row],[Institution Name]])+SUMIFS(InputResearch[Medical St. Approp.],InputResearch[Institution Name],ListTAMUS[[#This Row],[Institution Name]])+SUMIFS(InputResearch[Medical St. C&amp;G],InputResearch[Institution Name],ListTAMUS[[#This Row],[Institution Name]])+SUMIFS(InputResearch[Medical Inst Res],InputResearch[Institution Name],ListTAMUS[[#This Row],[Institution Name]])+SUMIFS(InputResearch[Medical PFP],InputResearch[Institution Name],ListTAMUS[[#This Row],[Institution Name]])+SUMIFS(InputResearch[Medical PNP],InputResearch[Institution Name],ListTAMUS[[#This Row],[Institution Name]])</f>
        <v>1173</v>
      </c>
      <c r="K86" s="47">
        <f>SUMIFS(InputResearch[Physical Sci. Fed],InputResearch[Institution Name],ListTAMUS[[#This Row],[Institution Name]])+SUMIFS(InputResearch[Physical Sci. St. Approp.],InputResearch[Institution Name],ListTAMUS[[#This Row],[Institution Name]])+SUMIFS(InputResearch[Physical Sci. St. C&amp;G],InputResearch[Institution Name],ListTAMUS[[#This Row],[Institution Name]])+SUMIFS(InputResearch[Physical Sci. Inst Res],InputResearch[Institution Name],ListTAMUS[[#This Row],[Institution Name]])+SUMIFS(InputResearch[Physical Sci. PFP],InputResearch[Institution Name],ListTAMUS[[#This Row],[Institution Name]])+SUMIFS(InputResearch[Physical Sci. PNP],InputResearch[Institution Name],ListTAMUS[[#This Row],[Institution Name]])</f>
        <v>8009793</v>
      </c>
      <c r="L86" s="47">
        <f>SUMIFS(InputResearch[Psychology Fed],InputResearch[Institution Name],ListTAMUS[[#This Row],[Institution Name]])+SUMIFS(InputResearch[Psychology St. Approp.],InputResearch[Institution Name],ListTAMUS[[#This Row],[Institution Name]])+SUMIFS(InputResearch[Psychology St. C&amp;G],InputResearch[Institution Name],ListTAMUS[[#This Row],[Institution Name]])+SUMIFS(InputResearch[Psychology Inst Res],InputResearch[Institution Name],ListTAMUS[[#This Row],[Institution Name]])+SUMIFS(InputResearch[Psychology PFP],InputResearch[Institution Name],ListTAMUS[[#This Row],[Institution Name]])+SUMIFS(InputResearch[Psychology PNP],InputResearch[Institution Name],ListTAMUS[[#This Row],[Institution Name]])</f>
        <v>6396</v>
      </c>
      <c r="M86" s="47">
        <f>SUMIFS(InputResearch[Social Sci. Fed],InputResearch[Institution Name],ListTAMUS[[#This Row],[Institution Name]])+SUMIFS(InputResearch[Social Sci. St. Approp.],InputResearch[Institution Name],ListTAMUS[[#This Row],[Institution Name]])+SUMIFS(InputResearch[Social Sci. St. C&amp;G],InputResearch[Institution Name],ListTAMUS[[#This Row],[Institution Name]])+SUMIFS(InputResearch[Social Sci. Inst Res],InputResearch[Institution Name],ListTAMUS[[#This Row],[Institution Name]])+SUMIFS(InputResearch[Social Sci. PFP],InputResearch[Institution Name],ListTAMUS[[#This Row],[Institution Name]])+SUMIFS(InputResearch[Social Sci. PNP],InputResearch[Institution Name],ListTAMUS[[#This Row],[Institution Name]])</f>
        <v>334588</v>
      </c>
      <c r="N86" s="47">
        <f>SUMIFS(InputResearch[Other Sci. Fed],InputResearch[Institution Name],ListTAMUS[[#This Row],[Institution Name]])+SUMIFS(InputResearch[Other Sci. St. Approp.],InputResearch[Institution Name],ListTAMUS[[#This Row],[Institution Name]])+SUMIFS(InputResearch[Other Sci. St. C&amp;G],InputResearch[Institution Name],ListTAMUS[[#This Row],[Institution Name]])+SUMIFS(InputResearch[Other Sci. Inst Res],InputResearch[Institution Name],ListTAMUS[[#This Row],[Institution Name]])+SUMIFS(InputResearch[Other Sci. PFP],InputResearch[Institution Name],ListTAMUS[[#This Row],[Institution Name]])+SUMIFS(InputResearch[Other Sci. PNP],InputResearch[Institution Name],ListTAMUS[[#This Row],[Institution Name]])</f>
        <v>480201</v>
      </c>
      <c r="O86" s="47">
        <f>SUMIFS(InputResearch[Arts &amp; Humanities Fed],InputResearch[Institution Name],ListTAMUS[[#This Row],[Institution Name]])+SUMIFS(InputResearch[Arts &amp; Humanities St. Approp.],InputResearch[Institution Name],ListTAMUS[[#This Row],[Institution Name]])+SUMIFS(InputResearch[Arts &amp; Humanities St. C&amp;G],InputResearch[Institution Name],ListTAMUS[[#This Row],[Institution Name]])+SUMIFS(InputResearch[Arts &amp; Humanities Inst Res],InputResearch[Institution Name],ListTAMUS[[#This Row],[Institution Name]])+SUMIFS(InputResearch[Arts &amp; Humanities PFP],InputResearch[Institution Name],ListTAMUS[[#This Row],[Institution Name]])+SUMIFS(InputResearch[Arts &amp; Humanities PNP],InputResearch[Institution Name],ListTAMUS[[#This Row],[Institution Name]])</f>
        <v>0</v>
      </c>
      <c r="P86" s="47">
        <f>SUMIFS(InputResearch[Business Fed],InputResearch[Institution Name],ListTAMUS[[#This Row],[Institution Name]])+SUMIFS(InputResearch[Business St. Approp.],InputResearch[Institution Name],ListTAMUS[[#This Row],[Institution Name]])+SUMIFS(InputResearch[Business St. C&amp;G],InputResearch[Institution Name],ListTAMUS[[#This Row],[Institution Name]])+SUMIFS(InputResearch[Business Inst Res],InputResearch[Institution Name],ListTAMUS[[#This Row],[Institution Name]])+SUMIFS(InputResearch[Business PFP],InputResearch[Institution Name],ListTAMUS[[#This Row],[Institution Name]])+SUMIFS(InputResearch[Business PNP],InputResearch[Institution Name],ListTAMUS[[#This Row],[Institution Name]])</f>
        <v>219092</v>
      </c>
      <c r="Q86" s="47">
        <f>SUMIFS(InputResearch[Education Fed],InputResearch[Institution Name],ListTAMUS[[#This Row],[Institution Name]])+SUMIFS(InputResearch[Education St. Approp.],InputResearch[Institution Name],ListTAMUS[[#This Row],[Institution Name]])+SUMIFS(InputResearch[Education St. C&amp;G],InputResearch[Institution Name],ListTAMUS[[#This Row],[Institution Name]])+SUMIFS(InputResearch[Education Inst Res],InputResearch[Institution Name],ListTAMUS[[#This Row],[Institution Name]])+SUMIFS(InputResearch[Education PFP],InputResearch[Institution Name],ListTAMUS[[#This Row],[Institution Name]])+SUMIFS(InputResearch[Education PNP],InputResearch[Institution Name],ListTAMUS[[#This Row],[Institution Name]])</f>
        <v>571507</v>
      </c>
      <c r="R86" s="47">
        <f>SUMIFS(InputResearch[Law Fed],InputResearch[Institution Name],ListTAMUS[[#This Row],[Institution Name]])+SUMIFS(InputResearch[Law St. Approp.],InputResearch[Institution Name],ListTAMUS[[#This Row],[Institution Name]])+SUMIFS(InputResearch[Law St. C&amp;G],InputResearch[Institution Name],ListTAMUS[[#This Row],[Institution Name]])+SUMIFS(InputResearch[Law Inst Res],InputResearch[Institution Name],ListTAMUS[[#This Row],[Institution Name]])+SUMIFS(InputResearch[Law PFP],InputResearch[Institution Name],ListTAMUS[[#This Row],[Institution Name]])+SUMIFS(InputResearch[Law PNP],InputResearch[Institution Name],ListTAMUS[[#This Row],[Institution Name]])</f>
        <v>0</v>
      </c>
      <c r="S86" s="47">
        <f>SUMIFS(InputResearch[Other Non-Sci. Fed],InputResearch[Institution Name],ListTAMUS[[#This Row],[Institution Name]])+SUMIFS(InputResearch[Other Non-Sci. St. Approp.],InputResearch[Institution Name],ListTAMUS[[#This Row],[Institution Name]])+SUMIFS(InputResearch[Other Non-Sci. St. C&amp;G],InputResearch[Institution Name],ListTAMUS[[#This Row],[Institution Name]])+SUMIFS(InputResearch[Other Non-Sci. Inst Res],InputResearch[Institution Name],ListTAMUS[[#This Row],[Institution Name]])+SUMIFS(InputResearch[Other Non-Sci. PFP],InputResearch[Institution Name],ListTAMUS[[#This Row],[Institution Name]])+SUMIFS(InputResearch[Other Non-Sci. PNP],InputResearch[Institution Name],ListTAMUS[[#This Row],[Institution Name]])</f>
        <v>0</v>
      </c>
      <c r="T86" s="94"/>
    </row>
    <row r="87" spans="1:20">
      <c r="A87" s="93" t="s">
        <v>56</v>
      </c>
      <c r="B87" s="228">
        <f>VLOOKUP(ListTAMUS[[#This Row],[Institution Name]],InputResearch[],3,FALSE)</f>
        <v>615</v>
      </c>
      <c r="C87" s="284">
        <v>716</v>
      </c>
      <c r="D87" s="47">
        <f>SUMIFS(InputResearch[Agricultural Sci. Fed],InputResearch[Institution Name],ListTAMUS[[#This Row],[Institution Name]])+SUMIFS(InputResearch[Agricultural Sci. St. Approp.],InputResearch[Institution Name],ListTAMUS[[#This Row],[Institution Name]])+SUMIFS(InputResearch[Agricultural Sci. St. C&amp;G],InputResearch[Institution Name],ListTAMUS[[#This Row],[Institution Name]])+SUMIFS(InputResearch[Agricultural Sci. Inst Res],InputResearch[Institution Name],ListTAMUS[[#This Row],[Institution Name]])+SUMIFS(InputResearch[Agricultural Sci. PFP],InputResearch[Institution Name],ListTAMUS[[#This Row],[Institution Name]])+SUMIFS(InputResearch[Agricultural Sci. PNP],InputResearch[Institution Name],ListTAMUS[[#This Row],[Institution Name]])</f>
        <v>0</v>
      </c>
      <c r="E87" s="47">
        <f>SUMIFS(InputResearch[Biological &amp; Other Life Sci. Fed],InputResearch[Institution Name],ListTAMUS[[#This Row],[Institution Name]])+SUMIFS(InputResearch[Biological &amp; Other Life Sci. St. Approp.],InputResearch[Institution Name],ListTAMUS[[#This Row],[Institution Name]])+SUMIFS(InputResearch[Biological &amp; Other Life Sci. St. C&amp;G],InputResearch[Institution Name],ListTAMUS[[#This Row],[Institution Name]])+SUMIFS(InputResearch[Biological &amp; Other Life Sci. Inst Res],InputResearch[Institution Name],ListTAMUS[[#This Row],[Institution Name]])+SUMIFS(InputResearch[Biological &amp; Other Life Sci. PFP],InputResearch[Institution Name],ListTAMUS[[#This Row],[Institution Name]])+SUMIFS(InputResearch[Biological &amp; Other Life Sci. PNP],InputResearch[Institution Name],ListTAMUS[[#This Row],[Institution Name]])</f>
        <v>0</v>
      </c>
      <c r="F87" s="47">
        <f>SUMIFS(InputResearch[Comp. Sci. Fed],InputResearch[Institution Name],ListTAMUS[[#This Row],[Institution Name]])+SUMIFS(InputResearch[Comp. Sci. St. Approp.],InputResearch[Institution Name],ListTAMUS[[#This Row],[Institution Name]])+SUMIFS(InputResearch[Comp. Sci. St. C&amp;G],InputResearch[Institution Name],ListTAMUS[[#This Row],[Institution Name]])+SUMIFS(InputResearch[Comp. Sci. Inst Res],InputResearch[Institution Name],ListTAMUS[[#This Row],[Institution Name]])+SUMIFS(InputResearch[Comp. Sci. PFP],InputResearch[Institution Name],ListTAMUS[[#This Row],[Institution Name]])+SUMIFS(InputResearch[Comp. Sci. PNP],InputResearch[Institution Name],ListTAMUS[[#This Row],[Institution Name]])</f>
        <v>0</v>
      </c>
      <c r="G87" s="47">
        <f>SUMIFS(InputResearch[Engineering Fed],InputResearch[Institution Name],ListTAMUS[[#This Row],[Institution Name]])+SUMIFS(InputResearch[Engineering St. Approp.],InputResearch[Institution Name],ListTAMUS[[#This Row],[Institution Name]])+SUMIFS(InputResearch[Engineering St. C&amp;G],InputResearch[Institution Name],ListTAMUS[[#This Row],[Institution Name]])+SUMIFS(InputResearch[Engineering Inst Res],InputResearch[Institution Name],ListTAMUS[[#This Row],[Institution Name]])+SUMIFS(InputResearch[Engineering PFP],InputResearch[Institution Name],ListTAMUS[[#This Row],[Institution Name]])+SUMIFS(InputResearch[Engineering PNP],InputResearch[Institution Name],ListTAMUS[[#This Row],[Institution Name]])</f>
        <v>0</v>
      </c>
      <c r="H87" s="47">
        <f>SUMIFS(InputResearch[Env Sci. Fed],InputResearch[Institution Name],ListTAMUS[[#This Row],[Institution Name]])+SUMIFS(InputResearch[Env Sci. St. Approp.],InputResearch[Institution Name],ListTAMUS[[#This Row],[Institution Name]])+SUMIFS(InputResearch[Env Sci. St. C&amp;G],InputResearch[Institution Name],ListTAMUS[[#This Row],[Institution Name]])+SUMIFS(InputResearch[Env Sci. Inst Res],InputResearch[Institution Name],ListTAMUS[[#This Row],[Institution Name]])+SUMIFS(InputResearch[Env Sci. PFP],InputResearch[Institution Name],ListTAMUS[[#This Row],[Institution Name]])+SUMIFS(InputResearch[Env Sci. PNP],InputResearch[Institution Name],ListTAMUS[[#This Row],[Institution Name]])</f>
        <v>0</v>
      </c>
      <c r="I87" s="47">
        <f>SUMIFS(InputResearch[Math Fed],InputResearch[Institution Name],ListTAMUS[[#This Row],[Institution Name]])+SUMIFS(InputResearch[Math St. Approp.],InputResearch[Institution Name],ListTAMUS[[#This Row],[Institution Name]])+SUMIFS(InputResearch[Math St. C&amp;G],InputResearch[Institution Name],ListTAMUS[[#This Row],[Institution Name]])+SUMIFS(InputResearch[Math Inst Res],InputResearch[Institution Name],ListTAMUS[[#This Row],[Institution Name]])+SUMIFS(InputResearch[Math PFP],InputResearch[Institution Name],ListTAMUS[[#This Row],[Institution Name]])+SUMIFS(InputResearch[Math PNP],InputResearch[Institution Name],ListTAMUS[[#This Row],[Institution Name]])</f>
        <v>0</v>
      </c>
      <c r="J87" s="47">
        <f>SUMIFS(InputResearch[Medical Fed],InputResearch[Institution Name],ListTAMUS[[#This Row],[Institution Name]])+SUMIFS(InputResearch[Medical St. Approp.],InputResearch[Institution Name],ListTAMUS[[#This Row],[Institution Name]])+SUMIFS(InputResearch[Medical St. C&amp;G],InputResearch[Institution Name],ListTAMUS[[#This Row],[Institution Name]])+SUMIFS(InputResearch[Medical Inst Res],InputResearch[Institution Name],ListTAMUS[[#This Row],[Institution Name]])+SUMIFS(InputResearch[Medical PFP],InputResearch[Institution Name],ListTAMUS[[#This Row],[Institution Name]])+SUMIFS(InputResearch[Medical PNP],InputResearch[Institution Name],ListTAMUS[[#This Row],[Institution Name]])</f>
        <v>0</v>
      </c>
      <c r="K87" s="47">
        <f>SUMIFS(InputResearch[Physical Sci. Fed],InputResearch[Institution Name],ListTAMUS[[#This Row],[Institution Name]])+SUMIFS(InputResearch[Physical Sci. St. Approp.],InputResearch[Institution Name],ListTAMUS[[#This Row],[Institution Name]])+SUMIFS(InputResearch[Physical Sci. St. C&amp;G],InputResearch[Institution Name],ListTAMUS[[#This Row],[Institution Name]])+SUMIFS(InputResearch[Physical Sci. Inst Res],InputResearch[Institution Name],ListTAMUS[[#This Row],[Institution Name]])+SUMIFS(InputResearch[Physical Sci. PFP],InputResearch[Institution Name],ListTAMUS[[#This Row],[Institution Name]])+SUMIFS(InputResearch[Physical Sci. PNP],InputResearch[Institution Name],ListTAMUS[[#This Row],[Institution Name]])</f>
        <v>0</v>
      </c>
      <c r="L87" s="47">
        <f>SUMIFS(InputResearch[Psychology Fed],InputResearch[Institution Name],ListTAMUS[[#This Row],[Institution Name]])+SUMIFS(InputResearch[Psychology St. Approp.],InputResearch[Institution Name],ListTAMUS[[#This Row],[Institution Name]])+SUMIFS(InputResearch[Psychology St. C&amp;G],InputResearch[Institution Name],ListTAMUS[[#This Row],[Institution Name]])+SUMIFS(InputResearch[Psychology Inst Res],InputResearch[Institution Name],ListTAMUS[[#This Row],[Institution Name]])+SUMIFS(InputResearch[Psychology PFP],InputResearch[Institution Name],ListTAMUS[[#This Row],[Institution Name]])+SUMIFS(InputResearch[Psychology PNP],InputResearch[Institution Name],ListTAMUS[[#This Row],[Institution Name]])</f>
        <v>0</v>
      </c>
      <c r="M87" s="47">
        <f>SUMIFS(InputResearch[Social Sci. Fed],InputResearch[Institution Name],ListTAMUS[[#This Row],[Institution Name]])+SUMIFS(InputResearch[Social Sci. St. Approp.],InputResearch[Institution Name],ListTAMUS[[#This Row],[Institution Name]])+SUMIFS(InputResearch[Social Sci. St. C&amp;G],InputResearch[Institution Name],ListTAMUS[[#This Row],[Institution Name]])+SUMIFS(InputResearch[Social Sci. Inst Res],InputResearch[Institution Name],ListTAMUS[[#This Row],[Institution Name]])+SUMIFS(InputResearch[Social Sci. PFP],InputResearch[Institution Name],ListTAMUS[[#This Row],[Institution Name]])+SUMIFS(InputResearch[Social Sci. PNP],InputResearch[Institution Name],ListTAMUS[[#This Row],[Institution Name]])</f>
        <v>0</v>
      </c>
      <c r="N87" s="47">
        <f>SUMIFS(InputResearch[Other Sci. Fed],InputResearch[Institution Name],ListTAMUS[[#This Row],[Institution Name]])+SUMIFS(InputResearch[Other Sci. St. Approp.],InputResearch[Institution Name],ListTAMUS[[#This Row],[Institution Name]])+SUMIFS(InputResearch[Other Sci. St. C&amp;G],InputResearch[Institution Name],ListTAMUS[[#This Row],[Institution Name]])+SUMIFS(InputResearch[Other Sci. Inst Res],InputResearch[Institution Name],ListTAMUS[[#This Row],[Institution Name]])+SUMIFS(InputResearch[Other Sci. PFP],InputResearch[Institution Name],ListTAMUS[[#This Row],[Institution Name]])+SUMIFS(InputResearch[Other Sci. PNP],InputResearch[Institution Name],ListTAMUS[[#This Row],[Institution Name]])</f>
        <v>0</v>
      </c>
      <c r="O87" s="47">
        <f>SUMIFS(InputResearch[Arts &amp; Humanities Fed],InputResearch[Institution Name],ListTAMUS[[#This Row],[Institution Name]])+SUMIFS(InputResearch[Arts &amp; Humanities St. Approp.],InputResearch[Institution Name],ListTAMUS[[#This Row],[Institution Name]])+SUMIFS(InputResearch[Arts &amp; Humanities St. C&amp;G],InputResearch[Institution Name],ListTAMUS[[#This Row],[Institution Name]])+SUMIFS(InputResearch[Arts &amp; Humanities Inst Res],InputResearch[Institution Name],ListTAMUS[[#This Row],[Institution Name]])+SUMIFS(InputResearch[Arts &amp; Humanities PFP],InputResearch[Institution Name],ListTAMUS[[#This Row],[Institution Name]])+SUMIFS(InputResearch[Arts &amp; Humanities PNP],InputResearch[Institution Name],ListTAMUS[[#This Row],[Institution Name]])</f>
        <v>0</v>
      </c>
      <c r="P87" s="47">
        <f>SUMIFS(InputResearch[Business Fed],InputResearch[Institution Name],ListTAMUS[[#This Row],[Institution Name]])+SUMIFS(InputResearch[Business St. Approp.],InputResearch[Institution Name],ListTAMUS[[#This Row],[Institution Name]])+SUMIFS(InputResearch[Business St. C&amp;G],InputResearch[Institution Name],ListTAMUS[[#This Row],[Institution Name]])+SUMIFS(InputResearch[Business Inst Res],InputResearch[Institution Name],ListTAMUS[[#This Row],[Institution Name]])+SUMIFS(InputResearch[Business PFP],InputResearch[Institution Name],ListTAMUS[[#This Row],[Institution Name]])+SUMIFS(InputResearch[Business PNP],InputResearch[Institution Name],ListTAMUS[[#This Row],[Institution Name]])</f>
        <v>0</v>
      </c>
      <c r="Q87" s="47">
        <f>SUMIFS(InputResearch[Education Fed],InputResearch[Institution Name],ListTAMUS[[#This Row],[Institution Name]])+SUMIFS(InputResearch[Education St. Approp.],InputResearch[Institution Name],ListTAMUS[[#This Row],[Institution Name]])+SUMIFS(InputResearch[Education St. C&amp;G],InputResearch[Institution Name],ListTAMUS[[#This Row],[Institution Name]])+SUMIFS(InputResearch[Education Inst Res],InputResearch[Institution Name],ListTAMUS[[#This Row],[Institution Name]])+SUMIFS(InputResearch[Education PFP],InputResearch[Institution Name],ListTAMUS[[#This Row],[Institution Name]])+SUMIFS(InputResearch[Education PNP],InputResearch[Institution Name],ListTAMUS[[#This Row],[Institution Name]])</f>
        <v>0</v>
      </c>
      <c r="R87" s="47">
        <f>SUMIFS(InputResearch[Law Fed],InputResearch[Institution Name],ListTAMUS[[#This Row],[Institution Name]])+SUMIFS(InputResearch[Law St. Approp.],InputResearch[Institution Name],ListTAMUS[[#This Row],[Institution Name]])+SUMIFS(InputResearch[Law St. C&amp;G],InputResearch[Institution Name],ListTAMUS[[#This Row],[Institution Name]])+SUMIFS(InputResearch[Law Inst Res],InputResearch[Institution Name],ListTAMUS[[#This Row],[Institution Name]])+SUMIFS(InputResearch[Law PFP],InputResearch[Institution Name],ListTAMUS[[#This Row],[Institution Name]])+SUMIFS(InputResearch[Law PNP],InputResearch[Institution Name],ListTAMUS[[#This Row],[Institution Name]])</f>
        <v>0</v>
      </c>
      <c r="S87" s="47">
        <f>SUMIFS(InputResearch[Other Non-Sci. Fed],InputResearch[Institution Name],ListTAMUS[[#This Row],[Institution Name]])+SUMIFS(InputResearch[Other Non-Sci. St. Approp.],InputResearch[Institution Name],ListTAMUS[[#This Row],[Institution Name]])+SUMIFS(InputResearch[Other Non-Sci. St. C&amp;G],InputResearch[Institution Name],ListTAMUS[[#This Row],[Institution Name]])+SUMIFS(InputResearch[Other Non-Sci. Inst Res],InputResearch[Institution Name],ListTAMUS[[#This Row],[Institution Name]])+SUMIFS(InputResearch[Other Non-Sci. PFP],InputResearch[Institution Name],ListTAMUS[[#This Row],[Institution Name]])+SUMIFS(InputResearch[Other Non-Sci. PNP],InputResearch[Institution Name],ListTAMUS[[#This Row],[Institution Name]])</f>
        <v>0</v>
      </c>
      <c r="T87" s="94"/>
    </row>
    <row r="88" spans="1:20">
      <c r="A88" s="93" t="s">
        <v>57</v>
      </c>
      <c r="B88" s="228">
        <f>VLOOKUP(ListTAMUS[[#This Row],[Institution Name]],InputResearch[],3,FALSE)</f>
        <v>620</v>
      </c>
      <c r="C88" s="284">
        <v>576</v>
      </c>
      <c r="D88" s="47">
        <f>SUMIFS(InputResearch[Agricultural Sci. Fed],InputResearch[Institution Name],ListTAMUS[[#This Row],[Institution Name]])+SUMIFS(InputResearch[Agricultural Sci. St. Approp.],InputResearch[Institution Name],ListTAMUS[[#This Row],[Institution Name]])+SUMIFS(InputResearch[Agricultural Sci. St. C&amp;G],InputResearch[Institution Name],ListTAMUS[[#This Row],[Institution Name]])+SUMIFS(InputResearch[Agricultural Sci. Inst Res],InputResearch[Institution Name],ListTAMUS[[#This Row],[Institution Name]])+SUMIFS(InputResearch[Agricultural Sci. PFP],InputResearch[Institution Name],ListTAMUS[[#This Row],[Institution Name]])+SUMIFS(InputResearch[Agricultural Sci. PNP],InputResearch[Institution Name],ListTAMUS[[#This Row],[Institution Name]])</f>
        <v>2740137</v>
      </c>
      <c r="E88" s="47">
        <f>SUMIFS(InputResearch[Biological &amp; Other Life Sci. Fed],InputResearch[Institution Name],ListTAMUS[[#This Row],[Institution Name]])+SUMIFS(InputResearch[Biological &amp; Other Life Sci. St. Approp.],InputResearch[Institution Name],ListTAMUS[[#This Row],[Institution Name]])+SUMIFS(InputResearch[Biological &amp; Other Life Sci. St. C&amp;G],InputResearch[Institution Name],ListTAMUS[[#This Row],[Institution Name]])+SUMIFS(InputResearch[Biological &amp; Other Life Sci. Inst Res],InputResearch[Institution Name],ListTAMUS[[#This Row],[Institution Name]])+SUMIFS(InputResearch[Biological &amp; Other Life Sci. PFP],InputResearch[Institution Name],ListTAMUS[[#This Row],[Institution Name]])+SUMIFS(InputResearch[Biological &amp; Other Life Sci. PNP],InputResearch[Institution Name],ListTAMUS[[#This Row],[Institution Name]])</f>
        <v>0</v>
      </c>
      <c r="F88" s="47">
        <f>SUMIFS(InputResearch[Comp. Sci. Fed],InputResearch[Institution Name],ListTAMUS[[#This Row],[Institution Name]])+SUMIFS(InputResearch[Comp. Sci. St. Approp.],InputResearch[Institution Name],ListTAMUS[[#This Row],[Institution Name]])+SUMIFS(InputResearch[Comp. Sci. St. C&amp;G],InputResearch[Institution Name],ListTAMUS[[#This Row],[Institution Name]])+SUMIFS(InputResearch[Comp. Sci. Inst Res],InputResearch[Institution Name],ListTAMUS[[#This Row],[Institution Name]])+SUMIFS(InputResearch[Comp. Sci. PFP],InputResearch[Institution Name],ListTAMUS[[#This Row],[Institution Name]])+SUMIFS(InputResearch[Comp. Sci. PNP],InputResearch[Institution Name],ListTAMUS[[#This Row],[Institution Name]])</f>
        <v>0</v>
      </c>
      <c r="G88" s="47">
        <f>SUMIFS(InputResearch[Engineering Fed],InputResearch[Institution Name],ListTAMUS[[#This Row],[Institution Name]])+SUMIFS(InputResearch[Engineering St. Approp.],InputResearch[Institution Name],ListTAMUS[[#This Row],[Institution Name]])+SUMIFS(InputResearch[Engineering St. C&amp;G],InputResearch[Institution Name],ListTAMUS[[#This Row],[Institution Name]])+SUMIFS(InputResearch[Engineering Inst Res],InputResearch[Institution Name],ListTAMUS[[#This Row],[Institution Name]])+SUMIFS(InputResearch[Engineering PFP],InputResearch[Institution Name],ListTAMUS[[#This Row],[Institution Name]])+SUMIFS(InputResearch[Engineering PNP],InputResearch[Institution Name],ListTAMUS[[#This Row],[Institution Name]])</f>
        <v>0</v>
      </c>
      <c r="H88" s="47">
        <f>SUMIFS(InputResearch[Env Sci. Fed],InputResearch[Institution Name],ListTAMUS[[#This Row],[Institution Name]])+SUMIFS(InputResearch[Env Sci. St. Approp.],InputResearch[Institution Name],ListTAMUS[[#This Row],[Institution Name]])+SUMIFS(InputResearch[Env Sci. St. C&amp;G],InputResearch[Institution Name],ListTAMUS[[#This Row],[Institution Name]])+SUMIFS(InputResearch[Env Sci. Inst Res],InputResearch[Institution Name],ListTAMUS[[#This Row],[Institution Name]])+SUMIFS(InputResearch[Env Sci. PFP],InputResearch[Institution Name],ListTAMUS[[#This Row],[Institution Name]])+SUMIFS(InputResearch[Env Sci. PNP],InputResearch[Institution Name],ListTAMUS[[#This Row],[Institution Name]])</f>
        <v>0</v>
      </c>
      <c r="I88" s="47">
        <f>SUMIFS(InputResearch[Math Fed],InputResearch[Institution Name],ListTAMUS[[#This Row],[Institution Name]])+SUMIFS(InputResearch[Math St. Approp.],InputResearch[Institution Name],ListTAMUS[[#This Row],[Institution Name]])+SUMIFS(InputResearch[Math St. C&amp;G],InputResearch[Institution Name],ListTAMUS[[#This Row],[Institution Name]])+SUMIFS(InputResearch[Math Inst Res],InputResearch[Institution Name],ListTAMUS[[#This Row],[Institution Name]])+SUMIFS(InputResearch[Math PFP],InputResearch[Institution Name],ListTAMUS[[#This Row],[Institution Name]])+SUMIFS(InputResearch[Math PNP],InputResearch[Institution Name],ListTAMUS[[#This Row],[Institution Name]])</f>
        <v>0</v>
      </c>
      <c r="J88" s="47">
        <f>SUMIFS(InputResearch[Medical Fed],InputResearch[Institution Name],ListTAMUS[[#This Row],[Institution Name]])+SUMIFS(InputResearch[Medical St. Approp.],InputResearch[Institution Name],ListTAMUS[[#This Row],[Institution Name]])+SUMIFS(InputResearch[Medical St. C&amp;G],InputResearch[Institution Name],ListTAMUS[[#This Row],[Institution Name]])+SUMIFS(InputResearch[Medical Inst Res],InputResearch[Institution Name],ListTAMUS[[#This Row],[Institution Name]])+SUMIFS(InputResearch[Medical PFP],InputResearch[Institution Name],ListTAMUS[[#This Row],[Institution Name]])+SUMIFS(InputResearch[Medical PNP],InputResearch[Institution Name],ListTAMUS[[#This Row],[Institution Name]])</f>
        <v>0</v>
      </c>
      <c r="K88" s="47">
        <f>SUMIFS(InputResearch[Physical Sci. Fed],InputResearch[Institution Name],ListTAMUS[[#This Row],[Institution Name]])+SUMIFS(InputResearch[Physical Sci. St. Approp.],InputResearch[Institution Name],ListTAMUS[[#This Row],[Institution Name]])+SUMIFS(InputResearch[Physical Sci. St. C&amp;G],InputResearch[Institution Name],ListTAMUS[[#This Row],[Institution Name]])+SUMIFS(InputResearch[Physical Sci. Inst Res],InputResearch[Institution Name],ListTAMUS[[#This Row],[Institution Name]])+SUMIFS(InputResearch[Physical Sci. PFP],InputResearch[Institution Name],ListTAMUS[[#This Row],[Institution Name]])+SUMIFS(InputResearch[Physical Sci. PNP],InputResearch[Institution Name],ListTAMUS[[#This Row],[Institution Name]])</f>
        <v>0</v>
      </c>
      <c r="L88" s="47">
        <f>SUMIFS(InputResearch[Psychology Fed],InputResearch[Institution Name],ListTAMUS[[#This Row],[Institution Name]])+SUMIFS(InputResearch[Psychology St. Approp.],InputResearch[Institution Name],ListTAMUS[[#This Row],[Institution Name]])+SUMIFS(InputResearch[Psychology St. C&amp;G],InputResearch[Institution Name],ListTAMUS[[#This Row],[Institution Name]])+SUMIFS(InputResearch[Psychology Inst Res],InputResearch[Institution Name],ListTAMUS[[#This Row],[Institution Name]])+SUMIFS(InputResearch[Psychology PFP],InputResearch[Institution Name],ListTAMUS[[#This Row],[Institution Name]])+SUMIFS(InputResearch[Psychology PNP],InputResearch[Institution Name],ListTAMUS[[#This Row],[Institution Name]])</f>
        <v>0</v>
      </c>
      <c r="M88" s="47">
        <f>SUMIFS(InputResearch[Social Sci. Fed],InputResearch[Institution Name],ListTAMUS[[#This Row],[Institution Name]])+SUMIFS(InputResearch[Social Sci. St. Approp.],InputResearch[Institution Name],ListTAMUS[[#This Row],[Institution Name]])+SUMIFS(InputResearch[Social Sci. St. C&amp;G],InputResearch[Institution Name],ListTAMUS[[#This Row],[Institution Name]])+SUMIFS(InputResearch[Social Sci. Inst Res],InputResearch[Institution Name],ListTAMUS[[#This Row],[Institution Name]])+SUMIFS(InputResearch[Social Sci. PFP],InputResearch[Institution Name],ListTAMUS[[#This Row],[Institution Name]])+SUMIFS(InputResearch[Social Sci. PNP],InputResearch[Institution Name],ListTAMUS[[#This Row],[Institution Name]])</f>
        <v>0</v>
      </c>
      <c r="N88" s="47">
        <f>SUMIFS(InputResearch[Other Sci. Fed],InputResearch[Institution Name],ListTAMUS[[#This Row],[Institution Name]])+SUMIFS(InputResearch[Other Sci. St. Approp.],InputResearch[Institution Name],ListTAMUS[[#This Row],[Institution Name]])+SUMIFS(InputResearch[Other Sci. St. C&amp;G],InputResearch[Institution Name],ListTAMUS[[#This Row],[Institution Name]])+SUMIFS(InputResearch[Other Sci. Inst Res],InputResearch[Institution Name],ListTAMUS[[#This Row],[Institution Name]])+SUMIFS(InputResearch[Other Sci. PFP],InputResearch[Institution Name],ListTAMUS[[#This Row],[Institution Name]])+SUMIFS(InputResearch[Other Sci. PNP],InputResearch[Institution Name],ListTAMUS[[#This Row],[Institution Name]])</f>
        <v>0</v>
      </c>
      <c r="O88" s="47">
        <f>SUMIFS(InputResearch[Arts &amp; Humanities Fed],InputResearch[Institution Name],ListTAMUS[[#This Row],[Institution Name]])+SUMIFS(InputResearch[Arts &amp; Humanities St. Approp.],InputResearch[Institution Name],ListTAMUS[[#This Row],[Institution Name]])+SUMIFS(InputResearch[Arts &amp; Humanities St. C&amp;G],InputResearch[Institution Name],ListTAMUS[[#This Row],[Institution Name]])+SUMIFS(InputResearch[Arts &amp; Humanities Inst Res],InputResearch[Institution Name],ListTAMUS[[#This Row],[Institution Name]])+SUMIFS(InputResearch[Arts &amp; Humanities PFP],InputResearch[Institution Name],ListTAMUS[[#This Row],[Institution Name]])+SUMIFS(InputResearch[Arts &amp; Humanities PNP],InputResearch[Institution Name],ListTAMUS[[#This Row],[Institution Name]])</f>
        <v>0</v>
      </c>
      <c r="P88" s="47">
        <f>SUMIFS(InputResearch[Business Fed],InputResearch[Institution Name],ListTAMUS[[#This Row],[Institution Name]])+SUMIFS(InputResearch[Business St. Approp.],InputResearch[Institution Name],ListTAMUS[[#This Row],[Institution Name]])+SUMIFS(InputResearch[Business St. C&amp;G],InputResearch[Institution Name],ListTAMUS[[#This Row],[Institution Name]])+SUMIFS(InputResearch[Business Inst Res],InputResearch[Institution Name],ListTAMUS[[#This Row],[Institution Name]])+SUMIFS(InputResearch[Business PFP],InputResearch[Institution Name],ListTAMUS[[#This Row],[Institution Name]])+SUMIFS(InputResearch[Business PNP],InputResearch[Institution Name],ListTAMUS[[#This Row],[Institution Name]])</f>
        <v>0</v>
      </c>
      <c r="Q88" s="47">
        <f>SUMIFS(InputResearch[Education Fed],InputResearch[Institution Name],ListTAMUS[[#This Row],[Institution Name]])+SUMIFS(InputResearch[Education St. Approp.],InputResearch[Institution Name],ListTAMUS[[#This Row],[Institution Name]])+SUMIFS(InputResearch[Education St. C&amp;G],InputResearch[Institution Name],ListTAMUS[[#This Row],[Institution Name]])+SUMIFS(InputResearch[Education Inst Res],InputResearch[Institution Name],ListTAMUS[[#This Row],[Institution Name]])+SUMIFS(InputResearch[Education PFP],InputResearch[Institution Name],ListTAMUS[[#This Row],[Institution Name]])+SUMIFS(InputResearch[Education PNP],InputResearch[Institution Name],ListTAMUS[[#This Row],[Institution Name]])</f>
        <v>0</v>
      </c>
      <c r="R88" s="47">
        <f>SUMIFS(InputResearch[Law Fed],InputResearch[Institution Name],ListTAMUS[[#This Row],[Institution Name]])+SUMIFS(InputResearch[Law St. Approp.],InputResearch[Institution Name],ListTAMUS[[#This Row],[Institution Name]])+SUMIFS(InputResearch[Law St. C&amp;G],InputResearch[Institution Name],ListTAMUS[[#This Row],[Institution Name]])+SUMIFS(InputResearch[Law Inst Res],InputResearch[Institution Name],ListTAMUS[[#This Row],[Institution Name]])+SUMIFS(InputResearch[Law PFP],InputResearch[Institution Name],ListTAMUS[[#This Row],[Institution Name]])+SUMIFS(InputResearch[Law PNP],InputResearch[Institution Name],ListTAMUS[[#This Row],[Institution Name]])</f>
        <v>0</v>
      </c>
      <c r="S88" s="47">
        <f>SUMIFS(InputResearch[Other Non-Sci. Fed],InputResearch[Institution Name],ListTAMUS[[#This Row],[Institution Name]])+SUMIFS(InputResearch[Other Non-Sci. St. Approp.],InputResearch[Institution Name],ListTAMUS[[#This Row],[Institution Name]])+SUMIFS(InputResearch[Other Non-Sci. St. C&amp;G],InputResearch[Institution Name],ListTAMUS[[#This Row],[Institution Name]])+SUMIFS(InputResearch[Other Non-Sci. Inst Res],InputResearch[Institution Name],ListTAMUS[[#This Row],[Institution Name]])+SUMIFS(InputResearch[Other Non-Sci. PFP],InputResearch[Institution Name],ListTAMUS[[#This Row],[Institution Name]])+SUMIFS(InputResearch[Other Non-Sci. PNP],InputResearch[Institution Name],ListTAMUS[[#This Row],[Institution Name]])</f>
        <v>0</v>
      </c>
      <c r="T88" s="94"/>
    </row>
    <row r="89" spans="1:20">
      <c r="A89" s="93" t="s">
        <v>61</v>
      </c>
      <c r="B89" s="228">
        <f>VLOOKUP(ListTAMUS[[#This Row],[Institution Name]],InputResearch[],3,FALSE)</f>
        <v>650</v>
      </c>
      <c r="C89" s="284">
        <v>708</v>
      </c>
      <c r="D89" s="47">
        <f>SUMIFS(InputResearch[Agricultural Sci. Fed],InputResearch[Institution Name],ListTAMUS[[#This Row],[Institution Name]])+SUMIFS(InputResearch[Agricultural Sci. St. Approp.],InputResearch[Institution Name],ListTAMUS[[#This Row],[Institution Name]])+SUMIFS(InputResearch[Agricultural Sci. St. C&amp;G],InputResearch[Institution Name],ListTAMUS[[#This Row],[Institution Name]])+SUMIFS(InputResearch[Agricultural Sci. Inst Res],InputResearch[Institution Name],ListTAMUS[[#This Row],[Institution Name]])+SUMIFS(InputResearch[Agricultural Sci. PFP],InputResearch[Institution Name],ListTAMUS[[#This Row],[Institution Name]])+SUMIFS(InputResearch[Agricultural Sci. PNP],InputResearch[Institution Name],ListTAMUS[[#This Row],[Institution Name]])</f>
        <v>0</v>
      </c>
      <c r="E89" s="47">
        <f>SUMIFS(InputResearch[Biological &amp; Other Life Sci. Fed],InputResearch[Institution Name],ListTAMUS[[#This Row],[Institution Name]])+SUMIFS(InputResearch[Biological &amp; Other Life Sci. St. Approp.],InputResearch[Institution Name],ListTAMUS[[#This Row],[Institution Name]])+SUMIFS(InputResearch[Biological &amp; Other Life Sci. St. C&amp;G],InputResearch[Institution Name],ListTAMUS[[#This Row],[Institution Name]])+SUMIFS(InputResearch[Biological &amp; Other Life Sci. Inst Res],InputResearch[Institution Name],ListTAMUS[[#This Row],[Institution Name]])+SUMIFS(InputResearch[Biological &amp; Other Life Sci. PFP],InputResearch[Institution Name],ListTAMUS[[#This Row],[Institution Name]])+SUMIFS(InputResearch[Biological &amp; Other Life Sci. PNP],InputResearch[Institution Name],ListTAMUS[[#This Row],[Institution Name]])</f>
        <v>64723</v>
      </c>
      <c r="F89" s="47">
        <f>SUMIFS(InputResearch[Comp. Sci. Fed],InputResearch[Institution Name],ListTAMUS[[#This Row],[Institution Name]])+SUMIFS(InputResearch[Comp. Sci. St. Approp.],InputResearch[Institution Name],ListTAMUS[[#This Row],[Institution Name]])+SUMIFS(InputResearch[Comp. Sci. St. C&amp;G],InputResearch[Institution Name],ListTAMUS[[#This Row],[Institution Name]])+SUMIFS(InputResearch[Comp. Sci. Inst Res],InputResearch[Institution Name],ListTAMUS[[#This Row],[Institution Name]])+SUMIFS(InputResearch[Comp. Sci. PFP],InputResearch[Institution Name],ListTAMUS[[#This Row],[Institution Name]])+SUMIFS(InputResearch[Comp. Sci. PNP],InputResearch[Institution Name],ListTAMUS[[#This Row],[Institution Name]])</f>
        <v>274194</v>
      </c>
      <c r="G89" s="47">
        <f>SUMIFS(InputResearch[Engineering Fed],InputResearch[Institution Name],ListTAMUS[[#This Row],[Institution Name]])+SUMIFS(InputResearch[Engineering St. Approp.],InputResearch[Institution Name],ListTAMUS[[#This Row],[Institution Name]])+SUMIFS(InputResearch[Engineering St. C&amp;G],InputResearch[Institution Name],ListTAMUS[[#This Row],[Institution Name]])+SUMIFS(InputResearch[Engineering Inst Res],InputResearch[Institution Name],ListTAMUS[[#This Row],[Institution Name]])+SUMIFS(InputResearch[Engineering PFP],InputResearch[Institution Name],ListTAMUS[[#This Row],[Institution Name]])+SUMIFS(InputResearch[Engineering PNP],InputResearch[Institution Name],ListTAMUS[[#This Row],[Institution Name]])</f>
        <v>3174250</v>
      </c>
      <c r="H89" s="47">
        <f>SUMIFS(InputResearch[Env Sci. Fed],InputResearch[Institution Name],ListTAMUS[[#This Row],[Institution Name]])+SUMIFS(InputResearch[Env Sci. St. Approp.],InputResearch[Institution Name],ListTAMUS[[#This Row],[Institution Name]])+SUMIFS(InputResearch[Env Sci. St. C&amp;G],InputResearch[Institution Name],ListTAMUS[[#This Row],[Institution Name]])+SUMIFS(InputResearch[Env Sci. Inst Res],InputResearch[Institution Name],ListTAMUS[[#This Row],[Institution Name]])+SUMIFS(InputResearch[Env Sci. PFP],InputResearch[Institution Name],ListTAMUS[[#This Row],[Institution Name]])+SUMIFS(InputResearch[Env Sci. PNP],InputResearch[Institution Name],ListTAMUS[[#This Row],[Institution Name]])</f>
        <v>8048</v>
      </c>
      <c r="I89" s="47">
        <f>SUMIFS(InputResearch[Math Fed],InputResearch[Institution Name],ListTAMUS[[#This Row],[Institution Name]])+SUMIFS(InputResearch[Math St. Approp.],InputResearch[Institution Name],ListTAMUS[[#This Row],[Institution Name]])+SUMIFS(InputResearch[Math St. C&amp;G],InputResearch[Institution Name],ListTAMUS[[#This Row],[Institution Name]])+SUMIFS(InputResearch[Math Inst Res],InputResearch[Institution Name],ListTAMUS[[#This Row],[Institution Name]])+SUMIFS(InputResearch[Math PFP],InputResearch[Institution Name],ListTAMUS[[#This Row],[Institution Name]])+SUMIFS(InputResearch[Math PNP],InputResearch[Institution Name],ListTAMUS[[#This Row],[Institution Name]])</f>
        <v>0</v>
      </c>
      <c r="J89" s="47">
        <f>SUMIFS(InputResearch[Medical Fed],InputResearch[Institution Name],ListTAMUS[[#This Row],[Institution Name]])+SUMIFS(InputResearch[Medical St. Approp.],InputResearch[Institution Name],ListTAMUS[[#This Row],[Institution Name]])+SUMIFS(InputResearch[Medical St. C&amp;G],InputResearch[Institution Name],ListTAMUS[[#This Row],[Institution Name]])+SUMIFS(InputResearch[Medical Inst Res],InputResearch[Institution Name],ListTAMUS[[#This Row],[Institution Name]])+SUMIFS(InputResearch[Medical PFP],InputResearch[Institution Name],ListTAMUS[[#This Row],[Institution Name]])+SUMIFS(InputResearch[Medical PNP],InputResearch[Institution Name],ListTAMUS[[#This Row],[Institution Name]])</f>
        <v>0</v>
      </c>
      <c r="K89" s="47">
        <f>SUMIFS(InputResearch[Physical Sci. Fed],InputResearch[Institution Name],ListTAMUS[[#This Row],[Institution Name]])+SUMIFS(InputResearch[Physical Sci. St. Approp.],InputResearch[Institution Name],ListTAMUS[[#This Row],[Institution Name]])+SUMIFS(InputResearch[Physical Sci. St. C&amp;G],InputResearch[Institution Name],ListTAMUS[[#This Row],[Institution Name]])+SUMIFS(InputResearch[Physical Sci. Inst Res],InputResearch[Institution Name],ListTAMUS[[#This Row],[Institution Name]])+SUMIFS(InputResearch[Physical Sci. PFP],InputResearch[Institution Name],ListTAMUS[[#This Row],[Institution Name]])+SUMIFS(InputResearch[Physical Sci. PNP],InputResearch[Institution Name],ListTAMUS[[#This Row],[Institution Name]])</f>
        <v>225595</v>
      </c>
      <c r="L89" s="47">
        <f>SUMIFS(InputResearch[Psychology Fed],InputResearch[Institution Name],ListTAMUS[[#This Row],[Institution Name]])+SUMIFS(InputResearch[Psychology St. Approp.],InputResearch[Institution Name],ListTAMUS[[#This Row],[Institution Name]])+SUMIFS(InputResearch[Psychology St. C&amp;G],InputResearch[Institution Name],ListTAMUS[[#This Row],[Institution Name]])+SUMIFS(InputResearch[Psychology Inst Res],InputResearch[Institution Name],ListTAMUS[[#This Row],[Institution Name]])+SUMIFS(InputResearch[Psychology PFP],InputResearch[Institution Name],ListTAMUS[[#This Row],[Institution Name]])+SUMIFS(InputResearch[Psychology PNP],InputResearch[Institution Name],ListTAMUS[[#This Row],[Institution Name]])</f>
        <v>0</v>
      </c>
      <c r="M89" s="47">
        <f>SUMIFS(InputResearch[Social Sci. Fed],InputResearch[Institution Name],ListTAMUS[[#This Row],[Institution Name]])+SUMIFS(InputResearch[Social Sci. St. Approp.],InputResearch[Institution Name],ListTAMUS[[#This Row],[Institution Name]])+SUMIFS(InputResearch[Social Sci. St. C&amp;G],InputResearch[Institution Name],ListTAMUS[[#This Row],[Institution Name]])+SUMIFS(InputResearch[Social Sci. Inst Res],InputResearch[Institution Name],ListTAMUS[[#This Row],[Institution Name]])+SUMIFS(InputResearch[Social Sci. PFP],InputResearch[Institution Name],ListTAMUS[[#This Row],[Institution Name]])+SUMIFS(InputResearch[Social Sci. PNP],InputResearch[Institution Name],ListTAMUS[[#This Row],[Institution Name]])</f>
        <v>759732</v>
      </c>
      <c r="N89" s="47">
        <f>SUMIFS(InputResearch[Other Sci. Fed],InputResearch[Institution Name],ListTAMUS[[#This Row],[Institution Name]])+SUMIFS(InputResearch[Other Sci. St. Approp.],InputResearch[Institution Name],ListTAMUS[[#This Row],[Institution Name]])+SUMIFS(InputResearch[Other Sci. St. C&amp;G],InputResearch[Institution Name],ListTAMUS[[#This Row],[Institution Name]])+SUMIFS(InputResearch[Other Sci. Inst Res],InputResearch[Institution Name],ListTAMUS[[#This Row],[Institution Name]])+SUMIFS(InputResearch[Other Sci. PFP],InputResearch[Institution Name],ListTAMUS[[#This Row],[Institution Name]])+SUMIFS(InputResearch[Other Sci. PNP],InputResearch[Institution Name],ListTAMUS[[#This Row],[Institution Name]])</f>
        <v>144032</v>
      </c>
      <c r="O89" s="47">
        <f>SUMIFS(InputResearch[Arts &amp; Humanities Fed],InputResearch[Institution Name],ListTAMUS[[#This Row],[Institution Name]])+SUMIFS(InputResearch[Arts &amp; Humanities St. Approp.],InputResearch[Institution Name],ListTAMUS[[#This Row],[Institution Name]])+SUMIFS(InputResearch[Arts &amp; Humanities St. C&amp;G],InputResearch[Institution Name],ListTAMUS[[#This Row],[Institution Name]])+SUMIFS(InputResearch[Arts &amp; Humanities Inst Res],InputResearch[Institution Name],ListTAMUS[[#This Row],[Institution Name]])+SUMIFS(InputResearch[Arts &amp; Humanities PFP],InputResearch[Institution Name],ListTAMUS[[#This Row],[Institution Name]])+SUMIFS(InputResearch[Arts &amp; Humanities PNP],InputResearch[Institution Name],ListTAMUS[[#This Row],[Institution Name]])</f>
        <v>4083</v>
      </c>
      <c r="P89" s="47">
        <f>SUMIFS(InputResearch[Business Fed],InputResearch[Institution Name],ListTAMUS[[#This Row],[Institution Name]])+SUMIFS(InputResearch[Business St. Approp.],InputResearch[Institution Name],ListTAMUS[[#This Row],[Institution Name]])+SUMIFS(InputResearch[Business St. C&amp;G],InputResearch[Institution Name],ListTAMUS[[#This Row],[Institution Name]])+SUMIFS(InputResearch[Business Inst Res],InputResearch[Institution Name],ListTAMUS[[#This Row],[Institution Name]])+SUMIFS(InputResearch[Business PFP],InputResearch[Institution Name],ListTAMUS[[#This Row],[Institution Name]])+SUMIFS(InputResearch[Business PNP],InputResearch[Institution Name],ListTAMUS[[#This Row],[Institution Name]])</f>
        <v>0</v>
      </c>
      <c r="Q89" s="47">
        <f>SUMIFS(InputResearch[Education Fed],InputResearch[Institution Name],ListTAMUS[[#This Row],[Institution Name]])+SUMIFS(InputResearch[Education St. Approp.],InputResearch[Institution Name],ListTAMUS[[#This Row],[Institution Name]])+SUMIFS(InputResearch[Education St. C&amp;G],InputResearch[Institution Name],ListTAMUS[[#This Row],[Institution Name]])+SUMIFS(InputResearch[Education Inst Res],InputResearch[Institution Name],ListTAMUS[[#This Row],[Institution Name]])+SUMIFS(InputResearch[Education PFP],InputResearch[Institution Name],ListTAMUS[[#This Row],[Institution Name]])+SUMIFS(InputResearch[Education PNP],InputResearch[Institution Name],ListTAMUS[[#This Row],[Institution Name]])</f>
        <v>1060186</v>
      </c>
      <c r="R89" s="47">
        <f>SUMIFS(InputResearch[Law Fed],InputResearch[Institution Name],ListTAMUS[[#This Row],[Institution Name]])+SUMIFS(InputResearch[Law St. Approp.],InputResearch[Institution Name],ListTAMUS[[#This Row],[Institution Name]])+SUMIFS(InputResearch[Law St. C&amp;G],InputResearch[Institution Name],ListTAMUS[[#This Row],[Institution Name]])+SUMIFS(InputResearch[Law Inst Res],InputResearch[Institution Name],ListTAMUS[[#This Row],[Institution Name]])+SUMIFS(InputResearch[Law PFP],InputResearch[Institution Name],ListTAMUS[[#This Row],[Institution Name]])+SUMIFS(InputResearch[Law PNP],InputResearch[Institution Name],ListTAMUS[[#This Row],[Institution Name]])</f>
        <v>0</v>
      </c>
      <c r="S89" s="47">
        <f>SUMIFS(InputResearch[Other Non-Sci. Fed],InputResearch[Institution Name],ListTAMUS[[#This Row],[Institution Name]])+SUMIFS(InputResearch[Other Non-Sci. St. Approp.],InputResearch[Institution Name],ListTAMUS[[#This Row],[Institution Name]])+SUMIFS(InputResearch[Other Non-Sci. St. C&amp;G],InputResearch[Institution Name],ListTAMUS[[#This Row],[Institution Name]])+SUMIFS(InputResearch[Other Non-Sci. Inst Res],InputResearch[Institution Name],ListTAMUS[[#This Row],[Institution Name]])+SUMIFS(InputResearch[Other Non-Sci. PFP],InputResearch[Institution Name],ListTAMUS[[#This Row],[Institution Name]])+SUMIFS(InputResearch[Other Non-Sci. PNP],InputResearch[Institution Name],ListTAMUS[[#This Row],[Institution Name]])</f>
        <v>157558</v>
      </c>
      <c r="T89" s="94"/>
    </row>
    <row r="90" spans="1:20">
      <c r="A90" s="93" t="s">
        <v>58</v>
      </c>
      <c r="B90" s="228">
        <f>VLOOKUP(ListTAMUS[[#This Row],[Institution Name]],InputResearch[],3,FALSE)</f>
        <v>625</v>
      </c>
      <c r="C90" s="284">
        <v>727</v>
      </c>
      <c r="D90" s="47">
        <f>SUMIFS(InputResearch[Agricultural Sci. Fed],InputResearch[Institution Name],ListTAMUS[[#This Row],[Institution Name]])+SUMIFS(InputResearch[Agricultural Sci. St. Approp.],InputResearch[Institution Name],ListTAMUS[[#This Row],[Institution Name]])+SUMIFS(InputResearch[Agricultural Sci. St. C&amp;G],InputResearch[Institution Name],ListTAMUS[[#This Row],[Institution Name]])+SUMIFS(InputResearch[Agricultural Sci. Inst Res],InputResearch[Institution Name],ListTAMUS[[#This Row],[Institution Name]])+SUMIFS(InputResearch[Agricultural Sci. PFP],InputResearch[Institution Name],ListTAMUS[[#This Row],[Institution Name]])+SUMIFS(InputResearch[Agricultural Sci. PNP],InputResearch[Institution Name],ListTAMUS[[#This Row],[Institution Name]])</f>
        <v>19369</v>
      </c>
      <c r="E90" s="47">
        <f>SUMIFS(InputResearch[Biological &amp; Other Life Sci. Fed],InputResearch[Institution Name],ListTAMUS[[#This Row],[Institution Name]])+SUMIFS(InputResearch[Biological &amp; Other Life Sci. St. Approp.],InputResearch[Institution Name],ListTAMUS[[#This Row],[Institution Name]])+SUMIFS(InputResearch[Biological &amp; Other Life Sci. St. C&amp;G],InputResearch[Institution Name],ListTAMUS[[#This Row],[Institution Name]])+SUMIFS(InputResearch[Biological &amp; Other Life Sci. Inst Res],InputResearch[Institution Name],ListTAMUS[[#This Row],[Institution Name]])+SUMIFS(InputResearch[Biological &amp; Other Life Sci. PFP],InputResearch[Institution Name],ListTAMUS[[#This Row],[Institution Name]])+SUMIFS(InputResearch[Biological &amp; Other Life Sci. PNP],InputResearch[Institution Name],ListTAMUS[[#This Row],[Institution Name]])</f>
        <v>90316</v>
      </c>
      <c r="F90" s="47">
        <f>SUMIFS(InputResearch[Comp. Sci. Fed],InputResearch[Institution Name],ListTAMUS[[#This Row],[Institution Name]])+SUMIFS(InputResearch[Comp. Sci. St. Approp.],InputResearch[Institution Name],ListTAMUS[[#This Row],[Institution Name]])+SUMIFS(InputResearch[Comp. Sci. St. C&amp;G],InputResearch[Institution Name],ListTAMUS[[#This Row],[Institution Name]])+SUMIFS(InputResearch[Comp. Sci. Inst Res],InputResearch[Institution Name],ListTAMUS[[#This Row],[Institution Name]])+SUMIFS(InputResearch[Comp. Sci. PFP],InputResearch[Institution Name],ListTAMUS[[#This Row],[Institution Name]])+SUMIFS(InputResearch[Comp. Sci. PNP],InputResearch[Institution Name],ListTAMUS[[#This Row],[Institution Name]])</f>
        <v>0</v>
      </c>
      <c r="G90" s="47">
        <f>SUMIFS(InputResearch[Engineering Fed],InputResearch[Institution Name],ListTAMUS[[#This Row],[Institution Name]])+SUMIFS(InputResearch[Engineering St. Approp.],InputResearch[Institution Name],ListTAMUS[[#This Row],[Institution Name]])+SUMIFS(InputResearch[Engineering St. C&amp;G],InputResearch[Institution Name],ListTAMUS[[#This Row],[Institution Name]])+SUMIFS(InputResearch[Engineering Inst Res],InputResearch[Institution Name],ListTAMUS[[#This Row],[Institution Name]])+SUMIFS(InputResearch[Engineering PFP],InputResearch[Institution Name],ListTAMUS[[#This Row],[Institution Name]])+SUMIFS(InputResearch[Engineering PNP],InputResearch[Institution Name],ListTAMUS[[#This Row],[Institution Name]])</f>
        <v>93617390</v>
      </c>
      <c r="H90" s="47">
        <f>SUMIFS(InputResearch[Env Sci. Fed],InputResearch[Institution Name],ListTAMUS[[#This Row],[Institution Name]])+SUMIFS(InputResearch[Env Sci. St. Approp.],InputResearch[Institution Name],ListTAMUS[[#This Row],[Institution Name]])+SUMIFS(InputResearch[Env Sci. St. C&amp;G],InputResearch[Institution Name],ListTAMUS[[#This Row],[Institution Name]])+SUMIFS(InputResearch[Env Sci. Inst Res],InputResearch[Institution Name],ListTAMUS[[#This Row],[Institution Name]])+SUMIFS(InputResearch[Env Sci. PFP],InputResearch[Institution Name],ListTAMUS[[#This Row],[Institution Name]])+SUMIFS(InputResearch[Env Sci. PNP],InputResearch[Institution Name],ListTAMUS[[#This Row],[Institution Name]])</f>
        <v>763000</v>
      </c>
      <c r="I90" s="47">
        <f>SUMIFS(InputResearch[Math Fed],InputResearch[Institution Name],ListTAMUS[[#This Row],[Institution Name]])+SUMIFS(InputResearch[Math St. Approp.],InputResearch[Institution Name],ListTAMUS[[#This Row],[Institution Name]])+SUMIFS(InputResearch[Math St. C&amp;G],InputResearch[Institution Name],ListTAMUS[[#This Row],[Institution Name]])+SUMIFS(InputResearch[Math Inst Res],InputResearch[Institution Name],ListTAMUS[[#This Row],[Institution Name]])+SUMIFS(InputResearch[Math PFP],InputResearch[Institution Name],ListTAMUS[[#This Row],[Institution Name]])+SUMIFS(InputResearch[Math PNP],InputResearch[Institution Name],ListTAMUS[[#This Row],[Institution Name]])</f>
        <v>228655</v>
      </c>
      <c r="J90" s="47">
        <f>SUMIFS(InputResearch[Medical Fed],InputResearch[Institution Name],ListTAMUS[[#This Row],[Institution Name]])+SUMIFS(InputResearch[Medical St. Approp.],InputResearch[Institution Name],ListTAMUS[[#This Row],[Institution Name]])+SUMIFS(InputResearch[Medical St. C&amp;G],InputResearch[Institution Name],ListTAMUS[[#This Row],[Institution Name]])+SUMIFS(InputResearch[Medical Inst Res],InputResearch[Institution Name],ListTAMUS[[#This Row],[Institution Name]])+SUMIFS(InputResearch[Medical PFP],InputResearch[Institution Name],ListTAMUS[[#This Row],[Institution Name]])+SUMIFS(InputResearch[Medical PNP],InputResearch[Institution Name],ListTAMUS[[#This Row],[Institution Name]])</f>
        <v>478203</v>
      </c>
      <c r="K90" s="47">
        <f>SUMIFS(InputResearch[Physical Sci. Fed],InputResearch[Institution Name],ListTAMUS[[#This Row],[Institution Name]])+SUMIFS(InputResearch[Physical Sci. St. Approp.],InputResearch[Institution Name],ListTAMUS[[#This Row],[Institution Name]])+SUMIFS(InputResearch[Physical Sci. St. C&amp;G],InputResearch[Institution Name],ListTAMUS[[#This Row],[Institution Name]])+SUMIFS(InputResearch[Physical Sci. Inst Res],InputResearch[Institution Name],ListTAMUS[[#This Row],[Institution Name]])+SUMIFS(InputResearch[Physical Sci. PFP],InputResearch[Institution Name],ListTAMUS[[#This Row],[Institution Name]])+SUMIFS(InputResearch[Physical Sci. PNP],InputResearch[Institution Name],ListTAMUS[[#This Row],[Institution Name]])</f>
        <v>1809789</v>
      </c>
      <c r="L90" s="47">
        <f>SUMIFS(InputResearch[Psychology Fed],InputResearch[Institution Name],ListTAMUS[[#This Row],[Institution Name]])+SUMIFS(InputResearch[Psychology St. Approp.],InputResearch[Institution Name],ListTAMUS[[#This Row],[Institution Name]])+SUMIFS(InputResearch[Psychology St. C&amp;G],InputResearch[Institution Name],ListTAMUS[[#This Row],[Institution Name]])+SUMIFS(InputResearch[Psychology Inst Res],InputResearch[Institution Name],ListTAMUS[[#This Row],[Institution Name]])+SUMIFS(InputResearch[Psychology PFP],InputResearch[Institution Name],ListTAMUS[[#This Row],[Institution Name]])+SUMIFS(InputResearch[Psychology PNP],InputResearch[Institution Name],ListTAMUS[[#This Row],[Institution Name]])</f>
        <v>1204657</v>
      </c>
      <c r="M90" s="47">
        <f>SUMIFS(InputResearch[Social Sci. Fed],InputResearch[Institution Name],ListTAMUS[[#This Row],[Institution Name]])+SUMIFS(InputResearch[Social Sci. St. Approp.],InputResearch[Institution Name],ListTAMUS[[#This Row],[Institution Name]])+SUMIFS(InputResearch[Social Sci. St. C&amp;G],InputResearch[Institution Name],ListTAMUS[[#This Row],[Institution Name]])+SUMIFS(InputResearch[Social Sci. Inst Res],InputResearch[Institution Name],ListTAMUS[[#This Row],[Institution Name]])+SUMIFS(InputResearch[Social Sci. PFP],InputResearch[Institution Name],ListTAMUS[[#This Row],[Institution Name]])+SUMIFS(InputResearch[Social Sci. PNP],InputResearch[Institution Name],ListTAMUS[[#This Row],[Institution Name]])</f>
        <v>1866470</v>
      </c>
      <c r="N90" s="47">
        <f>SUMIFS(InputResearch[Other Sci. Fed],InputResearch[Institution Name],ListTAMUS[[#This Row],[Institution Name]])+SUMIFS(InputResearch[Other Sci. St. Approp.],InputResearch[Institution Name],ListTAMUS[[#This Row],[Institution Name]])+SUMIFS(InputResearch[Other Sci. St. C&amp;G],InputResearch[Institution Name],ListTAMUS[[#This Row],[Institution Name]])+SUMIFS(InputResearch[Other Sci. Inst Res],InputResearch[Institution Name],ListTAMUS[[#This Row],[Institution Name]])+SUMIFS(InputResearch[Other Sci. PFP],InputResearch[Institution Name],ListTAMUS[[#This Row],[Institution Name]])+SUMIFS(InputResearch[Other Sci. PNP],InputResearch[Institution Name],ListTAMUS[[#This Row],[Institution Name]])</f>
        <v>1053963</v>
      </c>
      <c r="O90" s="47">
        <f>SUMIFS(InputResearch[Arts &amp; Humanities Fed],InputResearch[Institution Name],ListTAMUS[[#This Row],[Institution Name]])+SUMIFS(InputResearch[Arts &amp; Humanities St. Approp.],InputResearch[Institution Name],ListTAMUS[[#This Row],[Institution Name]])+SUMIFS(InputResearch[Arts &amp; Humanities St. C&amp;G],InputResearch[Institution Name],ListTAMUS[[#This Row],[Institution Name]])+SUMIFS(InputResearch[Arts &amp; Humanities Inst Res],InputResearch[Institution Name],ListTAMUS[[#This Row],[Institution Name]])+SUMIFS(InputResearch[Arts &amp; Humanities PFP],InputResearch[Institution Name],ListTAMUS[[#This Row],[Institution Name]])+SUMIFS(InputResearch[Arts &amp; Humanities PNP],InputResearch[Institution Name],ListTAMUS[[#This Row],[Institution Name]])</f>
        <v>0</v>
      </c>
      <c r="P90" s="47">
        <f>SUMIFS(InputResearch[Business Fed],InputResearch[Institution Name],ListTAMUS[[#This Row],[Institution Name]])+SUMIFS(InputResearch[Business St. Approp.],InputResearch[Institution Name],ListTAMUS[[#This Row],[Institution Name]])+SUMIFS(InputResearch[Business St. C&amp;G],InputResearch[Institution Name],ListTAMUS[[#This Row],[Institution Name]])+SUMIFS(InputResearch[Business Inst Res],InputResearch[Institution Name],ListTAMUS[[#This Row],[Institution Name]])+SUMIFS(InputResearch[Business PFP],InputResearch[Institution Name],ListTAMUS[[#This Row],[Institution Name]])+SUMIFS(InputResearch[Business PNP],InputResearch[Institution Name],ListTAMUS[[#This Row],[Institution Name]])</f>
        <v>0</v>
      </c>
      <c r="Q90" s="47">
        <f>SUMIFS(InputResearch[Education Fed],InputResearch[Institution Name],ListTAMUS[[#This Row],[Institution Name]])+SUMIFS(InputResearch[Education St. Approp.],InputResearch[Institution Name],ListTAMUS[[#This Row],[Institution Name]])+SUMIFS(InputResearch[Education St. C&amp;G],InputResearch[Institution Name],ListTAMUS[[#This Row],[Institution Name]])+SUMIFS(InputResearch[Education Inst Res],InputResearch[Institution Name],ListTAMUS[[#This Row],[Institution Name]])+SUMIFS(InputResearch[Education PFP],InputResearch[Institution Name],ListTAMUS[[#This Row],[Institution Name]])+SUMIFS(InputResearch[Education PNP],InputResearch[Institution Name],ListTAMUS[[#This Row],[Institution Name]])</f>
        <v>747203</v>
      </c>
      <c r="R90" s="47">
        <f>SUMIFS(InputResearch[Law Fed],InputResearch[Institution Name],ListTAMUS[[#This Row],[Institution Name]])+SUMIFS(InputResearch[Law St. Approp.],InputResearch[Institution Name],ListTAMUS[[#This Row],[Institution Name]])+SUMIFS(InputResearch[Law St. C&amp;G],InputResearch[Institution Name],ListTAMUS[[#This Row],[Institution Name]])+SUMIFS(InputResearch[Law Inst Res],InputResearch[Institution Name],ListTAMUS[[#This Row],[Institution Name]])+SUMIFS(InputResearch[Law PFP],InputResearch[Institution Name],ListTAMUS[[#This Row],[Institution Name]])+SUMIFS(InputResearch[Law PNP],InputResearch[Institution Name],ListTAMUS[[#This Row],[Institution Name]])</f>
        <v>161120</v>
      </c>
      <c r="S90" s="47">
        <f>SUMIFS(InputResearch[Other Non-Sci. Fed],InputResearch[Institution Name],ListTAMUS[[#This Row],[Institution Name]])+SUMIFS(InputResearch[Other Non-Sci. St. Approp.],InputResearch[Institution Name],ListTAMUS[[#This Row],[Institution Name]])+SUMIFS(InputResearch[Other Non-Sci. St. C&amp;G],InputResearch[Institution Name],ListTAMUS[[#This Row],[Institution Name]])+SUMIFS(InputResearch[Other Non-Sci. Inst Res],InputResearch[Institution Name],ListTAMUS[[#This Row],[Institution Name]])+SUMIFS(InputResearch[Other Non-Sci. PFP],InputResearch[Institution Name],ListTAMUS[[#This Row],[Institution Name]])+SUMIFS(InputResearch[Other Non-Sci. PNP],InputResearch[Institution Name],ListTAMUS[[#This Row],[Institution Name]])</f>
        <v>9914778</v>
      </c>
      <c r="T90" s="94"/>
    </row>
    <row r="91" spans="1:20">
      <c r="A91" s="93" t="s">
        <v>829</v>
      </c>
      <c r="B91" s="228" t="str">
        <f>VLOOKUP(ListTAMUS[[#This Row],[Institution Name]],InputResearch[],3,FALSE)</f>
        <v>S130</v>
      </c>
      <c r="C91" s="284">
        <v>3629</v>
      </c>
      <c r="D91" s="47">
        <f>SUMIFS(InputResearch[Agricultural Sci. Fed],InputResearch[Institution Name],ListTAMUS[[#This Row],[Institution Name]])+SUMIFS(InputResearch[Agricultural Sci. St. Approp.],InputResearch[Institution Name],ListTAMUS[[#This Row],[Institution Name]])+SUMIFS(InputResearch[Agricultural Sci. St. C&amp;G],InputResearch[Institution Name],ListTAMUS[[#This Row],[Institution Name]])+SUMIFS(InputResearch[Agricultural Sci. Inst Res],InputResearch[Institution Name],ListTAMUS[[#This Row],[Institution Name]])+SUMIFS(InputResearch[Agricultural Sci. PFP],InputResearch[Institution Name],ListTAMUS[[#This Row],[Institution Name]])+SUMIFS(InputResearch[Agricultural Sci. PNP],InputResearch[Institution Name],ListTAMUS[[#This Row],[Institution Name]])</f>
        <v>0</v>
      </c>
      <c r="E91" s="47">
        <f>SUMIFS(InputResearch[Biological &amp; Other Life Sci. Fed],InputResearch[Institution Name],ListTAMUS[[#This Row],[Institution Name]])+SUMIFS(InputResearch[Biological &amp; Other Life Sci. St. Approp.],InputResearch[Institution Name],ListTAMUS[[#This Row],[Institution Name]])+SUMIFS(InputResearch[Biological &amp; Other Life Sci. St. C&amp;G],InputResearch[Institution Name],ListTAMUS[[#This Row],[Institution Name]])+SUMIFS(InputResearch[Biological &amp; Other Life Sci. Inst Res],InputResearch[Institution Name],ListTAMUS[[#This Row],[Institution Name]])+SUMIFS(InputResearch[Biological &amp; Other Life Sci. PFP],InputResearch[Institution Name],ListTAMUS[[#This Row],[Institution Name]])+SUMIFS(InputResearch[Biological &amp; Other Life Sci. PNP],InputResearch[Institution Name],ListTAMUS[[#This Row],[Institution Name]])</f>
        <v>0</v>
      </c>
      <c r="F91" s="47">
        <f>SUMIFS(InputResearch[Comp. Sci. Fed],InputResearch[Institution Name],ListTAMUS[[#This Row],[Institution Name]])+SUMIFS(InputResearch[Comp. Sci. St. Approp.],InputResearch[Institution Name],ListTAMUS[[#This Row],[Institution Name]])+SUMIFS(InputResearch[Comp. Sci. St. C&amp;G],InputResearch[Institution Name],ListTAMUS[[#This Row],[Institution Name]])+SUMIFS(InputResearch[Comp. Sci. Inst Res],InputResearch[Institution Name],ListTAMUS[[#This Row],[Institution Name]])+SUMIFS(InputResearch[Comp. Sci. PFP],InputResearch[Institution Name],ListTAMUS[[#This Row],[Institution Name]])+SUMIFS(InputResearch[Comp. Sci. PNP],InputResearch[Institution Name],ListTAMUS[[#This Row],[Institution Name]])</f>
        <v>72476</v>
      </c>
      <c r="G91" s="47">
        <f>SUMIFS(InputResearch[Engineering Fed],InputResearch[Institution Name],ListTAMUS[[#This Row],[Institution Name]])+SUMIFS(InputResearch[Engineering St. Approp.],InputResearch[Institution Name],ListTAMUS[[#This Row],[Institution Name]])+SUMIFS(InputResearch[Engineering St. C&amp;G],InputResearch[Institution Name],ListTAMUS[[#This Row],[Institution Name]])+SUMIFS(InputResearch[Engineering Inst Res],InputResearch[Institution Name],ListTAMUS[[#This Row],[Institution Name]])+SUMIFS(InputResearch[Engineering PFP],InputResearch[Institution Name],ListTAMUS[[#This Row],[Institution Name]])+SUMIFS(InputResearch[Engineering PNP],InputResearch[Institution Name],ListTAMUS[[#This Row],[Institution Name]])</f>
        <v>26818</v>
      </c>
      <c r="H91" s="47">
        <f>SUMIFS(InputResearch[Env Sci. Fed],InputResearch[Institution Name],ListTAMUS[[#This Row],[Institution Name]])+SUMIFS(InputResearch[Env Sci. St. Approp.],InputResearch[Institution Name],ListTAMUS[[#This Row],[Institution Name]])+SUMIFS(InputResearch[Env Sci. St. C&amp;G],InputResearch[Institution Name],ListTAMUS[[#This Row],[Institution Name]])+SUMIFS(InputResearch[Env Sci. Inst Res],InputResearch[Institution Name],ListTAMUS[[#This Row],[Institution Name]])+SUMIFS(InputResearch[Env Sci. PFP],InputResearch[Institution Name],ListTAMUS[[#This Row],[Institution Name]])+SUMIFS(InputResearch[Env Sci. PNP],InputResearch[Institution Name],ListTAMUS[[#This Row],[Institution Name]])</f>
        <v>0</v>
      </c>
      <c r="I91" s="47">
        <f>SUMIFS(InputResearch[Math Fed],InputResearch[Institution Name],ListTAMUS[[#This Row],[Institution Name]])+SUMIFS(InputResearch[Math St. Approp.],InputResearch[Institution Name],ListTAMUS[[#This Row],[Institution Name]])+SUMIFS(InputResearch[Math St. C&amp;G],InputResearch[Institution Name],ListTAMUS[[#This Row],[Institution Name]])+SUMIFS(InputResearch[Math Inst Res],InputResearch[Institution Name],ListTAMUS[[#This Row],[Institution Name]])+SUMIFS(InputResearch[Math PFP],InputResearch[Institution Name],ListTAMUS[[#This Row],[Institution Name]])+SUMIFS(InputResearch[Math PNP],InputResearch[Institution Name],ListTAMUS[[#This Row],[Institution Name]])</f>
        <v>0</v>
      </c>
      <c r="J91" s="47">
        <f>SUMIFS(InputResearch[Medical Fed],InputResearch[Institution Name],ListTAMUS[[#This Row],[Institution Name]])+SUMIFS(InputResearch[Medical St. Approp.],InputResearch[Institution Name],ListTAMUS[[#This Row],[Institution Name]])+SUMIFS(InputResearch[Medical St. C&amp;G],InputResearch[Institution Name],ListTAMUS[[#This Row],[Institution Name]])+SUMIFS(InputResearch[Medical Inst Res],InputResearch[Institution Name],ListTAMUS[[#This Row],[Institution Name]])+SUMIFS(InputResearch[Medical PFP],InputResearch[Institution Name],ListTAMUS[[#This Row],[Institution Name]])+SUMIFS(InputResearch[Medical PNP],InputResearch[Institution Name],ListTAMUS[[#This Row],[Institution Name]])</f>
        <v>0</v>
      </c>
      <c r="K91" s="47">
        <f>SUMIFS(InputResearch[Physical Sci. Fed],InputResearch[Institution Name],ListTAMUS[[#This Row],[Institution Name]])+SUMIFS(InputResearch[Physical Sci. St. Approp.],InputResearch[Institution Name],ListTAMUS[[#This Row],[Institution Name]])+SUMIFS(InputResearch[Physical Sci. St. C&amp;G],InputResearch[Institution Name],ListTAMUS[[#This Row],[Institution Name]])+SUMIFS(InputResearch[Physical Sci. Inst Res],InputResearch[Institution Name],ListTAMUS[[#This Row],[Institution Name]])+SUMIFS(InputResearch[Physical Sci. PFP],InputResearch[Institution Name],ListTAMUS[[#This Row],[Institution Name]])+SUMIFS(InputResearch[Physical Sci. PNP],InputResearch[Institution Name],ListTAMUS[[#This Row],[Institution Name]])</f>
        <v>0</v>
      </c>
      <c r="L91" s="47">
        <f>SUMIFS(InputResearch[Psychology Fed],InputResearch[Institution Name],ListTAMUS[[#This Row],[Institution Name]])+SUMIFS(InputResearch[Psychology St. Approp.],InputResearch[Institution Name],ListTAMUS[[#This Row],[Institution Name]])+SUMIFS(InputResearch[Psychology St. C&amp;G],InputResearch[Institution Name],ListTAMUS[[#This Row],[Institution Name]])+SUMIFS(InputResearch[Psychology Inst Res],InputResearch[Institution Name],ListTAMUS[[#This Row],[Institution Name]])+SUMIFS(InputResearch[Psychology PFP],InputResearch[Institution Name],ListTAMUS[[#This Row],[Institution Name]])+SUMIFS(InputResearch[Psychology PNP],InputResearch[Institution Name],ListTAMUS[[#This Row],[Institution Name]])</f>
        <v>0</v>
      </c>
      <c r="M91" s="47">
        <f>SUMIFS(InputResearch[Social Sci. Fed],InputResearch[Institution Name],ListTAMUS[[#This Row],[Institution Name]])+SUMIFS(InputResearch[Social Sci. St. Approp.],InputResearch[Institution Name],ListTAMUS[[#This Row],[Institution Name]])+SUMIFS(InputResearch[Social Sci. St. C&amp;G],InputResearch[Institution Name],ListTAMUS[[#This Row],[Institution Name]])+SUMIFS(InputResearch[Social Sci. Inst Res],InputResearch[Institution Name],ListTAMUS[[#This Row],[Institution Name]])+SUMIFS(InputResearch[Social Sci. PFP],InputResearch[Institution Name],ListTAMUS[[#This Row],[Institution Name]])+SUMIFS(InputResearch[Social Sci. PNP],InputResearch[Institution Name],ListTAMUS[[#This Row],[Institution Name]])</f>
        <v>0</v>
      </c>
      <c r="N91" s="47">
        <f>SUMIFS(InputResearch[Other Sci. Fed],InputResearch[Institution Name],ListTAMUS[[#This Row],[Institution Name]])+SUMIFS(InputResearch[Other Sci. St. Approp.],InputResearch[Institution Name],ListTAMUS[[#This Row],[Institution Name]])+SUMIFS(InputResearch[Other Sci. St. C&amp;G],InputResearch[Institution Name],ListTAMUS[[#This Row],[Institution Name]])+SUMIFS(InputResearch[Other Sci. Inst Res],InputResearch[Institution Name],ListTAMUS[[#This Row],[Institution Name]])+SUMIFS(InputResearch[Other Sci. PFP],InputResearch[Institution Name],ListTAMUS[[#This Row],[Institution Name]])+SUMIFS(InputResearch[Other Sci. PNP],InputResearch[Institution Name],ListTAMUS[[#This Row],[Institution Name]])</f>
        <v>17363</v>
      </c>
      <c r="O91" s="47">
        <f>SUMIFS(InputResearch[Arts &amp; Humanities Fed],InputResearch[Institution Name],ListTAMUS[[#This Row],[Institution Name]])+SUMIFS(InputResearch[Arts &amp; Humanities St. Approp.],InputResearch[Institution Name],ListTAMUS[[#This Row],[Institution Name]])+SUMIFS(InputResearch[Arts &amp; Humanities St. C&amp;G],InputResearch[Institution Name],ListTAMUS[[#This Row],[Institution Name]])+SUMIFS(InputResearch[Arts &amp; Humanities Inst Res],InputResearch[Institution Name],ListTAMUS[[#This Row],[Institution Name]])+SUMIFS(InputResearch[Arts &amp; Humanities PFP],InputResearch[Institution Name],ListTAMUS[[#This Row],[Institution Name]])+SUMIFS(InputResearch[Arts &amp; Humanities PNP],InputResearch[Institution Name],ListTAMUS[[#This Row],[Institution Name]])</f>
        <v>0</v>
      </c>
      <c r="P91" s="47">
        <f>SUMIFS(InputResearch[Business Fed],InputResearch[Institution Name],ListTAMUS[[#This Row],[Institution Name]])+SUMIFS(InputResearch[Business St. Approp.],InputResearch[Institution Name],ListTAMUS[[#This Row],[Institution Name]])+SUMIFS(InputResearch[Business St. C&amp;G],InputResearch[Institution Name],ListTAMUS[[#This Row],[Institution Name]])+SUMIFS(InputResearch[Business Inst Res],InputResearch[Institution Name],ListTAMUS[[#This Row],[Institution Name]])+SUMIFS(InputResearch[Business PFP],InputResearch[Institution Name],ListTAMUS[[#This Row],[Institution Name]])+SUMIFS(InputResearch[Business PNP],InputResearch[Institution Name],ListTAMUS[[#This Row],[Institution Name]])</f>
        <v>0</v>
      </c>
      <c r="Q91" s="47">
        <f>SUMIFS(InputResearch[Education Fed],InputResearch[Institution Name],ListTAMUS[[#This Row],[Institution Name]])+SUMIFS(InputResearch[Education St. Approp.],InputResearch[Institution Name],ListTAMUS[[#This Row],[Institution Name]])+SUMIFS(InputResearch[Education St. C&amp;G],InputResearch[Institution Name],ListTAMUS[[#This Row],[Institution Name]])+SUMIFS(InputResearch[Education Inst Res],InputResearch[Institution Name],ListTAMUS[[#This Row],[Institution Name]])+SUMIFS(InputResearch[Education PFP],InputResearch[Institution Name],ListTAMUS[[#This Row],[Institution Name]])+SUMIFS(InputResearch[Education PNP],InputResearch[Institution Name],ListTAMUS[[#This Row],[Institution Name]])</f>
        <v>113339</v>
      </c>
      <c r="R91" s="47">
        <f>SUMIFS(InputResearch[Law Fed],InputResearch[Institution Name],ListTAMUS[[#This Row],[Institution Name]])+SUMIFS(InputResearch[Law St. Approp.],InputResearch[Institution Name],ListTAMUS[[#This Row],[Institution Name]])+SUMIFS(InputResearch[Law St. C&amp;G],InputResearch[Institution Name],ListTAMUS[[#This Row],[Institution Name]])+SUMIFS(InputResearch[Law Inst Res],InputResearch[Institution Name],ListTAMUS[[#This Row],[Institution Name]])+SUMIFS(InputResearch[Law PFP],InputResearch[Institution Name],ListTAMUS[[#This Row],[Institution Name]])+SUMIFS(InputResearch[Law PNP],InputResearch[Institution Name],ListTAMUS[[#This Row],[Institution Name]])</f>
        <v>0</v>
      </c>
      <c r="S91" s="47">
        <f>SUMIFS(InputResearch[Other Non-Sci. Fed],InputResearch[Institution Name],ListTAMUS[[#This Row],[Institution Name]])+SUMIFS(InputResearch[Other Non-Sci. St. Approp.],InputResearch[Institution Name],ListTAMUS[[#This Row],[Institution Name]])+SUMIFS(InputResearch[Other Non-Sci. St. C&amp;G],InputResearch[Institution Name],ListTAMUS[[#This Row],[Institution Name]])+SUMIFS(InputResearch[Other Non-Sci. Inst Res],InputResearch[Institution Name],ListTAMUS[[#This Row],[Institution Name]])+SUMIFS(InputResearch[Other Non-Sci. PFP],InputResearch[Institution Name],ListTAMUS[[#This Row],[Institution Name]])+SUMIFS(InputResearch[Other Non-Sci. PNP],InputResearch[Institution Name],ListTAMUS[[#This Row],[Institution Name]])</f>
        <v>0</v>
      </c>
      <c r="T91" s="94"/>
    </row>
    <row r="92" spans="1:20">
      <c r="A92" s="93" t="s">
        <v>59</v>
      </c>
      <c r="B92" s="228">
        <f>VLOOKUP(ListTAMUS[[#This Row],[Institution Name]],InputResearch[],3,FALSE)</f>
        <v>630</v>
      </c>
      <c r="C92" s="284">
        <v>557</v>
      </c>
      <c r="D92" s="47">
        <f>SUMIFS(InputResearch[Agricultural Sci. Fed],InputResearch[Institution Name],ListTAMUS[[#This Row],[Institution Name]])+SUMIFS(InputResearch[Agricultural Sci. St. Approp.],InputResearch[Institution Name],ListTAMUS[[#This Row],[Institution Name]])+SUMIFS(InputResearch[Agricultural Sci. St. C&amp;G],InputResearch[Institution Name],ListTAMUS[[#This Row],[Institution Name]])+SUMIFS(InputResearch[Agricultural Sci. Inst Res],InputResearch[Institution Name],ListTAMUS[[#This Row],[Institution Name]])+SUMIFS(InputResearch[Agricultural Sci. PFP],InputResearch[Institution Name],ListTAMUS[[#This Row],[Institution Name]])+SUMIFS(InputResearch[Agricultural Sci. PNP],InputResearch[Institution Name],ListTAMUS[[#This Row],[Institution Name]])</f>
        <v>803174</v>
      </c>
      <c r="E92" s="47">
        <f>SUMIFS(InputResearch[Biological &amp; Other Life Sci. Fed],InputResearch[Institution Name],ListTAMUS[[#This Row],[Institution Name]])+SUMIFS(InputResearch[Biological &amp; Other Life Sci. St. Approp.],InputResearch[Institution Name],ListTAMUS[[#This Row],[Institution Name]])+SUMIFS(InputResearch[Biological &amp; Other Life Sci. St. C&amp;G],InputResearch[Institution Name],ListTAMUS[[#This Row],[Institution Name]])+SUMIFS(InputResearch[Biological &amp; Other Life Sci. Inst Res],InputResearch[Institution Name],ListTAMUS[[#This Row],[Institution Name]])+SUMIFS(InputResearch[Biological &amp; Other Life Sci. PFP],InputResearch[Institution Name],ListTAMUS[[#This Row],[Institution Name]])+SUMIFS(InputResearch[Biological &amp; Other Life Sci. PNP],InputResearch[Institution Name],ListTAMUS[[#This Row],[Institution Name]])</f>
        <v>209391</v>
      </c>
      <c r="F92" s="47">
        <f>SUMIFS(InputResearch[Comp. Sci. Fed],InputResearch[Institution Name],ListTAMUS[[#This Row],[Institution Name]])+SUMIFS(InputResearch[Comp. Sci. St. Approp.],InputResearch[Institution Name],ListTAMUS[[#This Row],[Institution Name]])+SUMIFS(InputResearch[Comp. Sci. St. C&amp;G],InputResearch[Institution Name],ListTAMUS[[#This Row],[Institution Name]])+SUMIFS(InputResearch[Comp. Sci. Inst Res],InputResearch[Institution Name],ListTAMUS[[#This Row],[Institution Name]])+SUMIFS(InputResearch[Comp. Sci. PFP],InputResearch[Institution Name],ListTAMUS[[#This Row],[Institution Name]])+SUMIFS(InputResearch[Comp. Sci. PNP],InputResearch[Institution Name],ListTAMUS[[#This Row],[Institution Name]])</f>
        <v>0</v>
      </c>
      <c r="G92" s="47">
        <f>SUMIFS(InputResearch[Engineering Fed],InputResearch[Institution Name],ListTAMUS[[#This Row],[Institution Name]])+SUMIFS(InputResearch[Engineering St. Approp.],InputResearch[Institution Name],ListTAMUS[[#This Row],[Institution Name]])+SUMIFS(InputResearch[Engineering St. C&amp;G],InputResearch[Institution Name],ListTAMUS[[#This Row],[Institution Name]])+SUMIFS(InputResearch[Engineering Inst Res],InputResearch[Institution Name],ListTAMUS[[#This Row],[Institution Name]])+SUMIFS(InputResearch[Engineering PFP],InputResearch[Institution Name],ListTAMUS[[#This Row],[Institution Name]])+SUMIFS(InputResearch[Engineering PNP],InputResearch[Institution Name],ListTAMUS[[#This Row],[Institution Name]])</f>
        <v>0</v>
      </c>
      <c r="H92" s="47">
        <f>SUMIFS(InputResearch[Env Sci. Fed],InputResearch[Institution Name],ListTAMUS[[#This Row],[Institution Name]])+SUMIFS(InputResearch[Env Sci. St. Approp.],InputResearch[Institution Name],ListTAMUS[[#This Row],[Institution Name]])+SUMIFS(InputResearch[Env Sci. St. C&amp;G],InputResearch[Institution Name],ListTAMUS[[#This Row],[Institution Name]])+SUMIFS(InputResearch[Env Sci. Inst Res],InputResearch[Institution Name],ListTAMUS[[#This Row],[Institution Name]])+SUMIFS(InputResearch[Env Sci. PFP],InputResearch[Institution Name],ListTAMUS[[#This Row],[Institution Name]])+SUMIFS(InputResearch[Env Sci. PNP],InputResearch[Institution Name],ListTAMUS[[#This Row],[Institution Name]])</f>
        <v>0</v>
      </c>
      <c r="I92" s="47">
        <f>SUMIFS(InputResearch[Math Fed],InputResearch[Institution Name],ListTAMUS[[#This Row],[Institution Name]])+SUMIFS(InputResearch[Math St. Approp.],InputResearch[Institution Name],ListTAMUS[[#This Row],[Institution Name]])+SUMIFS(InputResearch[Math St. C&amp;G],InputResearch[Institution Name],ListTAMUS[[#This Row],[Institution Name]])+SUMIFS(InputResearch[Math Inst Res],InputResearch[Institution Name],ListTAMUS[[#This Row],[Institution Name]])+SUMIFS(InputResearch[Math PFP],InputResearch[Institution Name],ListTAMUS[[#This Row],[Institution Name]])+SUMIFS(InputResearch[Math PNP],InputResearch[Institution Name],ListTAMUS[[#This Row],[Institution Name]])</f>
        <v>0</v>
      </c>
      <c r="J92" s="47">
        <f>SUMIFS(InputResearch[Medical Fed],InputResearch[Institution Name],ListTAMUS[[#This Row],[Institution Name]])+SUMIFS(InputResearch[Medical St. Approp.],InputResearch[Institution Name],ListTAMUS[[#This Row],[Institution Name]])+SUMIFS(InputResearch[Medical St. C&amp;G],InputResearch[Institution Name],ListTAMUS[[#This Row],[Institution Name]])+SUMIFS(InputResearch[Medical Inst Res],InputResearch[Institution Name],ListTAMUS[[#This Row],[Institution Name]])+SUMIFS(InputResearch[Medical PFP],InputResearch[Institution Name],ListTAMUS[[#This Row],[Institution Name]])+SUMIFS(InputResearch[Medical PNP],InputResearch[Institution Name],ListTAMUS[[#This Row],[Institution Name]])</f>
        <v>0</v>
      </c>
      <c r="K92" s="47">
        <f>SUMIFS(InputResearch[Physical Sci. Fed],InputResearch[Institution Name],ListTAMUS[[#This Row],[Institution Name]])+SUMIFS(InputResearch[Physical Sci. St. Approp.],InputResearch[Institution Name],ListTAMUS[[#This Row],[Institution Name]])+SUMIFS(InputResearch[Physical Sci. St. C&amp;G],InputResearch[Institution Name],ListTAMUS[[#This Row],[Institution Name]])+SUMIFS(InputResearch[Physical Sci. Inst Res],InputResearch[Institution Name],ListTAMUS[[#This Row],[Institution Name]])+SUMIFS(InputResearch[Physical Sci. PFP],InputResearch[Institution Name],ListTAMUS[[#This Row],[Institution Name]])+SUMIFS(InputResearch[Physical Sci. PNP],InputResearch[Institution Name],ListTAMUS[[#This Row],[Institution Name]])</f>
        <v>0</v>
      </c>
      <c r="L92" s="47">
        <f>SUMIFS(InputResearch[Psychology Fed],InputResearch[Institution Name],ListTAMUS[[#This Row],[Institution Name]])+SUMIFS(InputResearch[Psychology St. Approp.],InputResearch[Institution Name],ListTAMUS[[#This Row],[Institution Name]])+SUMIFS(InputResearch[Psychology St. C&amp;G],InputResearch[Institution Name],ListTAMUS[[#This Row],[Institution Name]])+SUMIFS(InputResearch[Psychology Inst Res],InputResearch[Institution Name],ListTAMUS[[#This Row],[Institution Name]])+SUMIFS(InputResearch[Psychology PFP],InputResearch[Institution Name],ListTAMUS[[#This Row],[Institution Name]])+SUMIFS(InputResearch[Psychology PNP],InputResearch[Institution Name],ListTAMUS[[#This Row],[Institution Name]])</f>
        <v>0</v>
      </c>
      <c r="M92" s="47">
        <f>SUMIFS(InputResearch[Social Sci. Fed],InputResearch[Institution Name],ListTAMUS[[#This Row],[Institution Name]])+SUMIFS(InputResearch[Social Sci. St. Approp.],InputResearch[Institution Name],ListTAMUS[[#This Row],[Institution Name]])+SUMIFS(InputResearch[Social Sci. St. C&amp;G],InputResearch[Institution Name],ListTAMUS[[#This Row],[Institution Name]])+SUMIFS(InputResearch[Social Sci. Inst Res],InputResearch[Institution Name],ListTAMUS[[#This Row],[Institution Name]])+SUMIFS(InputResearch[Social Sci. PFP],InputResearch[Institution Name],ListTAMUS[[#This Row],[Institution Name]])+SUMIFS(InputResearch[Social Sci. PNP],InputResearch[Institution Name],ListTAMUS[[#This Row],[Institution Name]])</f>
        <v>0</v>
      </c>
      <c r="N92" s="47">
        <f>SUMIFS(InputResearch[Other Sci. Fed],InputResearch[Institution Name],ListTAMUS[[#This Row],[Institution Name]])+SUMIFS(InputResearch[Other Sci. St. Approp.],InputResearch[Institution Name],ListTAMUS[[#This Row],[Institution Name]])+SUMIFS(InputResearch[Other Sci. St. C&amp;G],InputResearch[Institution Name],ListTAMUS[[#This Row],[Institution Name]])+SUMIFS(InputResearch[Other Sci. Inst Res],InputResearch[Institution Name],ListTAMUS[[#This Row],[Institution Name]])+SUMIFS(InputResearch[Other Sci. PFP],InputResearch[Institution Name],ListTAMUS[[#This Row],[Institution Name]])+SUMIFS(InputResearch[Other Sci. PNP],InputResearch[Institution Name],ListTAMUS[[#This Row],[Institution Name]])</f>
        <v>0</v>
      </c>
      <c r="O92" s="47">
        <f>SUMIFS(InputResearch[Arts &amp; Humanities Fed],InputResearch[Institution Name],ListTAMUS[[#This Row],[Institution Name]])+SUMIFS(InputResearch[Arts &amp; Humanities St. Approp.],InputResearch[Institution Name],ListTAMUS[[#This Row],[Institution Name]])+SUMIFS(InputResearch[Arts &amp; Humanities St. C&amp;G],InputResearch[Institution Name],ListTAMUS[[#This Row],[Institution Name]])+SUMIFS(InputResearch[Arts &amp; Humanities Inst Res],InputResearch[Institution Name],ListTAMUS[[#This Row],[Institution Name]])+SUMIFS(InputResearch[Arts &amp; Humanities PFP],InputResearch[Institution Name],ListTAMUS[[#This Row],[Institution Name]])+SUMIFS(InputResearch[Arts &amp; Humanities PNP],InputResearch[Institution Name],ListTAMUS[[#This Row],[Institution Name]])</f>
        <v>0</v>
      </c>
      <c r="P92" s="47">
        <f>SUMIFS(InputResearch[Business Fed],InputResearch[Institution Name],ListTAMUS[[#This Row],[Institution Name]])+SUMIFS(InputResearch[Business St. Approp.],InputResearch[Institution Name],ListTAMUS[[#This Row],[Institution Name]])+SUMIFS(InputResearch[Business St. C&amp;G],InputResearch[Institution Name],ListTAMUS[[#This Row],[Institution Name]])+SUMIFS(InputResearch[Business Inst Res],InputResearch[Institution Name],ListTAMUS[[#This Row],[Institution Name]])+SUMIFS(InputResearch[Business PFP],InputResearch[Institution Name],ListTAMUS[[#This Row],[Institution Name]])+SUMIFS(InputResearch[Business PNP],InputResearch[Institution Name],ListTAMUS[[#This Row],[Institution Name]])</f>
        <v>0</v>
      </c>
      <c r="Q92" s="47">
        <f>SUMIFS(InputResearch[Education Fed],InputResearch[Institution Name],ListTAMUS[[#This Row],[Institution Name]])+SUMIFS(InputResearch[Education St. Approp.],InputResearch[Institution Name],ListTAMUS[[#This Row],[Institution Name]])+SUMIFS(InputResearch[Education St. C&amp;G],InputResearch[Institution Name],ListTAMUS[[#This Row],[Institution Name]])+SUMIFS(InputResearch[Education Inst Res],InputResearch[Institution Name],ListTAMUS[[#This Row],[Institution Name]])+SUMIFS(InputResearch[Education PFP],InputResearch[Institution Name],ListTAMUS[[#This Row],[Institution Name]])+SUMIFS(InputResearch[Education PNP],InputResearch[Institution Name],ListTAMUS[[#This Row],[Institution Name]])</f>
        <v>0</v>
      </c>
      <c r="R92" s="47">
        <f>SUMIFS(InputResearch[Law Fed],InputResearch[Institution Name],ListTAMUS[[#This Row],[Institution Name]])+SUMIFS(InputResearch[Law St. Approp.],InputResearch[Institution Name],ListTAMUS[[#This Row],[Institution Name]])+SUMIFS(InputResearch[Law St. C&amp;G],InputResearch[Institution Name],ListTAMUS[[#This Row],[Institution Name]])+SUMIFS(InputResearch[Law Inst Res],InputResearch[Institution Name],ListTAMUS[[#This Row],[Institution Name]])+SUMIFS(InputResearch[Law PFP],InputResearch[Institution Name],ListTAMUS[[#This Row],[Institution Name]])+SUMIFS(InputResearch[Law PNP],InputResearch[Institution Name],ListTAMUS[[#This Row],[Institution Name]])</f>
        <v>0</v>
      </c>
      <c r="S92" s="47">
        <f>SUMIFS(InputResearch[Other Non-Sci. Fed],InputResearch[Institution Name],ListTAMUS[[#This Row],[Institution Name]])+SUMIFS(InputResearch[Other Non-Sci. St. Approp.],InputResearch[Institution Name],ListTAMUS[[#This Row],[Institution Name]])+SUMIFS(InputResearch[Other Non-Sci. St. C&amp;G],InputResearch[Institution Name],ListTAMUS[[#This Row],[Institution Name]])+SUMIFS(InputResearch[Other Non-Sci. Inst Res],InputResearch[Institution Name],ListTAMUS[[#This Row],[Institution Name]])+SUMIFS(InputResearch[Other Non-Sci. PFP],InputResearch[Institution Name],ListTAMUS[[#This Row],[Institution Name]])+SUMIFS(InputResearch[Other Non-Sci. PNP],InputResearch[Institution Name],ListTAMUS[[#This Row],[Institution Name]])</f>
        <v>0</v>
      </c>
      <c r="T92" s="94"/>
    </row>
    <row r="93" spans="1:20">
      <c r="A93" s="93" t="s">
        <v>60</v>
      </c>
      <c r="B93" s="228">
        <f>VLOOKUP(ListTAMUS[[#This Row],[Institution Name]],InputResearch[],3,FALSE)</f>
        <v>640</v>
      </c>
      <c r="C93" s="284">
        <v>575</v>
      </c>
      <c r="D93" s="47">
        <f>SUMIFS(InputResearch[Agricultural Sci. Fed],InputResearch[Institution Name],ListTAMUS[[#This Row],[Institution Name]])+SUMIFS(InputResearch[Agricultural Sci. St. Approp.],InputResearch[Institution Name],ListTAMUS[[#This Row],[Institution Name]])+SUMIFS(InputResearch[Agricultural Sci. St. C&amp;G],InputResearch[Institution Name],ListTAMUS[[#This Row],[Institution Name]])+SUMIFS(InputResearch[Agricultural Sci. Inst Res],InputResearch[Institution Name],ListTAMUS[[#This Row],[Institution Name]])+SUMIFS(InputResearch[Agricultural Sci. PFP],InputResearch[Institution Name],ListTAMUS[[#This Row],[Institution Name]])+SUMIFS(InputResearch[Agricultural Sci. PNP],InputResearch[Institution Name],ListTAMUS[[#This Row],[Institution Name]])</f>
        <v>0</v>
      </c>
      <c r="E93" s="47">
        <f>SUMIFS(InputResearch[Biological &amp; Other Life Sci. Fed],InputResearch[Institution Name],ListTAMUS[[#This Row],[Institution Name]])+SUMIFS(InputResearch[Biological &amp; Other Life Sci. St. Approp.],InputResearch[Institution Name],ListTAMUS[[#This Row],[Institution Name]])+SUMIFS(InputResearch[Biological &amp; Other Life Sci. St. C&amp;G],InputResearch[Institution Name],ListTAMUS[[#This Row],[Institution Name]])+SUMIFS(InputResearch[Biological &amp; Other Life Sci. Inst Res],InputResearch[Institution Name],ListTAMUS[[#This Row],[Institution Name]])+SUMIFS(InputResearch[Biological &amp; Other Life Sci. PFP],InputResearch[Institution Name],ListTAMUS[[#This Row],[Institution Name]])+SUMIFS(InputResearch[Biological &amp; Other Life Sci. PNP],InputResearch[Institution Name],ListTAMUS[[#This Row],[Institution Name]])</f>
        <v>0</v>
      </c>
      <c r="F93" s="47">
        <f>SUMIFS(InputResearch[Comp. Sci. Fed],InputResearch[Institution Name],ListTAMUS[[#This Row],[Institution Name]])+SUMIFS(InputResearch[Comp. Sci. St. Approp.],InputResearch[Institution Name],ListTAMUS[[#This Row],[Institution Name]])+SUMIFS(InputResearch[Comp. Sci. St. C&amp;G],InputResearch[Institution Name],ListTAMUS[[#This Row],[Institution Name]])+SUMIFS(InputResearch[Comp. Sci. Inst Res],InputResearch[Institution Name],ListTAMUS[[#This Row],[Institution Name]])+SUMIFS(InputResearch[Comp. Sci. PFP],InputResearch[Institution Name],ListTAMUS[[#This Row],[Institution Name]])+SUMIFS(InputResearch[Comp. Sci. PNP],InputResearch[Institution Name],ListTAMUS[[#This Row],[Institution Name]])</f>
        <v>0</v>
      </c>
      <c r="G93" s="47">
        <f>SUMIFS(InputResearch[Engineering Fed],InputResearch[Institution Name],ListTAMUS[[#This Row],[Institution Name]])+SUMIFS(InputResearch[Engineering St. Approp.],InputResearch[Institution Name],ListTAMUS[[#This Row],[Institution Name]])+SUMIFS(InputResearch[Engineering St. C&amp;G],InputResearch[Institution Name],ListTAMUS[[#This Row],[Institution Name]])+SUMIFS(InputResearch[Engineering Inst Res],InputResearch[Institution Name],ListTAMUS[[#This Row],[Institution Name]])+SUMIFS(InputResearch[Engineering PFP],InputResearch[Institution Name],ListTAMUS[[#This Row],[Institution Name]])+SUMIFS(InputResearch[Engineering PNP],InputResearch[Institution Name],ListTAMUS[[#This Row],[Institution Name]])</f>
        <v>0</v>
      </c>
      <c r="H93" s="47">
        <f>SUMIFS(InputResearch[Env Sci. Fed],InputResearch[Institution Name],ListTAMUS[[#This Row],[Institution Name]])+SUMIFS(InputResearch[Env Sci. St. Approp.],InputResearch[Institution Name],ListTAMUS[[#This Row],[Institution Name]])+SUMIFS(InputResearch[Env Sci. St. C&amp;G],InputResearch[Institution Name],ListTAMUS[[#This Row],[Institution Name]])+SUMIFS(InputResearch[Env Sci. Inst Res],InputResearch[Institution Name],ListTAMUS[[#This Row],[Institution Name]])+SUMIFS(InputResearch[Env Sci. PFP],InputResearch[Institution Name],ListTAMUS[[#This Row],[Institution Name]])+SUMIFS(InputResearch[Env Sci. PNP],InputResearch[Institution Name],ListTAMUS[[#This Row],[Institution Name]])</f>
        <v>0</v>
      </c>
      <c r="I93" s="47">
        <f>SUMIFS(InputResearch[Math Fed],InputResearch[Institution Name],ListTAMUS[[#This Row],[Institution Name]])+SUMIFS(InputResearch[Math St. Approp.],InputResearch[Institution Name],ListTAMUS[[#This Row],[Institution Name]])+SUMIFS(InputResearch[Math St. C&amp;G],InputResearch[Institution Name],ListTAMUS[[#This Row],[Institution Name]])+SUMIFS(InputResearch[Math Inst Res],InputResearch[Institution Name],ListTAMUS[[#This Row],[Institution Name]])+SUMIFS(InputResearch[Math PFP],InputResearch[Institution Name],ListTAMUS[[#This Row],[Institution Name]])+SUMIFS(InputResearch[Math PNP],InputResearch[Institution Name],ListTAMUS[[#This Row],[Institution Name]])</f>
        <v>0</v>
      </c>
      <c r="J93" s="47">
        <f>SUMIFS(InputResearch[Medical Fed],InputResearch[Institution Name],ListTAMUS[[#This Row],[Institution Name]])+SUMIFS(InputResearch[Medical St. Approp.],InputResearch[Institution Name],ListTAMUS[[#This Row],[Institution Name]])+SUMIFS(InputResearch[Medical St. C&amp;G],InputResearch[Institution Name],ListTAMUS[[#This Row],[Institution Name]])+SUMIFS(InputResearch[Medical Inst Res],InputResearch[Institution Name],ListTAMUS[[#This Row],[Institution Name]])+SUMIFS(InputResearch[Medical PFP],InputResearch[Institution Name],ListTAMUS[[#This Row],[Institution Name]])+SUMIFS(InputResearch[Medical PNP],InputResearch[Institution Name],ListTAMUS[[#This Row],[Institution Name]])</f>
        <v>0</v>
      </c>
      <c r="K93" s="47">
        <f>SUMIFS(InputResearch[Physical Sci. Fed],InputResearch[Institution Name],ListTAMUS[[#This Row],[Institution Name]])+SUMIFS(InputResearch[Physical Sci. St. Approp.],InputResearch[Institution Name],ListTAMUS[[#This Row],[Institution Name]])+SUMIFS(InputResearch[Physical Sci. St. C&amp;G],InputResearch[Institution Name],ListTAMUS[[#This Row],[Institution Name]])+SUMIFS(InputResearch[Physical Sci. Inst Res],InputResearch[Institution Name],ListTAMUS[[#This Row],[Institution Name]])+SUMIFS(InputResearch[Physical Sci. PFP],InputResearch[Institution Name],ListTAMUS[[#This Row],[Institution Name]])+SUMIFS(InputResearch[Physical Sci. PNP],InputResearch[Institution Name],ListTAMUS[[#This Row],[Institution Name]])</f>
        <v>0</v>
      </c>
      <c r="L93" s="47">
        <f>SUMIFS(InputResearch[Psychology Fed],InputResearch[Institution Name],ListTAMUS[[#This Row],[Institution Name]])+SUMIFS(InputResearch[Psychology St. Approp.],InputResearch[Institution Name],ListTAMUS[[#This Row],[Institution Name]])+SUMIFS(InputResearch[Psychology St. C&amp;G],InputResearch[Institution Name],ListTAMUS[[#This Row],[Institution Name]])+SUMIFS(InputResearch[Psychology Inst Res],InputResearch[Institution Name],ListTAMUS[[#This Row],[Institution Name]])+SUMIFS(InputResearch[Psychology PFP],InputResearch[Institution Name],ListTAMUS[[#This Row],[Institution Name]])+SUMIFS(InputResearch[Psychology PNP],InputResearch[Institution Name],ListTAMUS[[#This Row],[Institution Name]])</f>
        <v>0</v>
      </c>
      <c r="M93" s="47">
        <f>SUMIFS(InputResearch[Social Sci. Fed],InputResearch[Institution Name],ListTAMUS[[#This Row],[Institution Name]])+SUMIFS(InputResearch[Social Sci. St. Approp.],InputResearch[Institution Name],ListTAMUS[[#This Row],[Institution Name]])+SUMIFS(InputResearch[Social Sci. St. C&amp;G],InputResearch[Institution Name],ListTAMUS[[#This Row],[Institution Name]])+SUMIFS(InputResearch[Social Sci. Inst Res],InputResearch[Institution Name],ListTAMUS[[#This Row],[Institution Name]])+SUMIFS(InputResearch[Social Sci. PFP],InputResearch[Institution Name],ListTAMUS[[#This Row],[Institution Name]])+SUMIFS(InputResearch[Social Sci. PNP],InputResearch[Institution Name],ListTAMUS[[#This Row],[Institution Name]])</f>
        <v>0</v>
      </c>
      <c r="N93" s="47">
        <f>SUMIFS(InputResearch[Other Sci. Fed],InputResearch[Institution Name],ListTAMUS[[#This Row],[Institution Name]])+SUMIFS(InputResearch[Other Sci. St. Approp.],InputResearch[Institution Name],ListTAMUS[[#This Row],[Institution Name]])+SUMIFS(InputResearch[Other Sci. St. C&amp;G],InputResearch[Institution Name],ListTAMUS[[#This Row],[Institution Name]])+SUMIFS(InputResearch[Other Sci. Inst Res],InputResearch[Institution Name],ListTAMUS[[#This Row],[Institution Name]])+SUMIFS(InputResearch[Other Sci. PFP],InputResearch[Institution Name],ListTAMUS[[#This Row],[Institution Name]])+SUMIFS(InputResearch[Other Sci. PNP],InputResearch[Institution Name],ListTAMUS[[#This Row],[Institution Name]])</f>
        <v>0</v>
      </c>
      <c r="O93" s="47">
        <f>SUMIFS(InputResearch[Arts &amp; Humanities Fed],InputResearch[Institution Name],ListTAMUS[[#This Row],[Institution Name]])+SUMIFS(InputResearch[Arts &amp; Humanities St. Approp.],InputResearch[Institution Name],ListTAMUS[[#This Row],[Institution Name]])+SUMIFS(InputResearch[Arts &amp; Humanities St. C&amp;G],InputResearch[Institution Name],ListTAMUS[[#This Row],[Institution Name]])+SUMIFS(InputResearch[Arts &amp; Humanities Inst Res],InputResearch[Institution Name],ListTAMUS[[#This Row],[Institution Name]])+SUMIFS(InputResearch[Arts &amp; Humanities PFP],InputResearch[Institution Name],ListTAMUS[[#This Row],[Institution Name]])+SUMIFS(InputResearch[Arts &amp; Humanities PNP],InputResearch[Institution Name],ListTAMUS[[#This Row],[Institution Name]])</f>
        <v>0</v>
      </c>
      <c r="P93" s="47">
        <f>SUMIFS(InputResearch[Business Fed],InputResearch[Institution Name],ListTAMUS[[#This Row],[Institution Name]])+SUMIFS(InputResearch[Business St. Approp.],InputResearch[Institution Name],ListTAMUS[[#This Row],[Institution Name]])+SUMIFS(InputResearch[Business St. C&amp;G],InputResearch[Institution Name],ListTAMUS[[#This Row],[Institution Name]])+SUMIFS(InputResearch[Business Inst Res],InputResearch[Institution Name],ListTAMUS[[#This Row],[Institution Name]])+SUMIFS(InputResearch[Business PFP],InputResearch[Institution Name],ListTAMUS[[#This Row],[Institution Name]])+SUMIFS(InputResearch[Business PNP],InputResearch[Institution Name],ListTAMUS[[#This Row],[Institution Name]])</f>
        <v>0</v>
      </c>
      <c r="Q93" s="47">
        <f>SUMIFS(InputResearch[Education Fed],InputResearch[Institution Name],ListTAMUS[[#This Row],[Institution Name]])+SUMIFS(InputResearch[Education St. Approp.],InputResearch[Institution Name],ListTAMUS[[#This Row],[Institution Name]])+SUMIFS(InputResearch[Education St. C&amp;G],InputResearch[Institution Name],ListTAMUS[[#This Row],[Institution Name]])+SUMIFS(InputResearch[Education Inst Res],InputResearch[Institution Name],ListTAMUS[[#This Row],[Institution Name]])+SUMIFS(InputResearch[Education PFP],InputResearch[Institution Name],ListTAMUS[[#This Row],[Institution Name]])+SUMIFS(InputResearch[Education PNP],InputResearch[Institution Name],ListTAMUS[[#This Row],[Institution Name]])</f>
        <v>0</v>
      </c>
      <c r="R93" s="47">
        <f>SUMIFS(InputResearch[Law Fed],InputResearch[Institution Name],ListTAMUS[[#This Row],[Institution Name]])+SUMIFS(InputResearch[Law St. Approp.],InputResearch[Institution Name],ListTAMUS[[#This Row],[Institution Name]])+SUMIFS(InputResearch[Law St. C&amp;G],InputResearch[Institution Name],ListTAMUS[[#This Row],[Institution Name]])+SUMIFS(InputResearch[Law Inst Res],InputResearch[Institution Name],ListTAMUS[[#This Row],[Institution Name]])+SUMIFS(InputResearch[Law PFP],InputResearch[Institution Name],ListTAMUS[[#This Row],[Institution Name]])+SUMIFS(InputResearch[Law PNP],InputResearch[Institution Name],ListTAMUS[[#This Row],[Institution Name]])</f>
        <v>0</v>
      </c>
      <c r="S93" s="47">
        <f>SUMIFS(InputResearch[Other Non-Sci. Fed],InputResearch[Institution Name],ListTAMUS[[#This Row],[Institution Name]])+SUMIFS(InputResearch[Other Non-Sci. St. Approp.],InputResearch[Institution Name],ListTAMUS[[#This Row],[Institution Name]])+SUMIFS(InputResearch[Other Non-Sci. St. C&amp;G],InputResearch[Institution Name],ListTAMUS[[#This Row],[Institution Name]])+SUMIFS(InputResearch[Other Non-Sci. Inst Res],InputResearch[Institution Name],ListTAMUS[[#This Row],[Institution Name]])+SUMIFS(InputResearch[Other Non-Sci. PFP],InputResearch[Institution Name],ListTAMUS[[#This Row],[Institution Name]])+SUMIFS(InputResearch[Other Non-Sci. PNP],InputResearch[Institution Name],ListTAMUS[[#This Row],[Institution Name]])</f>
        <v>0</v>
      </c>
      <c r="T93" s="94"/>
    </row>
    <row r="94" spans="1:20">
      <c r="A94" s="93"/>
      <c r="B94" s="228"/>
      <c r="C94" s="286"/>
      <c r="D94" s="310">
        <f>SUBTOTAL(109,ListTAMUS[Agricultural 
Sciences])</f>
        <v>222321737</v>
      </c>
      <c r="E94" s="310">
        <f>SUBTOTAL(109,ListTAMUS[Biological &amp; Other 
Life Sciences])</f>
        <v>112450212</v>
      </c>
      <c r="F94" s="310">
        <f>SUBTOTAL(109,ListTAMUS[Computer 
Science])</f>
        <v>22839667</v>
      </c>
      <c r="G94" s="310">
        <f>SUBTOTAL(109,ListTAMUS[Engineering])</f>
        <v>398936287</v>
      </c>
      <c r="H94" s="310">
        <f>SUBTOTAL(109,ListTAMUS[Environmental 
Sciences])</f>
        <v>109908407</v>
      </c>
      <c r="I94" s="310">
        <f>SUBTOTAL(109,ListTAMUS[Mathematical 
Sciences])</f>
        <v>8322319</v>
      </c>
      <c r="J94" s="310">
        <f>SUBTOTAL(109,ListTAMUS[Medical 
Sciences])</f>
        <v>14092475</v>
      </c>
      <c r="K94" s="310">
        <f>SUBTOTAL(109,ListTAMUS[Physical 
Sciences])</f>
        <v>57585661</v>
      </c>
      <c r="L94" s="310">
        <f>SUBTOTAL(109,ListTAMUS[Psychology])</f>
        <v>8109830</v>
      </c>
      <c r="M94" s="310">
        <f>SUBTOTAL(109,ListTAMUS[Social Sciences])</f>
        <v>22204306</v>
      </c>
      <c r="N94" s="310">
        <f>SUBTOTAL(109,ListTAMUS[Other Sciences not 
classified above])</f>
        <v>12752520</v>
      </c>
      <c r="O94" s="310">
        <f>SUBTOTAL(109,ListTAMUS[Arts &amp; 
Humanities])</f>
        <v>2307102</v>
      </c>
      <c r="P94" s="310">
        <f>SUBTOTAL(109,ListTAMUS[Business 
Administration])</f>
        <v>9497088</v>
      </c>
      <c r="Q94" s="310">
        <f>SUBTOTAL(109,ListTAMUS[Education])</f>
        <v>27361618</v>
      </c>
      <c r="R94" s="310">
        <f>SUBTOTAL(109,ListTAMUS[Law])</f>
        <v>337938</v>
      </c>
      <c r="S94" s="310">
        <f>SUBTOTAL(109,ListTAMUS[Other Non-Science 
Activities])</f>
        <v>10564425</v>
      </c>
      <c r="T94" s="94"/>
    </row>
    <row r="95" spans="1:20">
      <c r="A95" s="91"/>
      <c r="B95" s="92"/>
      <c r="C95" s="92"/>
      <c r="D95" s="92"/>
      <c r="E95" s="92"/>
      <c r="F95" s="92"/>
      <c r="G95" s="92"/>
      <c r="H95" s="92"/>
      <c r="I95" s="92"/>
      <c r="J95" s="92"/>
      <c r="K95" s="92"/>
      <c r="L95" s="92"/>
      <c r="M95" s="92"/>
      <c r="N95" s="92"/>
      <c r="O95" s="92"/>
      <c r="P95" s="92"/>
      <c r="Q95" s="92"/>
      <c r="R95" s="92"/>
      <c r="S95" s="94"/>
      <c r="T95" s="94"/>
    </row>
    <row r="96" spans="1:20" ht="33" customHeight="1">
      <c r="A96" s="439" t="s">
        <v>843</v>
      </c>
      <c r="B96" s="440"/>
      <c r="C96" s="440"/>
      <c r="D96" s="440"/>
      <c r="E96" s="440"/>
      <c r="F96" s="440"/>
      <c r="G96" s="440"/>
      <c r="H96" s="440"/>
      <c r="I96" s="440"/>
      <c r="J96" s="440"/>
      <c r="K96" s="440"/>
      <c r="L96" s="440"/>
      <c r="M96" s="440"/>
      <c r="N96" s="440"/>
      <c r="O96" s="440"/>
      <c r="P96" s="440"/>
      <c r="Q96" s="440"/>
      <c r="R96" s="440"/>
      <c r="S96" s="440"/>
      <c r="T96" s="94"/>
    </row>
    <row r="97" spans="1:20" ht="17.399999999999999">
      <c r="A97" s="438">
        <f>Hidden!$A$4</f>
        <v>45412</v>
      </c>
      <c r="B97" s="438"/>
      <c r="C97" s="438"/>
      <c r="D97" s="438"/>
      <c r="E97" s="438"/>
      <c r="F97" s="438"/>
      <c r="G97" s="438"/>
      <c r="H97" s="438"/>
      <c r="I97" s="438"/>
      <c r="J97" s="438"/>
      <c r="K97" s="438"/>
      <c r="L97" s="438"/>
      <c r="M97" s="438"/>
      <c r="N97" s="438"/>
      <c r="O97" s="438"/>
      <c r="P97" s="438"/>
      <c r="Q97" s="438"/>
      <c r="R97" s="438"/>
      <c r="S97" s="438"/>
      <c r="T97" s="94"/>
    </row>
    <row r="98" spans="1:20" ht="17.399999999999999">
      <c r="A98" s="123"/>
      <c r="B98" s="123"/>
      <c r="C98" s="123"/>
      <c r="D98" s="123"/>
      <c r="E98" s="123"/>
      <c r="F98" s="123"/>
      <c r="G98" s="123"/>
      <c r="H98" s="123"/>
      <c r="I98" s="123"/>
      <c r="J98" s="123"/>
      <c r="K98" s="123"/>
      <c r="L98" s="123"/>
      <c r="M98" s="123"/>
      <c r="N98" s="123"/>
      <c r="O98" s="123"/>
      <c r="P98" s="123"/>
      <c r="Q98" s="123"/>
      <c r="R98" s="123"/>
      <c r="S98" s="123"/>
      <c r="T98" s="94"/>
    </row>
    <row r="99" spans="1:20" ht="30">
      <c r="A99" s="79" t="s">
        <v>1</v>
      </c>
      <c r="B99" s="80" t="s">
        <v>889</v>
      </c>
      <c r="C99" s="283" t="s">
        <v>2</v>
      </c>
      <c r="D99" s="114" t="s">
        <v>869</v>
      </c>
      <c r="E99" s="114" t="s">
        <v>870</v>
      </c>
      <c r="F99" s="114" t="s">
        <v>861</v>
      </c>
      <c r="G99" s="44" t="s">
        <v>87</v>
      </c>
      <c r="H99" s="114" t="s">
        <v>862</v>
      </c>
      <c r="I99" s="114" t="s">
        <v>863</v>
      </c>
      <c r="J99" s="114" t="s">
        <v>864</v>
      </c>
      <c r="K99" s="114" t="s">
        <v>865</v>
      </c>
      <c r="L99" s="44" t="s">
        <v>92</v>
      </c>
      <c r="M99" s="114" t="s">
        <v>872</v>
      </c>
      <c r="N99" s="114" t="s">
        <v>866</v>
      </c>
      <c r="O99" s="114" t="s">
        <v>871</v>
      </c>
      <c r="P99" s="114" t="s">
        <v>867</v>
      </c>
      <c r="Q99" s="44" t="s">
        <v>97</v>
      </c>
      <c r="R99" s="44" t="s">
        <v>98</v>
      </c>
      <c r="S99" s="114" t="s">
        <v>868</v>
      </c>
      <c r="T99" s="94"/>
    </row>
    <row r="100" spans="1:20">
      <c r="A100" s="93" t="s">
        <v>825</v>
      </c>
      <c r="B100" s="228">
        <f>VLOOKUP(ListUNIVM[[#This Row],[Institution Name]],InputResearch[],3,FALSE)</f>
        <v>50</v>
      </c>
      <c r="C100" s="284">
        <v>3658</v>
      </c>
      <c r="D100" s="285">
        <f>SUMIFS(InputResearch[Agricultural Sci. Fed],InputResearch[Institution Name],ListUNIVM[[#This Row],[Institution Name]])+SUMIFS(InputResearch[Agricultural Sci. St. Approp.],InputResearch[Institution Name],ListUNIVM[[#This Row],[Institution Name]])+SUMIFS(InputResearch[Agricultural Sci. St. C&amp;G],InputResearch[Institution Name],ListUNIVM[[#This Row],[Institution Name]])+SUMIFS(InputResearch[Agricultural Sci. Inst Res],InputResearch[Institution Name],ListUNIVM[[#This Row],[Institution Name]])+SUMIFS(InputResearch[Agricultural Sci. PFP],InputResearch[Institution Name],ListUNIVM[[#This Row],[Institution Name]])+SUMIFS(InputResearch[Agricultural Sci. PNP],InputResearch[Institution Name],ListUNIVM[[#This Row],[Institution Name]])</f>
        <v>92434</v>
      </c>
      <c r="E100" s="285">
        <f>SUMIFS(InputResearch[Biological &amp; Other Life Sci. Fed],InputResearch[Institution Name],ListUNIVM[[#This Row],[Institution Name]])+SUMIFS(InputResearch[Biological &amp; Other Life Sci. St. Approp.],InputResearch[Institution Name],ListUNIVM[[#This Row],[Institution Name]])+SUMIFS(InputResearch[Biological &amp; Other Life Sci. St. C&amp;G],InputResearch[Institution Name],ListUNIVM[[#This Row],[Institution Name]])+SUMIFS(InputResearch[Biological &amp; Other Life Sci. Inst Res],InputResearch[Institution Name],ListUNIVM[[#This Row],[Institution Name]])+SUMIFS(InputResearch[Biological &amp; Other Life Sci. PFP],InputResearch[Institution Name],ListUNIVM[[#This Row],[Institution Name]])+SUMIFS(InputResearch[Biological &amp; Other Life Sci. PNP],InputResearch[Institution Name],ListUNIVM[[#This Row],[Institution Name]])</f>
        <v>84091321</v>
      </c>
      <c r="F100" s="285">
        <f>SUMIFS(InputResearch[Comp. Sci. Fed],InputResearch[Institution Name],ListUNIVM[[#This Row],[Institution Name]])+SUMIFS(InputResearch[Comp. Sci. St. Approp.],InputResearch[Institution Name],ListUNIVM[[#This Row],[Institution Name]])+SUMIFS(InputResearch[Comp. Sci. St. C&amp;G],InputResearch[Institution Name],ListUNIVM[[#This Row],[Institution Name]])+SUMIFS(InputResearch[Comp. Sci. Inst Res],InputResearch[Institution Name],ListUNIVM[[#This Row],[Institution Name]])+SUMIFS(InputResearch[Comp. Sci. PFP],InputResearch[Institution Name],ListUNIVM[[#This Row],[Institution Name]])+SUMIFS(InputResearch[Comp. Sci. PNP],InputResearch[Institution Name],ListUNIVM[[#This Row],[Institution Name]])</f>
        <v>69695496</v>
      </c>
      <c r="G100" s="285">
        <f>SUMIFS(InputResearch[Engineering Fed],InputResearch[Institution Name],ListUNIVM[[#This Row],[Institution Name]])+SUMIFS(InputResearch[Engineering St. Approp.],InputResearch[Institution Name],ListUNIVM[[#This Row],[Institution Name]])+SUMIFS(InputResearch[Engineering St. C&amp;G],InputResearch[Institution Name],ListUNIVM[[#This Row],[Institution Name]])+SUMIFS(InputResearch[Engineering Inst Res],InputResearch[Institution Name],ListUNIVM[[#This Row],[Institution Name]])+SUMIFS(InputResearch[Engineering PFP],InputResearch[Institution Name],ListUNIVM[[#This Row],[Institution Name]])+SUMIFS(InputResearch[Engineering PNP],InputResearch[Institution Name],ListUNIVM[[#This Row],[Institution Name]])</f>
        <v>430487881</v>
      </c>
      <c r="H100" s="285">
        <f>SUMIFS(InputResearch[Env Sci. Fed],InputResearch[Institution Name],ListUNIVM[[#This Row],[Institution Name]])+SUMIFS(InputResearch[Env Sci. St. Approp.],InputResearch[Institution Name],ListUNIVM[[#This Row],[Institution Name]])+SUMIFS(InputResearch[Env Sci. St. C&amp;G],InputResearch[Institution Name],ListUNIVM[[#This Row],[Institution Name]])+SUMIFS(InputResearch[Env Sci. Inst Res],InputResearch[Institution Name],ListUNIVM[[#This Row],[Institution Name]])+SUMIFS(InputResearch[Env Sci. PFP],InputResearch[Institution Name],ListUNIVM[[#This Row],[Institution Name]])+SUMIFS(InputResearch[Env Sci. PNP],InputResearch[Institution Name],ListUNIVM[[#This Row],[Institution Name]])</f>
        <v>40913421</v>
      </c>
      <c r="I100" s="285">
        <f>SUMIFS(InputResearch[Math Fed],InputResearch[Institution Name],ListUNIVM[[#This Row],[Institution Name]])+SUMIFS(InputResearch[Math St. Approp.],InputResearch[Institution Name],ListUNIVM[[#This Row],[Institution Name]])+SUMIFS(InputResearch[Math St. C&amp;G],InputResearch[Institution Name],ListUNIVM[[#This Row],[Institution Name]])+SUMIFS(InputResearch[Math Inst Res],InputResearch[Institution Name],ListUNIVM[[#This Row],[Institution Name]])+SUMIFS(InputResearch[Math PFP],InputResearch[Institution Name],ListUNIVM[[#This Row],[Institution Name]])+SUMIFS(InputResearch[Math PNP],InputResearch[Institution Name],ListUNIVM[[#This Row],[Institution Name]])</f>
        <v>39569288</v>
      </c>
      <c r="J100" s="285">
        <f>SUMIFS(InputResearch[Medical Fed],InputResearch[Institution Name],ListUNIVM[[#This Row],[Institution Name]])+SUMIFS(InputResearch[Medical St. Approp.],InputResearch[Institution Name],ListUNIVM[[#This Row],[Institution Name]])+SUMIFS(InputResearch[Medical St. C&amp;G],InputResearch[Institution Name],ListUNIVM[[#This Row],[Institution Name]])+SUMIFS(InputResearch[Medical Inst Res],InputResearch[Institution Name],ListUNIVM[[#This Row],[Institution Name]])+SUMIFS(InputResearch[Medical PFP],InputResearch[Institution Name],ListUNIVM[[#This Row],[Institution Name]])+SUMIFS(InputResearch[Medical PNP],InputResearch[Institution Name],ListUNIVM[[#This Row],[Institution Name]])</f>
        <v>79393331</v>
      </c>
      <c r="K100" s="285">
        <f>SUMIFS(InputResearch[Physical Sci. Fed],InputResearch[Institution Name],ListUNIVM[[#This Row],[Institution Name]])+SUMIFS(InputResearch[Physical Sci. St. Approp.],InputResearch[Institution Name],ListUNIVM[[#This Row],[Institution Name]])+SUMIFS(InputResearch[Physical Sci. St. C&amp;G],InputResearch[Institution Name],ListUNIVM[[#This Row],[Institution Name]])+SUMIFS(InputResearch[Physical Sci. Inst Res],InputResearch[Institution Name],ListUNIVM[[#This Row],[Institution Name]])+SUMIFS(InputResearch[Physical Sci. PFP],InputResearch[Institution Name],ListUNIVM[[#This Row],[Institution Name]])+SUMIFS(InputResearch[Physical Sci. PNP],InputResearch[Institution Name],ListUNIVM[[#This Row],[Institution Name]])</f>
        <v>61728573</v>
      </c>
      <c r="L100" s="285">
        <f>SUMIFS(InputResearch[Psychology Fed],InputResearch[Institution Name],ListUNIVM[[#This Row],[Institution Name]])+SUMIFS(InputResearch[Psychology St. Approp.],InputResearch[Institution Name],ListUNIVM[[#This Row],[Institution Name]])+SUMIFS(InputResearch[Psychology St. C&amp;G],InputResearch[Institution Name],ListUNIVM[[#This Row],[Institution Name]])+SUMIFS(InputResearch[Psychology Inst Res],InputResearch[Institution Name],ListUNIVM[[#This Row],[Institution Name]])+SUMIFS(InputResearch[Psychology PFP],InputResearch[Institution Name],ListUNIVM[[#This Row],[Institution Name]])+SUMIFS(InputResearch[Psychology PNP],InputResearch[Institution Name],ListUNIVM[[#This Row],[Institution Name]])</f>
        <v>14700719</v>
      </c>
      <c r="M100" s="285">
        <f>SUMIFS(InputResearch[Social Sci. Fed],InputResearch[Institution Name],ListUNIVM[[#This Row],[Institution Name]])+SUMIFS(InputResearch[Social Sci. St. Approp.],InputResearch[Institution Name],ListUNIVM[[#This Row],[Institution Name]])+SUMIFS(InputResearch[Social Sci. St. C&amp;G],InputResearch[Institution Name],ListUNIVM[[#This Row],[Institution Name]])+SUMIFS(InputResearch[Social Sci. Inst Res],InputResearch[Institution Name],ListUNIVM[[#This Row],[Institution Name]])+SUMIFS(InputResearch[Social Sci. PFP],InputResearch[Institution Name],ListUNIVM[[#This Row],[Institution Name]])+SUMIFS(InputResearch[Social Sci. PNP],InputResearch[Institution Name],ListUNIVM[[#This Row],[Institution Name]])</f>
        <v>39800328</v>
      </c>
      <c r="N100" s="285">
        <f>SUMIFS(InputResearch[Other Sci. Fed],InputResearch[Institution Name],ListUNIVM[[#This Row],[Institution Name]])+SUMIFS(InputResearch[Other Sci. St. Approp.],InputResearch[Institution Name],ListUNIVM[[#This Row],[Institution Name]])+SUMIFS(InputResearch[Other Sci. St. C&amp;G],InputResearch[Institution Name],ListUNIVM[[#This Row],[Institution Name]])+SUMIFS(InputResearch[Other Sci. Inst Res],InputResearch[Institution Name],ListUNIVM[[#This Row],[Institution Name]])+SUMIFS(InputResearch[Other Sci. PFP],InputResearch[Institution Name],ListUNIVM[[#This Row],[Institution Name]])+SUMIFS(InputResearch[Other Sci. PNP],InputResearch[Institution Name],ListUNIVM[[#This Row],[Institution Name]])</f>
        <v>5999111</v>
      </c>
      <c r="O100" s="285">
        <f>SUMIFS(InputResearch[Arts &amp; Humanities Fed],InputResearch[Institution Name],ListUNIVM[[#This Row],[Institution Name]])+SUMIFS(InputResearch[Arts &amp; Humanities St. Approp.],InputResearch[Institution Name],ListUNIVM[[#This Row],[Institution Name]])+SUMIFS(InputResearch[Arts &amp; Humanities St. C&amp;G],InputResearch[Institution Name],ListUNIVM[[#This Row],[Institution Name]])+SUMIFS(InputResearch[Arts &amp; Humanities Inst Res],InputResearch[Institution Name],ListUNIVM[[#This Row],[Institution Name]])+SUMIFS(InputResearch[Arts &amp; Humanities PFP],InputResearch[Institution Name],ListUNIVM[[#This Row],[Institution Name]])+SUMIFS(InputResearch[Arts &amp; Humanities PNP],InputResearch[Institution Name],ListUNIVM[[#This Row],[Institution Name]])</f>
        <v>6060807</v>
      </c>
      <c r="P100" s="285">
        <f>SUMIFS(InputResearch[Business Fed],InputResearch[Institution Name],ListUNIVM[[#This Row],[Institution Name]])+SUMIFS(InputResearch[Business St. Approp.],InputResearch[Institution Name],ListUNIVM[[#This Row],[Institution Name]])+SUMIFS(InputResearch[Business St. C&amp;G],InputResearch[Institution Name],ListUNIVM[[#This Row],[Institution Name]])+SUMIFS(InputResearch[Business Inst Res],InputResearch[Institution Name],ListUNIVM[[#This Row],[Institution Name]])+SUMIFS(InputResearch[Business PFP],InputResearch[Institution Name],ListUNIVM[[#This Row],[Institution Name]])+SUMIFS(InputResearch[Business PNP],InputResearch[Institution Name],ListUNIVM[[#This Row],[Institution Name]])</f>
        <v>3807253</v>
      </c>
      <c r="Q100" s="285">
        <f>SUMIFS(InputResearch[Education Fed],InputResearch[Institution Name],ListUNIVM[[#This Row],[Institution Name]])+SUMIFS(InputResearch[Education St. Approp.],InputResearch[Institution Name],ListUNIVM[[#This Row],[Institution Name]])+SUMIFS(InputResearch[Education St. C&amp;G],InputResearch[Institution Name],ListUNIVM[[#This Row],[Institution Name]])+SUMIFS(InputResearch[Education Inst Res],InputResearch[Institution Name],ListUNIVM[[#This Row],[Institution Name]])+SUMIFS(InputResearch[Education PFP],InputResearch[Institution Name],ListUNIVM[[#This Row],[Institution Name]])+SUMIFS(InputResearch[Education PNP],InputResearch[Institution Name],ListUNIVM[[#This Row],[Institution Name]])</f>
        <v>25074941</v>
      </c>
      <c r="R100" s="285">
        <f>SUMIFS(InputResearch[Law Fed],InputResearch[Institution Name],ListUNIVM[[#This Row],[Institution Name]])+SUMIFS(InputResearch[Law St. Approp.],InputResearch[Institution Name],ListUNIVM[[#This Row],[Institution Name]])+SUMIFS(InputResearch[Law St. C&amp;G],InputResearch[Institution Name],ListUNIVM[[#This Row],[Institution Name]])+SUMIFS(InputResearch[Law Inst Res],InputResearch[Institution Name],ListUNIVM[[#This Row],[Institution Name]])+SUMIFS(InputResearch[Law PFP],InputResearch[Institution Name],ListUNIVM[[#This Row],[Institution Name]])+SUMIFS(InputResearch[Law PNP],InputResearch[Institution Name],ListUNIVM[[#This Row],[Institution Name]])</f>
        <v>7205252</v>
      </c>
      <c r="S100" s="285">
        <f>SUMIFS(InputResearch[Other Non-Sci. Fed],InputResearch[Institution Name],ListUNIVM[[#This Row],[Institution Name]])+SUMIFS(InputResearch[Other Non-Sci. St. Approp.],InputResearch[Institution Name],ListUNIVM[[#This Row],[Institution Name]])+SUMIFS(InputResearch[Other Non-Sci. St. C&amp;G],InputResearch[Institution Name],ListUNIVM[[#This Row],[Institution Name]])+SUMIFS(InputResearch[Other Non-Sci. Inst Res],InputResearch[Institution Name],ListUNIVM[[#This Row],[Institution Name]])+SUMIFS(InputResearch[Other Non-Sci. PFP],InputResearch[Institution Name],ListUNIVM[[#This Row],[Institution Name]])+SUMIFS(InputResearch[Other Non-Sci. PNP],InputResearch[Institution Name],ListUNIVM[[#This Row],[Institution Name]])</f>
        <v>47994729</v>
      </c>
      <c r="T100" s="94"/>
    </row>
    <row r="101" spans="1:20">
      <c r="A101" s="93" t="s">
        <v>826</v>
      </c>
      <c r="B101" s="228">
        <f>VLOOKUP(ListUNIVM[[#This Row],[Institution Name]],InputResearch[],3,FALSE)</f>
        <v>90</v>
      </c>
      <c r="C101" s="284">
        <v>3599</v>
      </c>
      <c r="D101" s="47">
        <f>SUMIFS(InputResearch[Agricultural Sci. Fed],InputResearch[Institution Name],ListUNIVM[[#This Row],[Institution Name]])+SUMIFS(InputResearch[Agricultural Sci. St. Approp.],InputResearch[Institution Name],ListUNIVM[[#This Row],[Institution Name]])+SUMIFS(InputResearch[Agricultural Sci. St. C&amp;G],InputResearch[Institution Name],ListUNIVM[[#This Row],[Institution Name]])+SUMIFS(InputResearch[Agricultural Sci. Inst Res],InputResearch[Institution Name],ListUNIVM[[#This Row],[Institution Name]])+SUMIFS(InputResearch[Agricultural Sci. PFP],InputResearch[Institution Name],ListUNIVM[[#This Row],[Institution Name]])+SUMIFS(InputResearch[Agricultural Sci. PNP],InputResearch[Institution Name],ListUNIVM[[#This Row],[Institution Name]])</f>
        <v>1010979</v>
      </c>
      <c r="E101" s="47">
        <f>SUMIFS(InputResearch[Biological &amp; Other Life Sci. Fed],InputResearch[Institution Name],ListUNIVM[[#This Row],[Institution Name]])+SUMIFS(InputResearch[Biological &amp; Other Life Sci. St. Approp.],InputResearch[Institution Name],ListUNIVM[[#This Row],[Institution Name]])+SUMIFS(InputResearch[Biological &amp; Other Life Sci. St. C&amp;G],InputResearch[Institution Name],ListUNIVM[[#This Row],[Institution Name]])+SUMIFS(InputResearch[Biological &amp; Other Life Sci. Inst Res],InputResearch[Institution Name],ListUNIVM[[#This Row],[Institution Name]])+SUMIFS(InputResearch[Biological &amp; Other Life Sci. PFP],InputResearch[Institution Name],ListUNIVM[[#This Row],[Institution Name]])+SUMIFS(InputResearch[Biological &amp; Other Life Sci. PNP],InputResearch[Institution Name],ListUNIVM[[#This Row],[Institution Name]])</f>
        <v>3367605</v>
      </c>
      <c r="F101" s="47">
        <f>SUMIFS(InputResearch[Comp. Sci. Fed],InputResearch[Institution Name],ListUNIVM[[#This Row],[Institution Name]])+SUMIFS(InputResearch[Comp. Sci. St. Approp.],InputResearch[Institution Name],ListUNIVM[[#This Row],[Institution Name]])+SUMIFS(InputResearch[Comp. Sci. St. C&amp;G],InputResearch[Institution Name],ListUNIVM[[#This Row],[Institution Name]])+SUMIFS(InputResearch[Comp. Sci. Inst Res],InputResearch[Institution Name],ListUNIVM[[#This Row],[Institution Name]])+SUMIFS(InputResearch[Comp. Sci. PFP],InputResearch[Institution Name],ListUNIVM[[#This Row],[Institution Name]])+SUMIFS(InputResearch[Comp. Sci. PNP],InputResearch[Institution Name],ListUNIVM[[#This Row],[Institution Name]])</f>
        <v>1517225</v>
      </c>
      <c r="G101" s="47">
        <f>SUMIFS(InputResearch[Engineering Fed],InputResearch[Institution Name],ListUNIVM[[#This Row],[Institution Name]])+SUMIFS(InputResearch[Engineering St. Approp.],InputResearch[Institution Name],ListUNIVM[[#This Row],[Institution Name]])+SUMIFS(InputResearch[Engineering St. C&amp;G],InputResearch[Institution Name],ListUNIVM[[#This Row],[Institution Name]])+SUMIFS(InputResearch[Engineering Inst Res],InputResearch[Institution Name],ListUNIVM[[#This Row],[Institution Name]])+SUMIFS(InputResearch[Engineering PFP],InputResearch[Institution Name],ListUNIVM[[#This Row],[Institution Name]])+SUMIFS(InputResearch[Engineering PNP],InputResearch[Institution Name],ListUNIVM[[#This Row],[Institution Name]])</f>
        <v>8631179</v>
      </c>
      <c r="H101" s="47">
        <f>SUMIFS(InputResearch[Env Sci. Fed],InputResearch[Institution Name],ListUNIVM[[#This Row],[Institution Name]])+SUMIFS(InputResearch[Env Sci. St. Approp.],InputResearch[Institution Name],ListUNIVM[[#This Row],[Institution Name]])+SUMIFS(InputResearch[Env Sci. St. C&amp;G],InputResearch[Institution Name],ListUNIVM[[#This Row],[Institution Name]])+SUMIFS(InputResearch[Env Sci. Inst Res],InputResearch[Institution Name],ListUNIVM[[#This Row],[Institution Name]])+SUMIFS(InputResearch[Env Sci. PFP],InputResearch[Institution Name],ListUNIVM[[#This Row],[Institution Name]])+SUMIFS(InputResearch[Env Sci. PNP],InputResearch[Institution Name],ListUNIVM[[#This Row],[Institution Name]])</f>
        <v>2855471</v>
      </c>
      <c r="I101" s="47">
        <f>SUMIFS(InputResearch[Math Fed],InputResearch[Institution Name],ListUNIVM[[#This Row],[Institution Name]])+SUMIFS(InputResearch[Math St. Approp.],InputResearch[Institution Name],ListUNIVM[[#This Row],[Institution Name]])+SUMIFS(InputResearch[Math St. C&amp;G],InputResearch[Institution Name],ListUNIVM[[#This Row],[Institution Name]])+SUMIFS(InputResearch[Math Inst Res],InputResearch[Institution Name],ListUNIVM[[#This Row],[Institution Name]])+SUMIFS(InputResearch[Math PFP],InputResearch[Institution Name],ListUNIVM[[#This Row],[Institution Name]])+SUMIFS(InputResearch[Math PNP],InputResearch[Institution Name],ListUNIVM[[#This Row],[Institution Name]])</f>
        <v>2791631</v>
      </c>
      <c r="J101" s="47">
        <f>SUMIFS(InputResearch[Medical Fed],InputResearch[Institution Name],ListUNIVM[[#This Row],[Institution Name]])+SUMIFS(InputResearch[Medical St. Approp.],InputResearch[Institution Name],ListUNIVM[[#This Row],[Institution Name]])+SUMIFS(InputResearch[Medical St. C&amp;G],InputResearch[Institution Name],ListUNIVM[[#This Row],[Institution Name]])+SUMIFS(InputResearch[Medical Inst Res],InputResearch[Institution Name],ListUNIVM[[#This Row],[Institution Name]])+SUMIFS(InputResearch[Medical PFP],InputResearch[Institution Name],ListUNIVM[[#This Row],[Institution Name]])+SUMIFS(InputResearch[Medical PNP],InputResearch[Institution Name],ListUNIVM[[#This Row],[Institution Name]])</f>
        <v>30540385</v>
      </c>
      <c r="K101" s="47">
        <f>SUMIFS(InputResearch[Physical Sci. Fed],InputResearch[Institution Name],ListUNIVM[[#This Row],[Institution Name]])+SUMIFS(InputResearch[Physical Sci. St. Approp.],InputResearch[Institution Name],ListUNIVM[[#This Row],[Institution Name]])+SUMIFS(InputResearch[Physical Sci. St. C&amp;G],InputResearch[Institution Name],ListUNIVM[[#This Row],[Institution Name]])+SUMIFS(InputResearch[Physical Sci. Inst Res],InputResearch[Institution Name],ListUNIVM[[#This Row],[Institution Name]])+SUMIFS(InputResearch[Physical Sci. PFP],InputResearch[Institution Name],ListUNIVM[[#This Row],[Institution Name]])+SUMIFS(InputResearch[Physical Sci. PNP],InputResearch[Institution Name],ListUNIVM[[#This Row],[Institution Name]])</f>
        <v>3361443</v>
      </c>
      <c r="L101" s="47">
        <f>SUMIFS(InputResearch[Psychology Fed],InputResearch[Institution Name],ListUNIVM[[#This Row],[Institution Name]])+SUMIFS(InputResearch[Psychology St. Approp.],InputResearch[Institution Name],ListUNIVM[[#This Row],[Institution Name]])+SUMIFS(InputResearch[Psychology St. C&amp;G],InputResearch[Institution Name],ListUNIVM[[#This Row],[Institution Name]])+SUMIFS(InputResearch[Psychology Inst Res],InputResearch[Institution Name],ListUNIVM[[#This Row],[Institution Name]])+SUMIFS(InputResearch[Psychology PFP],InputResearch[Institution Name],ListUNIVM[[#This Row],[Institution Name]])+SUMIFS(InputResearch[Psychology PNP],InputResearch[Institution Name],ListUNIVM[[#This Row],[Institution Name]])</f>
        <v>1722273</v>
      </c>
      <c r="M101" s="47">
        <f>SUMIFS(InputResearch[Social Sci. Fed],InputResearch[Institution Name],ListUNIVM[[#This Row],[Institution Name]])+SUMIFS(InputResearch[Social Sci. St. Approp.],InputResearch[Institution Name],ListUNIVM[[#This Row],[Institution Name]])+SUMIFS(InputResearch[Social Sci. St. C&amp;G],InputResearch[Institution Name],ListUNIVM[[#This Row],[Institution Name]])+SUMIFS(InputResearch[Social Sci. Inst Res],InputResearch[Institution Name],ListUNIVM[[#This Row],[Institution Name]])+SUMIFS(InputResearch[Social Sci. PFP],InputResearch[Institution Name],ListUNIVM[[#This Row],[Institution Name]])+SUMIFS(InputResearch[Social Sci. PNP],InputResearch[Institution Name],ListUNIVM[[#This Row],[Institution Name]])</f>
        <v>3328437</v>
      </c>
      <c r="N101" s="47">
        <f>SUMIFS(InputResearch[Other Sci. Fed],InputResearch[Institution Name],ListUNIVM[[#This Row],[Institution Name]])+SUMIFS(InputResearch[Other Sci. St. Approp.],InputResearch[Institution Name],ListUNIVM[[#This Row],[Institution Name]])+SUMIFS(InputResearch[Other Sci. St. C&amp;G],InputResearch[Institution Name],ListUNIVM[[#This Row],[Institution Name]])+SUMIFS(InputResearch[Other Sci. Inst Res],InputResearch[Institution Name],ListUNIVM[[#This Row],[Institution Name]])+SUMIFS(InputResearch[Other Sci. PFP],InputResearch[Institution Name],ListUNIVM[[#This Row],[Institution Name]])+SUMIFS(InputResearch[Other Sci. PNP],InputResearch[Institution Name],ListUNIVM[[#This Row],[Institution Name]])</f>
        <v>5038996</v>
      </c>
      <c r="O101" s="47">
        <f>SUMIFS(InputResearch[Arts &amp; Humanities Fed],InputResearch[Institution Name],ListUNIVM[[#This Row],[Institution Name]])+SUMIFS(InputResearch[Arts &amp; Humanities St. Approp.],InputResearch[Institution Name],ListUNIVM[[#This Row],[Institution Name]])+SUMIFS(InputResearch[Arts &amp; Humanities St. C&amp;G],InputResearch[Institution Name],ListUNIVM[[#This Row],[Institution Name]])+SUMIFS(InputResearch[Arts &amp; Humanities Inst Res],InputResearch[Institution Name],ListUNIVM[[#This Row],[Institution Name]])+SUMIFS(InputResearch[Arts &amp; Humanities PFP],InputResearch[Institution Name],ListUNIVM[[#This Row],[Institution Name]])+SUMIFS(InputResearch[Arts &amp; Humanities PNP],InputResearch[Institution Name],ListUNIVM[[#This Row],[Institution Name]])</f>
        <v>2845279</v>
      </c>
      <c r="P101" s="47">
        <f>SUMIFS(InputResearch[Business Fed],InputResearch[Institution Name],ListUNIVM[[#This Row],[Institution Name]])+SUMIFS(InputResearch[Business St. Approp.],InputResearch[Institution Name],ListUNIVM[[#This Row],[Institution Name]])+SUMIFS(InputResearch[Business St. C&amp;G],InputResearch[Institution Name],ListUNIVM[[#This Row],[Institution Name]])+SUMIFS(InputResearch[Business Inst Res],InputResearch[Institution Name],ListUNIVM[[#This Row],[Institution Name]])+SUMIFS(InputResearch[Business PFP],InputResearch[Institution Name],ListUNIVM[[#This Row],[Institution Name]])+SUMIFS(InputResearch[Business PNP],InputResearch[Institution Name],ListUNIVM[[#This Row],[Institution Name]])</f>
        <v>3403829</v>
      </c>
      <c r="Q101" s="47">
        <f>SUMIFS(InputResearch[Education Fed],InputResearch[Institution Name],ListUNIVM[[#This Row],[Institution Name]])+SUMIFS(InputResearch[Education St. Approp.],InputResearch[Institution Name],ListUNIVM[[#This Row],[Institution Name]])+SUMIFS(InputResearch[Education St. C&amp;G],InputResearch[Institution Name],ListUNIVM[[#This Row],[Institution Name]])+SUMIFS(InputResearch[Education Inst Res],InputResearch[Institution Name],ListUNIVM[[#This Row],[Institution Name]])+SUMIFS(InputResearch[Education PFP],InputResearch[Institution Name],ListUNIVM[[#This Row],[Institution Name]])+SUMIFS(InputResearch[Education PNP],InputResearch[Institution Name],ListUNIVM[[#This Row],[Institution Name]])</f>
        <v>3804157</v>
      </c>
      <c r="R101" s="47">
        <f>SUMIFS(InputResearch[Law Fed],InputResearch[Institution Name],ListUNIVM[[#This Row],[Institution Name]])+SUMIFS(InputResearch[Law St. Approp.],InputResearch[Institution Name],ListUNIVM[[#This Row],[Institution Name]])+SUMIFS(InputResearch[Law St. C&amp;G],InputResearch[Institution Name],ListUNIVM[[#This Row],[Institution Name]])+SUMIFS(InputResearch[Law Inst Res],InputResearch[Institution Name],ListUNIVM[[#This Row],[Institution Name]])+SUMIFS(InputResearch[Law PFP],InputResearch[Institution Name],ListUNIVM[[#This Row],[Institution Name]])+SUMIFS(InputResearch[Law PNP],InputResearch[Institution Name],ListUNIVM[[#This Row],[Institution Name]])</f>
        <v>299086</v>
      </c>
      <c r="S101" s="47">
        <f>SUMIFS(InputResearch[Other Non-Sci. Fed],InputResearch[Institution Name],ListUNIVM[[#This Row],[Institution Name]])+SUMIFS(InputResearch[Other Non-Sci. St. Approp.],InputResearch[Institution Name],ListUNIVM[[#This Row],[Institution Name]])+SUMIFS(InputResearch[Other Non-Sci. St. C&amp;G],InputResearch[Institution Name],ListUNIVM[[#This Row],[Institution Name]])+SUMIFS(InputResearch[Other Non-Sci. Inst Res],InputResearch[Institution Name],ListUNIVM[[#This Row],[Institution Name]])+SUMIFS(InputResearch[Other Non-Sci. PFP],InputResearch[Institution Name],ListUNIVM[[#This Row],[Institution Name]])+SUMIFS(InputResearch[Other Non-Sci. PNP],InputResearch[Institution Name],ListUNIVM[[#This Row],[Institution Name]])</f>
        <v>3001643</v>
      </c>
      <c r="T101" s="94"/>
    </row>
    <row r="102" spans="1:20">
      <c r="A102" s="93" t="s">
        <v>827</v>
      </c>
      <c r="B102" s="228">
        <f>VLOOKUP(ListUNIVM[[#This Row],[Institution Name]],InputResearch[],3,FALSE)</f>
        <v>230</v>
      </c>
      <c r="C102" s="284">
        <v>3652</v>
      </c>
      <c r="D102" s="47">
        <f>SUMIFS(InputResearch[Agricultural Sci. Fed],InputResearch[Institution Name],ListUNIVM[[#This Row],[Institution Name]])+SUMIFS(InputResearch[Agricultural Sci. St. Approp.],InputResearch[Institution Name],ListUNIVM[[#This Row],[Institution Name]])+SUMIFS(InputResearch[Agricultural Sci. St. C&amp;G],InputResearch[Institution Name],ListUNIVM[[#This Row],[Institution Name]])+SUMIFS(InputResearch[Agricultural Sci. Inst Res],InputResearch[Institution Name],ListUNIVM[[#This Row],[Institution Name]])+SUMIFS(InputResearch[Agricultural Sci. PFP],InputResearch[Institution Name],ListUNIVM[[#This Row],[Institution Name]])+SUMIFS(InputResearch[Agricultural Sci. PNP],InputResearch[Institution Name],ListUNIVM[[#This Row],[Institution Name]])</f>
        <v>92996</v>
      </c>
      <c r="E102" s="47">
        <f>SUMIFS(InputResearch[Biological &amp; Other Life Sci. Fed],InputResearch[Institution Name],ListUNIVM[[#This Row],[Institution Name]])+SUMIFS(InputResearch[Biological &amp; Other Life Sci. St. Approp.],InputResearch[Institution Name],ListUNIVM[[#This Row],[Institution Name]])+SUMIFS(InputResearch[Biological &amp; Other Life Sci. St. C&amp;G],InputResearch[Institution Name],ListUNIVM[[#This Row],[Institution Name]])+SUMIFS(InputResearch[Biological &amp; Other Life Sci. Inst Res],InputResearch[Institution Name],ListUNIVM[[#This Row],[Institution Name]])+SUMIFS(InputResearch[Biological &amp; Other Life Sci. PFP],InputResearch[Institution Name],ListUNIVM[[#This Row],[Institution Name]])+SUMIFS(InputResearch[Biological &amp; Other Life Sci. PNP],InputResearch[Institution Name],ListUNIVM[[#This Row],[Institution Name]])</f>
        <v>9976659</v>
      </c>
      <c r="F102" s="47">
        <f>SUMIFS(InputResearch[Comp. Sci. Fed],InputResearch[Institution Name],ListUNIVM[[#This Row],[Institution Name]])+SUMIFS(InputResearch[Comp. Sci. St. Approp.],InputResearch[Institution Name],ListUNIVM[[#This Row],[Institution Name]])+SUMIFS(InputResearch[Comp. Sci. St. C&amp;G],InputResearch[Institution Name],ListUNIVM[[#This Row],[Institution Name]])+SUMIFS(InputResearch[Comp. Sci. Inst Res],InputResearch[Institution Name],ListUNIVM[[#This Row],[Institution Name]])+SUMIFS(InputResearch[Comp. Sci. PFP],InputResearch[Institution Name],ListUNIVM[[#This Row],[Institution Name]])+SUMIFS(InputResearch[Comp. Sci. PNP],InputResearch[Institution Name],ListUNIVM[[#This Row],[Institution Name]])</f>
        <v>6101045</v>
      </c>
      <c r="G102" s="47">
        <f>SUMIFS(InputResearch[Engineering Fed],InputResearch[Institution Name],ListUNIVM[[#This Row],[Institution Name]])+SUMIFS(InputResearch[Engineering St. Approp.],InputResearch[Institution Name],ListUNIVM[[#This Row],[Institution Name]])+SUMIFS(InputResearch[Engineering St. C&amp;G],InputResearch[Institution Name],ListUNIVM[[#This Row],[Institution Name]])+SUMIFS(InputResearch[Engineering Inst Res],InputResearch[Institution Name],ListUNIVM[[#This Row],[Institution Name]])+SUMIFS(InputResearch[Engineering PFP],InputResearch[Institution Name],ListUNIVM[[#This Row],[Institution Name]])+SUMIFS(InputResearch[Engineering PNP],InputResearch[Institution Name],ListUNIVM[[#This Row],[Institution Name]])</f>
        <v>37718610</v>
      </c>
      <c r="H102" s="47">
        <f>SUMIFS(InputResearch[Env Sci. Fed],InputResearch[Institution Name],ListUNIVM[[#This Row],[Institution Name]])+SUMIFS(InputResearch[Env Sci. St. Approp.],InputResearch[Institution Name],ListUNIVM[[#This Row],[Institution Name]])+SUMIFS(InputResearch[Env Sci. St. C&amp;G],InputResearch[Institution Name],ListUNIVM[[#This Row],[Institution Name]])+SUMIFS(InputResearch[Env Sci. Inst Res],InputResearch[Institution Name],ListUNIVM[[#This Row],[Institution Name]])+SUMIFS(InputResearch[Env Sci. PFP],InputResearch[Institution Name],ListUNIVM[[#This Row],[Institution Name]])+SUMIFS(InputResearch[Env Sci. PNP],InputResearch[Institution Name],ListUNIVM[[#This Row],[Institution Name]])</f>
        <v>7355806</v>
      </c>
      <c r="I102" s="47">
        <f>SUMIFS(InputResearch[Math Fed],InputResearch[Institution Name],ListUNIVM[[#This Row],[Institution Name]])+SUMIFS(InputResearch[Math St. Approp.],InputResearch[Institution Name],ListUNIVM[[#This Row],[Institution Name]])+SUMIFS(InputResearch[Math St. C&amp;G],InputResearch[Institution Name],ListUNIVM[[#This Row],[Institution Name]])+SUMIFS(InputResearch[Math Inst Res],InputResearch[Institution Name],ListUNIVM[[#This Row],[Institution Name]])+SUMIFS(InputResearch[Math PFP],InputResearch[Institution Name],ListUNIVM[[#This Row],[Institution Name]])+SUMIFS(InputResearch[Math PNP],InputResearch[Institution Name],ListUNIVM[[#This Row],[Institution Name]])</f>
        <v>4350796</v>
      </c>
      <c r="J102" s="47">
        <f>SUMIFS(InputResearch[Medical Fed],InputResearch[Institution Name],ListUNIVM[[#This Row],[Institution Name]])+SUMIFS(InputResearch[Medical St. Approp.],InputResearch[Institution Name],ListUNIVM[[#This Row],[Institution Name]])+SUMIFS(InputResearch[Medical St. C&amp;G],InputResearch[Institution Name],ListUNIVM[[#This Row],[Institution Name]])+SUMIFS(InputResearch[Medical Inst Res],InputResearch[Institution Name],ListUNIVM[[#This Row],[Institution Name]])+SUMIFS(InputResearch[Medical PFP],InputResearch[Institution Name],ListUNIVM[[#This Row],[Institution Name]])+SUMIFS(InputResearch[Medical PNP],InputResearch[Institution Name],ListUNIVM[[#This Row],[Institution Name]])</f>
        <v>13537335</v>
      </c>
      <c r="K102" s="47">
        <f>SUMIFS(InputResearch[Physical Sci. Fed],InputResearch[Institution Name],ListUNIVM[[#This Row],[Institution Name]])+SUMIFS(InputResearch[Physical Sci. St. Approp.],InputResearch[Institution Name],ListUNIVM[[#This Row],[Institution Name]])+SUMIFS(InputResearch[Physical Sci. St. C&amp;G],InputResearch[Institution Name],ListUNIVM[[#This Row],[Institution Name]])+SUMIFS(InputResearch[Physical Sci. Inst Res],InputResearch[Institution Name],ListUNIVM[[#This Row],[Institution Name]])+SUMIFS(InputResearch[Physical Sci. PFP],InputResearch[Institution Name],ListUNIVM[[#This Row],[Institution Name]])+SUMIFS(InputResearch[Physical Sci. PNP],InputResearch[Institution Name],ListUNIVM[[#This Row],[Institution Name]])</f>
        <v>10553549</v>
      </c>
      <c r="L102" s="47">
        <f>SUMIFS(InputResearch[Psychology Fed],InputResearch[Institution Name],ListUNIVM[[#This Row],[Institution Name]])+SUMIFS(InputResearch[Psychology St. Approp.],InputResearch[Institution Name],ListUNIVM[[#This Row],[Institution Name]])+SUMIFS(InputResearch[Psychology St. C&amp;G],InputResearch[Institution Name],ListUNIVM[[#This Row],[Institution Name]])+SUMIFS(InputResearch[Psychology Inst Res],InputResearch[Institution Name],ListUNIVM[[#This Row],[Institution Name]])+SUMIFS(InputResearch[Psychology PFP],InputResearch[Institution Name],ListUNIVM[[#This Row],[Institution Name]])+SUMIFS(InputResearch[Psychology PNP],InputResearch[Institution Name],ListUNIVM[[#This Row],[Institution Name]])</f>
        <v>12210968</v>
      </c>
      <c r="M102" s="47">
        <f>SUMIFS(InputResearch[Social Sci. Fed],InputResearch[Institution Name],ListUNIVM[[#This Row],[Institution Name]])+SUMIFS(InputResearch[Social Sci. St. Approp.],InputResearch[Institution Name],ListUNIVM[[#This Row],[Institution Name]])+SUMIFS(InputResearch[Social Sci. St. C&amp;G],InputResearch[Institution Name],ListUNIVM[[#This Row],[Institution Name]])+SUMIFS(InputResearch[Social Sci. Inst Res],InputResearch[Institution Name],ListUNIVM[[#This Row],[Institution Name]])+SUMIFS(InputResearch[Social Sci. PFP],InputResearch[Institution Name],ListUNIVM[[#This Row],[Institution Name]])+SUMIFS(InputResearch[Social Sci. PNP],InputResearch[Institution Name],ListUNIVM[[#This Row],[Institution Name]])</f>
        <v>6054553</v>
      </c>
      <c r="N102" s="47">
        <f>SUMIFS(InputResearch[Other Sci. Fed],InputResearch[Institution Name],ListUNIVM[[#This Row],[Institution Name]])+SUMIFS(InputResearch[Other Sci. St. Approp.],InputResearch[Institution Name],ListUNIVM[[#This Row],[Institution Name]])+SUMIFS(InputResearch[Other Sci. St. C&amp;G],InputResearch[Institution Name],ListUNIVM[[#This Row],[Institution Name]])+SUMIFS(InputResearch[Other Sci. Inst Res],InputResearch[Institution Name],ListUNIVM[[#This Row],[Institution Name]])+SUMIFS(InputResearch[Other Sci. PFP],InputResearch[Institution Name],ListUNIVM[[#This Row],[Institution Name]])+SUMIFS(InputResearch[Other Sci. PNP],InputResearch[Institution Name],ListUNIVM[[#This Row],[Institution Name]])</f>
        <v>3147515</v>
      </c>
      <c r="O102" s="47">
        <f>SUMIFS(InputResearch[Arts &amp; Humanities Fed],InputResearch[Institution Name],ListUNIVM[[#This Row],[Institution Name]])+SUMIFS(InputResearch[Arts &amp; Humanities St. Approp.],InputResearch[Institution Name],ListUNIVM[[#This Row],[Institution Name]])+SUMIFS(InputResearch[Arts &amp; Humanities St. C&amp;G],InputResearch[Institution Name],ListUNIVM[[#This Row],[Institution Name]])+SUMIFS(InputResearch[Arts &amp; Humanities Inst Res],InputResearch[Institution Name],ListUNIVM[[#This Row],[Institution Name]])+SUMIFS(InputResearch[Arts &amp; Humanities PFP],InputResearch[Institution Name],ListUNIVM[[#This Row],[Institution Name]])+SUMIFS(InputResearch[Arts &amp; Humanities PNP],InputResearch[Institution Name],ListUNIVM[[#This Row],[Institution Name]])</f>
        <v>697263</v>
      </c>
      <c r="P102" s="47">
        <f>SUMIFS(InputResearch[Business Fed],InputResearch[Institution Name],ListUNIVM[[#This Row],[Institution Name]])+SUMIFS(InputResearch[Business St. Approp.],InputResearch[Institution Name],ListUNIVM[[#This Row],[Institution Name]])+SUMIFS(InputResearch[Business St. C&amp;G],InputResearch[Institution Name],ListUNIVM[[#This Row],[Institution Name]])+SUMIFS(InputResearch[Business Inst Res],InputResearch[Institution Name],ListUNIVM[[#This Row],[Institution Name]])+SUMIFS(InputResearch[Business PFP],InputResearch[Institution Name],ListUNIVM[[#This Row],[Institution Name]])+SUMIFS(InputResearch[Business PNP],InputResearch[Institution Name],ListUNIVM[[#This Row],[Institution Name]])</f>
        <v>-18</v>
      </c>
      <c r="Q102" s="47">
        <f>SUMIFS(InputResearch[Education Fed],InputResearch[Institution Name],ListUNIVM[[#This Row],[Institution Name]])+SUMIFS(InputResearch[Education St. Approp.],InputResearch[Institution Name],ListUNIVM[[#This Row],[Institution Name]])+SUMIFS(InputResearch[Education St. C&amp;G],InputResearch[Institution Name],ListUNIVM[[#This Row],[Institution Name]])+SUMIFS(InputResearch[Education Inst Res],InputResearch[Institution Name],ListUNIVM[[#This Row],[Institution Name]])+SUMIFS(InputResearch[Education PFP],InputResearch[Institution Name],ListUNIVM[[#This Row],[Institution Name]])+SUMIFS(InputResearch[Education PNP],InputResearch[Institution Name],ListUNIVM[[#This Row],[Institution Name]])</f>
        <v>3895237</v>
      </c>
      <c r="R102" s="47">
        <f>SUMIFS(InputResearch[Law Fed],InputResearch[Institution Name],ListUNIVM[[#This Row],[Institution Name]])+SUMIFS(InputResearch[Law St. Approp.],InputResearch[Institution Name],ListUNIVM[[#This Row],[Institution Name]])+SUMIFS(InputResearch[Law St. C&amp;G],InputResearch[Institution Name],ListUNIVM[[#This Row],[Institution Name]])+SUMIFS(InputResearch[Law Inst Res],InputResearch[Institution Name],ListUNIVM[[#This Row],[Institution Name]])+SUMIFS(InputResearch[Law PFP],InputResearch[Institution Name],ListUNIVM[[#This Row],[Institution Name]])+SUMIFS(InputResearch[Law PNP],InputResearch[Institution Name],ListUNIVM[[#This Row],[Institution Name]])</f>
        <v>132573</v>
      </c>
      <c r="S102" s="47">
        <f>SUMIFS(InputResearch[Other Non-Sci. Fed],InputResearch[Institution Name],ListUNIVM[[#This Row],[Institution Name]])+SUMIFS(InputResearch[Other Non-Sci. St. Approp.],InputResearch[Institution Name],ListUNIVM[[#This Row],[Institution Name]])+SUMIFS(InputResearch[Other Non-Sci. St. C&amp;G],InputResearch[Institution Name],ListUNIVM[[#This Row],[Institution Name]])+SUMIFS(InputResearch[Other Non-Sci. Inst Res],InputResearch[Institution Name],ListUNIVM[[#This Row],[Institution Name]])+SUMIFS(InputResearch[Other Non-Sci. PFP],InputResearch[Institution Name],ListUNIVM[[#This Row],[Institution Name]])+SUMIFS(InputResearch[Other Non-Sci. PNP],InputResearch[Institution Name],ListUNIVM[[#This Row],[Institution Name]])</f>
        <v>53550781</v>
      </c>
      <c r="T102" s="94"/>
    </row>
    <row r="103" spans="1:20">
      <c r="A103" s="93" t="s">
        <v>841</v>
      </c>
      <c r="B103" s="228">
        <f>VLOOKUP(ListUNIVM[[#This Row],[Institution Name]],InputResearch[],3,FALSE)</f>
        <v>280</v>
      </c>
      <c r="C103" s="284">
        <v>3606</v>
      </c>
      <c r="D103" s="47">
        <f>SUMIFS(InputResearch[Agricultural Sci. Fed],InputResearch[Institution Name],ListUNIVM[[#This Row],[Institution Name]])+SUMIFS(InputResearch[Agricultural Sci. St. Approp.],InputResearch[Institution Name],ListUNIVM[[#This Row],[Institution Name]])+SUMIFS(InputResearch[Agricultural Sci. St. C&amp;G],InputResearch[Institution Name],ListUNIVM[[#This Row],[Institution Name]])+SUMIFS(InputResearch[Agricultural Sci. Inst Res],InputResearch[Institution Name],ListUNIVM[[#This Row],[Institution Name]])+SUMIFS(InputResearch[Agricultural Sci. PFP],InputResearch[Institution Name],ListUNIVM[[#This Row],[Institution Name]])+SUMIFS(InputResearch[Agricultural Sci. PNP],InputResearch[Institution Name],ListUNIVM[[#This Row],[Institution Name]])</f>
        <v>318375</v>
      </c>
      <c r="E103" s="47">
        <f>SUMIFS(InputResearch[Biological &amp; Other Life Sci. Fed],InputResearch[Institution Name],ListUNIVM[[#This Row],[Institution Name]])+SUMIFS(InputResearch[Biological &amp; Other Life Sci. St. Approp.],InputResearch[Institution Name],ListUNIVM[[#This Row],[Institution Name]])+SUMIFS(InputResearch[Biological &amp; Other Life Sci. St. C&amp;G],InputResearch[Institution Name],ListUNIVM[[#This Row],[Institution Name]])+SUMIFS(InputResearch[Biological &amp; Other Life Sci. Inst Res],InputResearch[Institution Name],ListUNIVM[[#This Row],[Institution Name]])+SUMIFS(InputResearch[Biological &amp; Other Life Sci. PFP],InputResearch[Institution Name],ListUNIVM[[#This Row],[Institution Name]])+SUMIFS(InputResearch[Biological &amp; Other Life Sci. PNP],InputResearch[Institution Name],ListUNIVM[[#This Row],[Institution Name]])</f>
        <v>616932</v>
      </c>
      <c r="F103" s="47">
        <f>SUMIFS(InputResearch[Comp. Sci. Fed],InputResearch[Institution Name],ListUNIVM[[#This Row],[Institution Name]])+SUMIFS(InputResearch[Comp. Sci. St. Approp.],InputResearch[Institution Name],ListUNIVM[[#This Row],[Institution Name]])+SUMIFS(InputResearch[Comp. Sci. St. C&amp;G],InputResearch[Institution Name],ListUNIVM[[#This Row],[Institution Name]])+SUMIFS(InputResearch[Comp. Sci. Inst Res],InputResearch[Institution Name],ListUNIVM[[#This Row],[Institution Name]])+SUMIFS(InputResearch[Comp. Sci. PFP],InputResearch[Institution Name],ListUNIVM[[#This Row],[Institution Name]])+SUMIFS(InputResearch[Comp. Sci. PNP],InputResearch[Institution Name],ListUNIVM[[#This Row],[Institution Name]])</f>
        <v>109409</v>
      </c>
      <c r="G103" s="47">
        <f>SUMIFS(InputResearch[Engineering Fed],InputResearch[Institution Name],ListUNIVM[[#This Row],[Institution Name]])+SUMIFS(InputResearch[Engineering St. Approp.],InputResearch[Institution Name],ListUNIVM[[#This Row],[Institution Name]])+SUMIFS(InputResearch[Engineering St. C&amp;G],InputResearch[Institution Name],ListUNIVM[[#This Row],[Institution Name]])+SUMIFS(InputResearch[Engineering Inst Res],InputResearch[Institution Name],ListUNIVM[[#This Row],[Institution Name]])+SUMIFS(InputResearch[Engineering PFP],InputResearch[Institution Name],ListUNIVM[[#This Row],[Institution Name]])+SUMIFS(InputResearch[Engineering PNP],InputResearch[Institution Name],ListUNIVM[[#This Row],[Institution Name]])</f>
        <v>108793</v>
      </c>
      <c r="H103" s="47">
        <f>SUMIFS(InputResearch[Env Sci. Fed],InputResearch[Institution Name],ListUNIVM[[#This Row],[Institution Name]])+SUMIFS(InputResearch[Env Sci. St. Approp.],InputResearch[Institution Name],ListUNIVM[[#This Row],[Institution Name]])+SUMIFS(InputResearch[Env Sci. St. C&amp;G],InputResearch[Institution Name],ListUNIVM[[#This Row],[Institution Name]])+SUMIFS(InputResearch[Env Sci. Inst Res],InputResearch[Institution Name],ListUNIVM[[#This Row],[Institution Name]])+SUMIFS(InputResearch[Env Sci. PFP],InputResearch[Institution Name],ListUNIVM[[#This Row],[Institution Name]])+SUMIFS(InputResearch[Env Sci. PNP],InputResearch[Institution Name],ListUNIVM[[#This Row],[Institution Name]])</f>
        <v>0</v>
      </c>
      <c r="I103" s="47">
        <f>SUMIFS(InputResearch[Math Fed],InputResearch[Institution Name],ListUNIVM[[#This Row],[Institution Name]])+SUMIFS(InputResearch[Math St. Approp.],InputResearch[Institution Name],ListUNIVM[[#This Row],[Institution Name]])+SUMIFS(InputResearch[Math St. C&amp;G],InputResearch[Institution Name],ListUNIVM[[#This Row],[Institution Name]])+SUMIFS(InputResearch[Math Inst Res],InputResearch[Institution Name],ListUNIVM[[#This Row],[Institution Name]])+SUMIFS(InputResearch[Math PFP],InputResearch[Institution Name],ListUNIVM[[#This Row],[Institution Name]])+SUMIFS(InputResearch[Math PNP],InputResearch[Institution Name],ListUNIVM[[#This Row],[Institution Name]])</f>
        <v>455678</v>
      </c>
      <c r="J103" s="47">
        <f>SUMIFS(InputResearch[Medical Fed],InputResearch[Institution Name],ListUNIVM[[#This Row],[Institution Name]])+SUMIFS(InputResearch[Medical St. Approp.],InputResearch[Institution Name],ListUNIVM[[#This Row],[Institution Name]])+SUMIFS(InputResearch[Medical St. C&amp;G],InputResearch[Institution Name],ListUNIVM[[#This Row],[Institution Name]])+SUMIFS(InputResearch[Medical Inst Res],InputResearch[Institution Name],ListUNIVM[[#This Row],[Institution Name]])+SUMIFS(InputResearch[Medical PFP],InputResearch[Institution Name],ListUNIVM[[#This Row],[Institution Name]])+SUMIFS(InputResearch[Medical PNP],InputResearch[Institution Name],ListUNIVM[[#This Row],[Institution Name]])</f>
        <v>910409</v>
      </c>
      <c r="K103" s="47">
        <f>SUMIFS(InputResearch[Physical Sci. Fed],InputResearch[Institution Name],ListUNIVM[[#This Row],[Institution Name]])+SUMIFS(InputResearch[Physical Sci. St. Approp.],InputResearch[Institution Name],ListUNIVM[[#This Row],[Institution Name]])+SUMIFS(InputResearch[Physical Sci. St. C&amp;G],InputResearch[Institution Name],ListUNIVM[[#This Row],[Institution Name]])+SUMIFS(InputResearch[Physical Sci. Inst Res],InputResearch[Institution Name],ListUNIVM[[#This Row],[Institution Name]])+SUMIFS(InputResearch[Physical Sci. PFP],InputResearch[Institution Name],ListUNIVM[[#This Row],[Institution Name]])+SUMIFS(InputResearch[Physical Sci. PNP],InputResearch[Institution Name],ListUNIVM[[#This Row],[Institution Name]])</f>
        <v>553586</v>
      </c>
      <c r="L103" s="47">
        <f>SUMIFS(InputResearch[Psychology Fed],InputResearch[Institution Name],ListUNIVM[[#This Row],[Institution Name]])+SUMIFS(InputResearch[Psychology St. Approp.],InputResearch[Institution Name],ListUNIVM[[#This Row],[Institution Name]])+SUMIFS(InputResearch[Psychology St. C&amp;G],InputResearch[Institution Name],ListUNIVM[[#This Row],[Institution Name]])+SUMIFS(InputResearch[Psychology Inst Res],InputResearch[Institution Name],ListUNIVM[[#This Row],[Institution Name]])+SUMIFS(InputResearch[Psychology PFP],InputResearch[Institution Name],ListUNIVM[[#This Row],[Institution Name]])+SUMIFS(InputResearch[Psychology PNP],InputResearch[Institution Name],ListUNIVM[[#This Row],[Institution Name]])</f>
        <v>208524</v>
      </c>
      <c r="M103" s="47">
        <f>SUMIFS(InputResearch[Social Sci. Fed],InputResearch[Institution Name],ListUNIVM[[#This Row],[Institution Name]])+SUMIFS(InputResearch[Social Sci. St. Approp.],InputResearch[Institution Name],ListUNIVM[[#This Row],[Institution Name]])+SUMIFS(InputResearch[Social Sci. St. C&amp;G],InputResearch[Institution Name],ListUNIVM[[#This Row],[Institution Name]])+SUMIFS(InputResearch[Social Sci. Inst Res],InputResearch[Institution Name],ListUNIVM[[#This Row],[Institution Name]])+SUMIFS(InputResearch[Social Sci. PFP],InputResearch[Institution Name],ListUNIVM[[#This Row],[Institution Name]])+SUMIFS(InputResearch[Social Sci. PNP],InputResearch[Institution Name],ListUNIVM[[#This Row],[Institution Name]])</f>
        <v>949831</v>
      </c>
      <c r="N103" s="47">
        <f>SUMIFS(InputResearch[Other Sci. Fed],InputResearch[Institution Name],ListUNIVM[[#This Row],[Institution Name]])+SUMIFS(InputResearch[Other Sci. St. Approp.],InputResearch[Institution Name],ListUNIVM[[#This Row],[Institution Name]])+SUMIFS(InputResearch[Other Sci. St. C&amp;G],InputResearch[Institution Name],ListUNIVM[[#This Row],[Institution Name]])+SUMIFS(InputResearch[Other Sci. Inst Res],InputResearch[Institution Name],ListUNIVM[[#This Row],[Institution Name]])+SUMIFS(InputResearch[Other Sci. PFP],InputResearch[Institution Name],ListUNIVM[[#This Row],[Institution Name]])+SUMIFS(InputResearch[Other Sci. PNP],InputResearch[Institution Name],ListUNIVM[[#This Row],[Institution Name]])</f>
        <v>543514</v>
      </c>
      <c r="O103" s="47">
        <f>SUMIFS(InputResearch[Arts &amp; Humanities Fed],InputResearch[Institution Name],ListUNIVM[[#This Row],[Institution Name]])+SUMIFS(InputResearch[Arts &amp; Humanities St. Approp.],InputResearch[Institution Name],ListUNIVM[[#This Row],[Institution Name]])+SUMIFS(InputResearch[Arts &amp; Humanities St. C&amp;G],InputResearch[Institution Name],ListUNIVM[[#This Row],[Institution Name]])+SUMIFS(InputResearch[Arts &amp; Humanities Inst Res],InputResearch[Institution Name],ListUNIVM[[#This Row],[Institution Name]])+SUMIFS(InputResearch[Arts &amp; Humanities PFP],InputResearch[Institution Name],ListUNIVM[[#This Row],[Institution Name]])+SUMIFS(InputResearch[Arts &amp; Humanities PNP],InputResearch[Institution Name],ListUNIVM[[#This Row],[Institution Name]])</f>
        <v>2841</v>
      </c>
      <c r="P103" s="47">
        <f>SUMIFS(InputResearch[Business Fed],InputResearch[Institution Name],ListUNIVM[[#This Row],[Institution Name]])+SUMIFS(InputResearch[Business St. Approp.],InputResearch[Institution Name],ListUNIVM[[#This Row],[Institution Name]])+SUMIFS(InputResearch[Business St. C&amp;G],InputResearch[Institution Name],ListUNIVM[[#This Row],[Institution Name]])+SUMIFS(InputResearch[Business Inst Res],InputResearch[Institution Name],ListUNIVM[[#This Row],[Institution Name]])+SUMIFS(InputResearch[Business PFP],InputResearch[Institution Name],ListUNIVM[[#This Row],[Institution Name]])+SUMIFS(InputResearch[Business PNP],InputResearch[Institution Name],ListUNIVM[[#This Row],[Institution Name]])</f>
        <v>86280</v>
      </c>
      <c r="Q103" s="47">
        <f>SUMIFS(InputResearch[Education Fed],InputResearch[Institution Name],ListUNIVM[[#This Row],[Institution Name]])+SUMIFS(InputResearch[Education St. Approp.],InputResearch[Institution Name],ListUNIVM[[#This Row],[Institution Name]])+SUMIFS(InputResearch[Education St. C&amp;G],InputResearch[Institution Name],ListUNIVM[[#This Row],[Institution Name]])+SUMIFS(InputResearch[Education Inst Res],InputResearch[Institution Name],ListUNIVM[[#This Row],[Institution Name]])+SUMIFS(InputResearch[Education PFP],InputResearch[Institution Name],ListUNIVM[[#This Row],[Institution Name]])+SUMIFS(InputResearch[Education PNP],InputResearch[Institution Name],ListUNIVM[[#This Row],[Institution Name]])</f>
        <v>598760</v>
      </c>
      <c r="R103" s="47">
        <f>SUMIFS(InputResearch[Law Fed],InputResearch[Institution Name],ListUNIVM[[#This Row],[Institution Name]])+SUMIFS(InputResearch[Law St. Approp.],InputResearch[Institution Name],ListUNIVM[[#This Row],[Institution Name]])+SUMIFS(InputResearch[Law St. C&amp;G],InputResearch[Institution Name],ListUNIVM[[#This Row],[Institution Name]])+SUMIFS(InputResearch[Law Inst Res],InputResearch[Institution Name],ListUNIVM[[#This Row],[Institution Name]])+SUMIFS(InputResearch[Law PFP],InputResearch[Institution Name],ListUNIVM[[#This Row],[Institution Name]])+SUMIFS(InputResearch[Law PNP],InputResearch[Institution Name],ListUNIVM[[#This Row],[Institution Name]])</f>
        <v>3768239</v>
      </c>
      <c r="S103" s="47">
        <f>SUMIFS(InputResearch[Other Non-Sci. Fed],InputResearch[Institution Name],ListUNIVM[[#This Row],[Institution Name]])+SUMIFS(InputResearch[Other Non-Sci. St. Approp.],InputResearch[Institution Name],ListUNIVM[[#This Row],[Institution Name]])+SUMIFS(InputResearch[Other Non-Sci. St. C&amp;G],InputResearch[Institution Name],ListUNIVM[[#This Row],[Institution Name]])+SUMIFS(InputResearch[Other Non-Sci. Inst Res],InputResearch[Institution Name],ListUNIVM[[#This Row],[Institution Name]])+SUMIFS(InputResearch[Other Non-Sci. PFP],InputResearch[Institution Name],ListUNIVM[[#This Row],[Institution Name]])+SUMIFS(InputResearch[Other Non-Sci. PNP],InputResearch[Institution Name],ListUNIVM[[#This Row],[Institution Name]])</f>
        <v>2996542</v>
      </c>
      <c r="T103" s="94"/>
    </row>
    <row r="104" spans="1:20">
      <c r="A104" s="93"/>
      <c r="B104" s="228"/>
      <c r="C104" s="286"/>
      <c r="D104" s="310">
        <f>SUBTOTAL(109,ListUNIVM[Agricultural 
Sciences])</f>
        <v>1514784</v>
      </c>
      <c r="E104" s="310">
        <f>SUBTOTAL(109,ListUNIVM[Biological &amp; Other 
Life Sciences])</f>
        <v>98052517</v>
      </c>
      <c r="F104" s="310">
        <f>SUBTOTAL(109,ListUNIVM[Computer 
Science])</f>
        <v>77423175</v>
      </c>
      <c r="G104" s="310">
        <f>SUBTOTAL(109,ListUNIVM[Engineering])</f>
        <v>476946463</v>
      </c>
      <c r="H104" s="310">
        <f>SUBTOTAL(109,ListUNIVM[Environmental 
Sciences])</f>
        <v>51124698</v>
      </c>
      <c r="I104" s="310">
        <f>SUBTOTAL(109,ListUNIVM[Mathematical 
Sciences])</f>
        <v>47167393</v>
      </c>
      <c r="J104" s="310">
        <f>SUBTOTAL(109,ListUNIVM[Medical 
Sciences])</f>
        <v>124381460</v>
      </c>
      <c r="K104" s="310">
        <f>SUBTOTAL(109,ListUNIVM[Physical 
Sciences])</f>
        <v>76197151</v>
      </c>
      <c r="L104" s="310">
        <f>SUBTOTAL(109,ListUNIVM[Psychology])</f>
        <v>28842484</v>
      </c>
      <c r="M104" s="310">
        <f>SUBTOTAL(109,ListUNIVM[Social 
Sciences])</f>
        <v>50133149</v>
      </c>
      <c r="N104" s="310">
        <f>SUBTOTAL(109,ListUNIVM[Other Sciences not 
classified above])</f>
        <v>14729136</v>
      </c>
      <c r="O104" s="310">
        <f>SUBTOTAL(109,ListUNIVM[Arts &amp; 
Humanities])</f>
        <v>9606190</v>
      </c>
      <c r="P104" s="310">
        <f>SUBTOTAL(109,ListUNIVM[Business 
Administration])</f>
        <v>7297344</v>
      </c>
      <c r="Q104" s="310">
        <f>SUBTOTAL(109,ListUNIVM[Education])</f>
        <v>33373095</v>
      </c>
      <c r="R104" s="310">
        <f>SUBTOTAL(109,ListUNIVM[Law])</f>
        <v>11405150</v>
      </c>
      <c r="S104" s="310">
        <f>SUBTOTAL(109,ListUNIVM[Other Non-Science 
Activities])</f>
        <v>107543695</v>
      </c>
      <c r="T104" s="94"/>
    </row>
    <row r="105" spans="1:20">
      <c r="A105" s="91"/>
      <c r="B105" s="92"/>
      <c r="C105" s="92"/>
      <c r="D105" s="92"/>
      <c r="E105" s="92"/>
      <c r="F105" s="92"/>
      <c r="G105" s="92"/>
      <c r="H105" s="92"/>
      <c r="I105" s="92"/>
      <c r="J105" s="92"/>
      <c r="K105" s="92"/>
      <c r="L105" s="92"/>
      <c r="M105" s="92"/>
      <c r="N105" s="92"/>
      <c r="O105" s="92"/>
      <c r="P105" s="92"/>
      <c r="Q105" s="92"/>
      <c r="R105" s="92"/>
      <c r="S105" s="94"/>
      <c r="T105" s="94"/>
    </row>
    <row r="106" spans="1:20" ht="33" customHeight="1">
      <c r="A106" s="439" t="s">
        <v>675</v>
      </c>
      <c r="B106" s="440"/>
      <c r="C106" s="440"/>
      <c r="D106" s="440"/>
      <c r="E106" s="440"/>
      <c r="F106" s="440"/>
      <c r="G106" s="440"/>
      <c r="H106" s="440"/>
      <c r="I106" s="440"/>
      <c r="J106" s="440"/>
      <c r="K106" s="440"/>
      <c r="L106" s="440"/>
      <c r="M106" s="440"/>
      <c r="N106" s="440"/>
      <c r="O106" s="440"/>
      <c r="P106" s="440"/>
      <c r="Q106" s="440"/>
      <c r="R106" s="440"/>
      <c r="S106" s="440"/>
      <c r="T106" s="94"/>
    </row>
    <row r="107" spans="1:20" ht="17.399999999999999">
      <c r="A107" s="438">
        <f>Hidden!$A$4</f>
        <v>45412</v>
      </c>
      <c r="B107" s="438"/>
      <c r="C107" s="438"/>
      <c r="D107" s="438"/>
      <c r="E107" s="438"/>
      <c r="F107" s="438"/>
      <c r="G107" s="438"/>
      <c r="H107" s="438"/>
      <c r="I107" s="438"/>
      <c r="J107" s="438"/>
      <c r="K107" s="438"/>
      <c r="L107" s="438"/>
      <c r="M107" s="438"/>
      <c r="N107" s="438"/>
      <c r="O107" s="438"/>
      <c r="P107" s="438"/>
      <c r="Q107" s="438"/>
      <c r="R107" s="438"/>
      <c r="S107" s="438"/>
      <c r="T107" s="94"/>
    </row>
    <row r="108" spans="1:20">
      <c r="A108" s="91"/>
      <c r="B108" s="92"/>
      <c r="C108" s="92"/>
      <c r="D108" s="92"/>
      <c r="E108" s="92"/>
      <c r="F108" s="92"/>
      <c r="G108" s="92"/>
      <c r="H108" s="92"/>
      <c r="I108" s="92"/>
      <c r="J108" s="92"/>
      <c r="K108" s="92"/>
      <c r="L108" s="92"/>
      <c r="M108" s="92"/>
      <c r="N108" s="92"/>
      <c r="O108" s="92"/>
      <c r="P108" s="92"/>
      <c r="Q108" s="92"/>
      <c r="R108" s="92"/>
      <c r="S108" s="94"/>
      <c r="T108" s="94"/>
    </row>
    <row r="109" spans="1:20" s="45" customFormat="1" ht="30">
      <c r="A109" s="79" t="s">
        <v>1</v>
      </c>
      <c r="B109" s="80" t="s">
        <v>889</v>
      </c>
      <c r="C109" s="44" t="s">
        <v>2</v>
      </c>
      <c r="D109" s="114" t="s">
        <v>869</v>
      </c>
      <c r="E109" s="114" t="s">
        <v>870</v>
      </c>
      <c r="F109" s="114" t="s">
        <v>861</v>
      </c>
      <c r="G109" s="44" t="s">
        <v>87</v>
      </c>
      <c r="H109" s="114" t="s">
        <v>862</v>
      </c>
      <c r="I109" s="114" t="s">
        <v>863</v>
      </c>
      <c r="J109" s="114" t="s">
        <v>864</v>
      </c>
      <c r="K109" s="114" t="s">
        <v>865</v>
      </c>
      <c r="L109" s="44" t="s">
        <v>92</v>
      </c>
      <c r="M109" s="114" t="s">
        <v>872</v>
      </c>
      <c r="N109" s="114" t="s">
        <v>866</v>
      </c>
      <c r="O109" s="114" t="s">
        <v>871</v>
      </c>
      <c r="P109" s="114" t="s">
        <v>867</v>
      </c>
      <c r="Q109" s="44" t="s">
        <v>97</v>
      </c>
      <c r="R109" s="44" t="s">
        <v>98</v>
      </c>
      <c r="S109" s="114" t="s">
        <v>868</v>
      </c>
      <c r="T109" s="94"/>
    </row>
    <row r="110" spans="1:20">
      <c r="A110" s="43" t="s">
        <v>305</v>
      </c>
      <c r="B110" s="147" t="s">
        <v>439</v>
      </c>
      <c r="C110" s="282">
        <v>3537</v>
      </c>
      <c r="D110"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10"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269661</v>
      </c>
      <c r="F110"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0</v>
      </c>
      <c r="G110"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0</v>
      </c>
      <c r="H110"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0</v>
      </c>
      <c r="I110"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9480</v>
      </c>
      <c r="J110"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0</v>
      </c>
      <c r="K110"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6883828</v>
      </c>
      <c r="L110"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8298</v>
      </c>
      <c r="M110"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9156</v>
      </c>
      <c r="N110"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33913</v>
      </c>
      <c r="O110"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147347</v>
      </c>
      <c r="P110"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0</v>
      </c>
      <c r="Q110"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0</v>
      </c>
      <c r="R110"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10"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50896</v>
      </c>
      <c r="T110" s="94"/>
    </row>
    <row r="111" spans="1:20">
      <c r="A111" s="43" t="s">
        <v>297</v>
      </c>
      <c r="B111" s="147" t="s">
        <v>439</v>
      </c>
      <c r="C111" s="282">
        <v>3543</v>
      </c>
      <c r="D111"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11"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172762</v>
      </c>
      <c r="F111"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0</v>
      </c>
      <c r="G111"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0</v>
      </c>
      <c r="H111"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0</v>
      </c>
      <c r="I111"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0</v>
      </c>
      <c r="J111"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0</v>
      </c>
      <c r="K111"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165584</v>
      </c>
      <c r="L111"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0</v>
      </c>
      <c r="M111"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45132</v>
      </c>
      <c r="N111"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0</v>
      </c>
      <c r="O111"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0</v>
      </c>
      <c r="P111"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0</v>
      </c>
      <c r="Q111"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0</v>
      </c>
      <c r="R111"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11"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0</v>
      </c>
      <c r="T111" s="94"/>
    </row>
    <row r="112" spans="1:20">
      <c r="A112" s="43" t="s">
        <v>306</v>
      </c>
      <c r="B112" s="147" t="s">
        <v>439</v>
      </c>
      <c r="C112" s="282">
        <v>3545</v>
      </c>
      <c r="D112"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213584</v>
      </c>
      <c r="E112"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7378549</v>
      </c>
      <c r="F112"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2819053</v>
      </c>
      <c r="G112"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11157305</v>
      </c>
      <c r="H112"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4021668</v>
      </c>
      <c r="I112"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1597948</v>
      </c>
      <c r="J112"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5700405</v>
      </c>
      <c r="K112"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10925567</v>
      </c>
      <c r="L112"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5245619</v>
      </c>
      <c r="M112"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3454974</v>
      </c>
      <c r="N112"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4334789</v>
      </c>
      <c r="O112"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12503161</v>
      </c>
      <c r="P112"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3837376</v>
      </c>
      <c r="Q112"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1567394</v>
      </c>
      <c r="R112"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12"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2298097</v>
      </c>
      <c r="T112" s="94"/>
    </row>
    <row r="113" spans="1:20">
      <c r="A113" s="43" t="s">
        <v>690</v>
      </c>
      <c r="B113" s="147" t="s">
        <v>439</v>
      </c>
      <c r="C113" s="282">
        <v>3564</v>
      </c>
      <c r="D113"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13"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0</v>
      </c>
      <c r="F113"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0</v>
      </c>
      <c r="G113"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0</v>
      </c>
      <c r="H113"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0</v>
      </c>
      <c r="I113"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0</v>
      </c>
      <c r="J113"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0</v>
      </c>
      <c r="K113"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10734</v>
      </c>
      <c r="L113"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0</v>
      </c>
      <c r="M113"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0</v>
      </c>
      <c r="N113"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0</v>
      </c>
      <c r="O113"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0</v>
      </c>
      <c r="P113"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0</v>
      </c>
      <c r="Q113"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0</v>
      </c>
      <c r="R113"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13"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0</v>
      </c>
      <c r="T113" s="94"/>
    </row>
    <row r="114" spans="1:20">
      <c r="A114" s="43" t="s">
        <v>308</v>
      </c>
      <c r="B114" s="147" t="s">
        <v>439</v>
      </c>
      <c r="C114" s="282">
        <v>3577</v>
      </c>
      <c r="D114"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14"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0</v>
      </c>
      <c r="F114"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100000</v>
      </c>
      <c r="G114"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0</v>
      </c>
      <c r="H114"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200000</v>
      </c>
      <c r="I114"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0</v>
      </c>
      <c r="J114"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0</v>
      </c>
      <c r="K114"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0</v>
      </c>
      <c r="L114"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0</v>
      </c>
      <c r="M114"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0</v>
      </c>
      <c r="N114"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0</v>
      </c>
      <c r="O114"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0</v>
      </c>
      <c r="P114"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0</v>
      </c>
      <c r="Q114"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0</v>
      </c>
      <c r="R114"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14"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0</v>
      </c>
      <c r="T114" s="94"/>
    </row>
    <row r="115" spans="1:20">
      <c r="A115" s="43" t="s">
        <v>691</v>
      </c>
      <c r="B115" s="147" t="s">
        <v>439</v>
      </c>
      <c r="C115" s="282">
        <v>3584</v>
      </c>
      <c r="D115"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15"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0</v>
      </c>
      <c r="F115"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0</v>
      </c>
      <c r="G115"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171559</v>
      </c>
      <c r="H115"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0</v>
      </c>
      <c r="I115"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0</v>
      </c>
      <c r="J115"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0</v>
      </c>
      <c r="K115"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3377</v>
      </c>
      <c r="L115"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0</v>
      </c>
      <c r="M115"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0</v>
      </c>
      <c r="N115"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0</v>
      </c>
      <c r="O115"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275</v>
      </c>
      <c r="P115"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0</v>
      </c>
      <c r="Q115"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0</v>
      </c>
      <c r="R115"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15"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0</v>
      </c>
      <c r="T115" s="94"/>
    </row>
    <row r="116" spans="1:20">
      <c r="A116" s="43" t="s">
        <v>692</v>
      </c>
      <c r="B116" s="147" t="s">
        <v>439</v>
      </c>
      <c r="C116" s="282">
        <v>3591</v>
      </c>
      <c r="D116"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16"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38670</v>
      </c>
      <c r="F116"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0</v>
      </c>
      <c r="G116"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0</v>
      </c>
      <c r="H116"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0</v>
      </c>
      <c r="I116"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0</v>
      </c>
      <c r="J116"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0</v>
      </c>
      <c r="K116"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50749</v>
      </c>
      <c r="L116"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0</v>
      </c>
      <c r="M116"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0</v>
      </c>
      <c r="N116"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0</v>
      </c>
      <c r="O116"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0</v>
      </c>
      <c r="P116"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0</v>
      </c>
      <c r="Q116"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0</v>
      </c>
      <c r="R116"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16"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0</v>
      </c>
      <c r="T116" s="94"/>
    </row>
    <row r="117" spans="1:20">
      <c r="A117" s="43" t="s">
        <v>311</v>
      </c>
      <c r="B117" s="147" t="s">
        <v>439</v>
      </c>
      <c r="C117" s="282">
        <v>23053</v>
      </c>
      <c r="D117"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17"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0</v>
      </c>
      <c r="F117"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0</v>
      </c>
      <c r="G117"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0</v>
      </c>
      <c r="H117"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0</v>
      </c>
      <c r="I117"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0</v>
      </c>
      <c r="J117"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0</v>
      </c>
      <c r="K117"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0</v>
      </c>
      <c r="L117"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0</v>
      </c>
      <c r="M117"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0</v>
      </c>
      <c r="N117"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587000</v>
      </c>
      <c r="O117"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0</v>
      </c>
      <c r="P117"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0</v>
      </c>
      <c r="Q117"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0</v>
      </c>
      <c r="R117"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17"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0</v>
      </c>
      <c r="T117" s="94"/>
    </row>
    <row r="118" spans="1:20">
      <c r="A118" s="43" t="s">
        <v>312</v>
      </c>
      <c r="B118" s="147" t="s">
        <v>439</v>
      </c>
      <c r="C118" s="282">
        <v>3613</v>
      </c>
      <c r="D118"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18"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2422473</v>
      </c>
      <c r="F118"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728363</v>
      </c>
      <c r="G118"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8039174</v>
      </c>
      <c r="H118"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5498690</v>
      </c>
      <c r="I118"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1404909</v>
      </c>
      <c r="J118"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0</v>
      </c>
      <c r="K118"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4513282</v>
      </c>
      <c r="L118"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1566656</v>
      </c>
      <c r="M118"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1497269</v>
      </c>
      <c r="N118"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858070</v>
      </c>
      <c r="O118"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2806087</v>
      </c>
      <c r="P118"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3189982</v>
      </c>
      <c r="Q118"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8474003</v>
      </c>
      <c r="R118"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3273996</v>
      </c>
      <c r="S118"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2695349</v>
      </c>
      <c r="T118" s="94"/>
    </row>
    <row r="119" spans="1:20">
      <c r="A119" s="43" t="s">
        <v>313</v>
      </c>
      <c r="B119" s="147" t="s">
        <v>439</v>
      </c>
      <c r="C119" s="282">
        <v>3620</v>
      </c>
      <c r="D119"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19"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12588</v>
      </c>
      <c r="F119"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365</v>
      </c>
      <c r="G119"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0</v>
      </c>
      <c r="H119"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44136</v>
      </c>
      <c r="I119"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0</v>
      </c>
      <c r="J119"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1969</v>
      </c>
      <c r="K119"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32235</v>
      </c>
      <c r="L119"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0</v>
      </c>
      <c r="M119"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0</v>
      </c>
      <c r="N119"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147628</v>
      </c>
      <c r="O119"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0</v>
      </c>
      <c r="P119"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946</v>
      </c>
      <c r="Q119"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0</v>
      </c>
      <c r="R119"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19"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0</v>
      </c>
      <c r="T119" s="94"/>
    </row>
    <row r="120" spans="1:20">
      <c r="A120" s="43" t="s">
        <v>318</v>
      </c>
      <c r="B120" s="147" t="s">
        <v>439</v>
      </c>
      <c r="C120" s="282">
        <v>3636</v>
      </c>
      <c r="D120"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68505</v>
      </c>
      <c r="E120"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374512</v>
      </c>
      <c r="F120"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83974</v>
      </c>
      <c r="G120"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134468</v>
      </c>
      <c r="H120"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191629</v>
      </c>
      <c r="I120"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42204</v>
      </c>
      <c r="J120"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794775</v>
      </c>
      <c r="K120"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1120978</v>
      </c>
      <c r="L120"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625399</v>
      </c>
      <c r="M120"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5864971</v>
      </c>
      <c r="N120"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325816</v>
      </c>
      <c r="O120"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60834</v>
      </c>
      <c r="P120"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5478</v>
      </c>
      <c r="Q120"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4511236</v>
      </c>
      <c r="R120"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20"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0</v>
      </c>
      <c r="T120" s="94"/>
    </row>
    <row r="121" spans="1:20">
      <c r="A121" s="43" t="s">
        <v>315</v>
      </c>
      <c r="B121" s="147" t="s">
        <v>439</v>
      </c>
      <c r="C121" s="282">
        <v>3641</v>
      </c>
      <c r="D121"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21"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10418</v>
      </c>
      <c r="F121"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0</v>
      </c>
      <c r="G121"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0</v>
      </c>
      <c r="H121"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0</v>
      </c>
      <c r="I121"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0</v>
      </c>
      <c r="J121"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0</v>
      </c>
      <c r="K121"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199399</v>
      </c>
      <c r="L121"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29344</v>
      </c>
      <c r="M121"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0</v>
      </c>
      <c r="N121"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0</v>
      </c>
      <c r="O121"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0</v>
      </c>
      <c r="P121"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0</v>
      </c>
      <c r="Q121"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0</v>
      </c>
      <c r="R121"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21"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0</v>
      </c>
      <c r="T121" s="94"/>
    </row>
    <row r="122" spans="1:20">
      <c r="A122" s="43" t="s">
        <v>316</v>
      </c>
      <c r="B122" s="147" t="s">
        <v>439</v>
      </c>
      <c r="C122" s="282">
        <v>3645</v>
      </c>
      <c r="D122"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22"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1542</v>
      </c>
      <c r="F122"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0</v>
      </c>
      <c r="G122"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0</v>
      </c>
      <c r="H122"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0</v>
      </c>
      <c r="I122"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0</v>
      </c>
      <c r="J122"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0</v>
      </c>
      <c r="K122"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6558</v>
      </c>
      <c r="L122"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0</v>
      </c>
      <c r="M122"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12463</v>
      </c>
      <c r="N122"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0</v>
      </c>
      <c r="O122"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2095</v>
      </c>
      <c r="P122"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7310</v>
      </c>
      <c r="Q122"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126273</v>
      </c>
      <c r="R122"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22"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1084</v>
      </c>
      <c r="T122" s="94"/>
    </row>
    <row r="123" spans="1:20">
      <c r="A123" s="43" t="s">
        <v>317</v>
      </c>
      <c r="B123" s="147" t="s">
        <v>439</v>
      </c>
      <c r="C123" s="282">
        <v>3647</v>
      </c>
      <c r="D123"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23"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932947</v>
      </c>
      <c r="F123"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83662</v>
      </c>
      <c r="G123"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131261</v>
      </c>
      <c r="H123"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0</v>
      </c>
      <c r="I123"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88680</v>
      </c>
      <c r="J123"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0</v>
      </c>
      <c r="K123"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2023081</v>
      </c>
      <c r="L123"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648629</v>
      </c>
      <c r="M123"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346951</v>
      </c>
      <c r="N123"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251193</v>
      </c>
      <c r="O123"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729268</v>
      </c>
      <c r="P123"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34203</v>
      </c>
      <c r="Q123"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25662</v>
      </c>
      <c r="R123"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23"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0</v>
      </c>
      <c r="T123" s="94"/>
    </row>
    <row r="124" spans="1:20">
      <c r="A124" s="43" t="s">
        <v>694</v>
      </c>
      <c r="B124" s="147" t="s">
        <v>439</v>
      </c>
      <c r="C124" s="282">
        <v>3651</v>
      </c>
      <c r="D124"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24"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7781</v>
      </c>
      <c r="F124"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0</v>
      </c>
      <c r="G124"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0</v>
      </c>
      <c r="H124"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0</v>
      </c>
      <c r="I124"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0</v>
      </c>
      <c r="J124"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0</v>
      </c>
      <c r="K124"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204154</v>
      </c>
      <c r="L124"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0</v>
      </c>
      <c r="M124"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0</v>
      </c>
      <c r="N124"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0</v>
      </c>
      <c r="O124"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0</v>
      </c>
      <c r="P124"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0</v>
      </c>
      <c r="Q124"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0</v>
      </c>
      <c r="R124"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24"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0</v>
      </c>
      <c r="T124" s="94"/>
    </row>
    <row r="125" spans="1:20">
      <c r="A125" s="43" t="s">
        <v>695</v>
      </c>
      <c r="B125" s="147" t="s">
        <v>439</v>
      </c>
      <c r="C125" s="282">
        <v>3663</v>
      </c>
      <c r="D125"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25"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386</v>
      </c>
      <c r="F125"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5000</v>
      </c>
      <c r="G125"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0</v>
      </c>
      <c r="H125"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0</v>
      </c>
      <c r="I125"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0</v>
      </c>
      <c r="J125"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0</v>
      </c>
      <c r="K125"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30231</v>
      </c>
      <c r="L125"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0</v>
      </c>
      <c r="M125"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0</v>
      </c>
      <c r="N125"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0</v>
      </c>
      <c r="O125"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0</v>
      </c>
      <c r="P125"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0</v>
      </c>
      <c r="Q125"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6100</v>
      </c>
      <c r="R125"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25"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0</v>
      </c>
      <c r="T125" s="94"/>
    </row>
    <row r="126" spans="1:20">
      <c r="A126" s="43" t="s">
        <v>693</v>
      </c>
      <c r="B126" s="147" t="s">
        <v>439</v>
      </c>
      <c r="C126" s="282">
        <v>3604</v>
      </c>
      <c r="D126" s="47">
        <f>SUMIFS(InputResearch[Agricultural Sci. Fed],InputResearch[Institution Name],ListPVT[[#This Row],[Institution Name]])+SUMIFS(InputResearch[Agricultural Sci. St. Approp.],InputResearch[Institution Name],ListPVT[[#This Row],[Institution Name]])+SUMIFS(InputResearch[Agricultural Sci. St. C&amp;G],InputResearch[Institution Name],ListPVT[[#This Row],[Institution Name]])+SUMIFS(InputResearch[Agricultural Sci. Inst Res],InputResearch[Institution Name],ListPVT[[#This Row],[Institution Name]])+SUMIFS(InputResearch[Agricultural Sci. PFP],InputResearch[Institution Name],ListPVT[[#This Row],[Institution Name]])+SUMIFS(InputResearch[Agricultural Sci. PNP],InputResearch[Institution Name],ListPVT[[#This Row],[Institution Name]])</f>
        <v>0</v>
      </c>
      <c r="E126" s="47">
        <f>SUMIFS(InputResearch[Biological &amp; Other Life Sci. Fed],InputResearch[Institution Name],ListPVT[[#This Row],[Institution Name]])+SUMIFS(InputResearch[Biological &amp; Other Life Sci. St. Approp.],InputResearch[Institution Name],ListPVT[[#This Row],[Institution Name]])+SUMIFS(InputResearch[Biological &amp; Other Life Sci. St. C&amp;G],InputResearch[Institution Name],ListPVT[[#This Row],[Institution Name]])+SUMIFS(InputResearch[Biological &amp; Other Life Sci. Inst Res],InputResearch[Institution Name],ListPVT[[#This Row],[Institution Name]])+SUMIFS(InputResearch[Biological &amp; Other Life Sci. PFP],InputResearch[Institution Name],ListPVT[[#This Row],[Institution Name]])+SUMIFS(InputResearch[Biological &amp; Other Life Sci. PNP],InputResearch[Institution Name],ListPVT[[#This Row],[Institution Name]])</f>
        <v>39808210</v>
      </c>
      <c r="F126" s="47">
        <f>SUMIFS(InputResearch[Comp. Sci. Fed],InputResearch[Institution Name],ListPVT[[#This Row],[Institution Name]])+SUMIFS(InputResearch[Comp. Sci. St. Approp.],InputResearch[Institution Name],ListPVT[[#This Row],[Institution Name]])+SUMIFS(InputResearch[Comp. Sci. St. C&amp;G],InputResearch[Institution Name],ListPVT[[#This Row],[Institution Name]])+SUMIFS(InputResearch[Comp. Sci. Inst Res],InputResearch[Institution Name],ListPVT[[#This Row],[Institution Name]])+SUMIFS(InputResearch[Comp. Sci. PFP],InputResearch[Institution Name],ListPVT[[#This Row],[Institution Name]])+SUMIFS(InputResearch[Comp. Sci. PNP],InputResearch[Institution Name],ListPVT[[#This Row],[Institution Name]])</f>
        <v>11970717</v>
      </c>
      <c r="G126" s="47">
        <f>SUMIFS(InputResearch[Engineering Fed],InputResearch[Institution Name],ListPVT[[#This Row],[Institution Name]])+SUMIFS(InputResearch[Engineering St. Approp.],InputResearch[Institution Name],ListPVT[[#This Row],[Institution Name]])+SUMIFS(InputResearch[Engineering St. C&amp;G],InputResearch[Institution Name],ListPVT[[#This Row],[Institution Name]])+SUMIFS(InputResearch[Engineering Inst Res],InputResearch[Institution Name],ListPVT[[#This Row],[Institution Name]])+SUMIFS(InputResearch[Engineering PFP],InputResearch[Institution Name],ListPVT[[#This Row],[Institution Name]])+SUMIFS(InputResearch[Engineering PNP],InputResearch[Institution Name],ListPVT[[#This Row],[Institution Name]])</f>
        <v>109458016</v>
      </c>
      <c r="H126" s="47">
        <f>SUMIFS(InputResearch[Env Sci. Fed],InputResearch[Institution Name],ListPVT[[#This Row],[Institution Name]])+SUMIFS(InputResearch[Env Sci. St. Approp.],InputResearch[Institution Name],ListPVT[[#This Row],[Institution Name]])+SUMIFS(InputResearch[Env Sci. St. C&amp;G],InputResearch[Institution Name],ListPVT[[#This Row],[Institution Name]])+SUMIFS(InputResearch[Env Sci. Inst Res],InputResearch[Institution Name],ListPVT[[#This Row],[Institution Name]])+SUMIFS(InputResearch[Env Sci. PFP],InputResearch[Institution Name],ListPVT[[#This Row],[Institution Name]])+SUMIFS(InputResearch[Env Sci. PNP],InputResearch[Institution Name],ListPVT[[#This Row],[Institution Name]])</f>
        <v>5402331</v>
      </c>
      <c r="I126" s="47">
        <f>SUMIFS(InputResearch[Math Fed],InputResearch[Institution Name],ListPVT[[#This Row],[Institution Name]])+SUMIFS(InputResearch[Math St. Approp.],InputResearch[Institution Name],ListPVT[[#This Row],[Institution Name]])+SUMIFS(InputResearch[Math St. C&amp;G],InputResearch[Institution Name],ListPVT[[#This Row],[Institution Name]])+SUMIFS(InputResearch[Math Inst Res],InputResearch[Institution Name],ListPVT[[#This Row],[Institution Name]])+SUMIFS(InputResearch[Math PFP],InputResearch[Institution Name],ListPVT[[#This Row],[Institution Name]])+SUMIFS(InputResearch[Math PNP],InputResearch[Institution Name],ListPVT[[#This Row],[Institution Name]])</f>
        <v>6519437</v>
      </c>
      <c r="J126" s="47">
        <f>SUMIFS(InputResearch[Medical Fed],InputResearch[Institution Name],ListPVT[[#This Row],[Institution Name]])+SUMIFS(InputResearch[Medical St. Approp.],InputResearch[Institution Name],ListPVT[[#This Row],[Institution Name]])+SUMIFS(InputResearch[Medical St. C&amp;G],InputResearch[Institution Name],ListPVT[[#This Row],[Institution Name]])+SUMIFS(InputResearch[Medical Inst Res],InputResearch[Institution Name],ListPVT[[#This Row],[Institution Name]])+SUMIFS(InputResearch[Medical PFP],InputResearch[Institution Name],ListPVT[[#This Row],[Institution Name]])+SUMIFS(InputResearch[Medical PNP],InputResearch[Institution Name],ListPVT[[#This Row],[Institution Name]])</f>
        <v>49</v>
      </c>
      <c r="K126" s="47">
        <f>SUMIFS(InputResearch[Physical Sci. Fed],InputResearch[Institution Name],ListPVT[[#This Row],[Institution Name]])+SUMIFS(InputResearch[Physical Sci. St. Approp.],InputResearch[Institution Name],ListPVT[[#This Row],[Institution Name]])+SUMIFS(InputResearch[Physical Sci. St. C&amp;G],InputResearch[Institution Name],ListPVT[[#This Row],[Institution Name]])+SUMIFS(InputResearch[Physical Sci. Inst Res],InputResearch[Institution Name],ListPVT[[#This Row],[Institution Name]])+SUMIFS(InputResearch[Physical Sci. PFP],InputResearch[Institution Name],ListPVT[[#This Row],[Institution Name]])+SUMIFS(InputResearch[Physical Sci. PNP],InputResearch[Institution Name],ListPVT[[#This Row],[Institution Name]])</f>
        <v>42435789</v>
      </c>
      <c r="L126" s="47">
        <f>SUMIFS(InputResearch[Psychology Fed],InputResearch[Institution Name],ListPVT[[#This Row],[Institution Name]])+SUMIFS(InputResearch[Psychology St. Approp.],InputResearch[Institution Name],ListPVT[[#This Row],[Institution Name]])+SUMIFS(InputResearch[Psychology St. C&amp;G],InputResearch[Institution Name],ListPVT[[#This Row],[Institution Name]])+SUMIFS(InputResearch[Psychology Inst Res],InputResearch[Institution Name],ListPVT[[#This Row],[Institution Name]])+SUMIFS(InputResearch[Psychology PFP],InputResearch[Institution Name],ListPVT[[#This Row],[Institution Name]])+SUMIFS(InputResearch[Psychology PNP],InputResearch[Institution Name],ListPVT[[#This Row],[Institution Name]])</f>
        <v>5529734</v>
      </c>
      <c r="M126" s="47">
        <f>SUMIFS(InputResearch[Social Sci. Fed],InputResearch[Institution Name],ListPVT[[#This Row],[Institution Name]])+SUMIFS(InputResearch[Social Sci. St. Approp.],InputResearch[Institution Name],ListPVT[[#This Row],[Institution Name]])+SUMIFS(InputResearch[Social Sci. St. C&amp;G],InputResearch[Institution Name],ListPVT[[#This Row],[Institution Name]])+SUMIFS(InputResearch[Social Sci. Inst Res],InputResearch[Institution Name],ListPVT[[#This Row],[Institution Name]])+SUMIFS(InputResearch[Social Sci. PFP],InputResearch[Institution Name],ListPVT[[#This Row],[Institution Name]])+SUMIFS(InputResearch[Social Sci. PNP],InputResearch[Institution Name],ListPVT[[#This Row],[Institution Name]])</f>
        <v>24107986</v>
      </c>
      <c r="N126" s="47">
        <f>SUMIFS(InputResearch[Other Sci. Fed],InputResearch[Institution Name],ListPVT[[#This Row],[Institution Name]])+SUMIFS(InputResearch[Other Sci. St. Approp.],InputResearch[Institution Name],ListPVT[[#This Row],[Institution Name]])+SUMIFS(InputResearch[Other Sci. St. C&amp;G],InputResearch[Institution Name],ListPVT[[#This Row],[Institution Name]])+SUMIFS(InputResearch[Other Sci. Inst Res],InputResearch[Institution Name],ListPVT[[#This Row],[Institution Name]])+SUMIFS(InputResearch[Other Sci. PFP],InputResearch[Institution Name],ListPVT[[#This Row],[Institution Name]])+SUMIFS(InputResearch[Other Sci. PNP],InputResearch[Institution Name],ListPVT[[#This Row],[Institution Name]])</f>
        <v>2518959</v>
      </c>
      <c r="O126" s="47">
        <f>SUMIFS(InputResearch[Arts &amp; Humanities Fed],InputResearch[Institution Name],ListPVT[[#This Row],[Institution Name]])+SUMIFS(InputResearch[Arts &amp; Humanities St. Approp.],InputResearch[Institution Name],ListPVT[[#This Row],[Institution Name]])+SUMIFS(InputResearch[Arts &amp; Humanities St. C&amp;G],InputResearch[Institution Name],ListPVT[[#This Row],[Institution Name]])+SUMIFS(InputResearch[Arts &amp; Humanities Inst Res],InputResearch[Institution Name],ListPVT[[#This Row],[Institution Name]])+SUMIFS(InputResearch[Arts &amp; Humanities PFP],InputResearch[Institution Name],ListPVT[[#This Row],[Institution Name]])+SUMIFS(InputResearch[Arts &amp; Humanities PNP],InputResearch[Institution Name],ListPVT[[#This Row],[Institution Name]])</f>
        <v>2074545</v>
      </c>
      <c r="P126" s="47">
        <f>SUMIFS(InputResearch[Business Fed],InputResearch[Institution Name],ListPVT[[#This Row],[Institution Name]])+SUMIFS(InputResearch[Business St. Approp.],InputResearch[Institution Name],ListPVT[[#This Row],[Institution Name]])+SUMIFS(InputResearch[Business St. C&amp;G],InputResearch[Institution Name],ListPVT[[#This Row],[Institution Name]])+SUMIFS(InputResearch[Business Inst Res],InputResearch[Institution Name],ListPVT[[#This Row],[Institution Name]])+SUMIFS(InputResearch[Business PFP],InputResearch[Institution Name],ListPVT[[#This Row],[Institution Name]])+SUMIFS(InputResearch[Business PNP],InputResearch[Institution Name],ListPVT[[#This Row],[Institution Name]])</f>
        <v>716061</v>
      </c>
      <c r="Q126" s="47">
        <f>SUMIFS(InputResearch[Education Fed],InputResearch[Institution Name],ListPVT[[#This Row],[Institution Name]])+SUMIFS(InputResearch[Education St. Approp.],InputResearch[Institution Name],ListPVT[[#This Row],[Institution Name]])+SUMIFS(InputResearch[Education St. C&amp;G],InputResearch[Institution Name],ListPVT[[#This Row],[Institution Name]])+SUMIFS(InputResearch[Education Inst Res],InputResearch[Institution Name],ListPVT[[#This Row],[Institution Name]])+SUMIFS(InputResearch[Education PFP],InputResearch[Institution Name],ListPVT[[#This Row],[Institution Name]])+SUMIFS(InputResearch[Education PNP],InputResearch[Institution Name],ListPVT[[#This Row],[Institution Name]])</f>
        <v>2575326</v>
      </c>
      <c r="R126" s="47">
        <f>SUMIFS(InputResearch[Law Fed],InputResearch[Institution Name],ListPVT[[#This Row],[Institution Name]])+SUMIFS(InputResearch[Law St. Approp.],InputResearch[Institution Name],ListPVT[[#This Row],[Institution Name]])+SUMIFS(InputResearch[Law St. C&amp;G],InputResearch[Institution Name],ListPVT[[#This Row],[Institution Name]])+SUMIFS(InputResearch[Law Inst Res],InputResearch[Institution Name],ListPVT[[#This Row],[Institution Name]])+SUMIFS(InputResearch[Law PFP],InputResearch[Institution Name],ListPVT[[#This Row],[Institution Name]])+SUMIFS(InputResearch[Law PNP],InputResearch[Institution Name],ListPVT[[#This Row],[Institution Name]])</f>
        <v>0</v>
      </c>
      <c r="S126" s="47">
        <f>SUMIFS(InputResearch[Other Non-Sci. Fed],InputResearch[Institution Name],ListPVT[[#This Row],[Institution Name]])+SUMIFS(InputResearch[Other Non-Sci. St. Approp.],InputResearch[Institution Name],ListPVT[[#This Row],[Institution Name]])+SUMIFS(InputResearch[Other Non-Sci. St. C&amp;G],InputResearch[Institution Name],ListPVT[[#This Row],[Institution Name]])+SUMIFS(InputResearch[Other Non-Sci. Inst Res],InputResearch[Institution Name],ListPVT[[#This Row],[Institution Name]])+SUMIFS(InputResearch[Other Non-Sci. PFP],InputResearch[Institution Name],ListPVT[[#This Row],[Institution Name]])+SUMIFS(InputResearch[Other Non-Sci. PNP],InputResearch[Institution Name],ListPVT[[#This Row],[Institution Name]])</f>
        <v>34862</v>
      </c>
      <c r="T126" s="94"/>
    </row>
    <row r="127" spans="1:20">
      <c r="C127" s="46"/>
      <c r="D127" s="310">
        <f>SUBTOTAL(109,ListPVT[Agricultural 
Sciences])</f>
        <v>282089</v>
      </c>
      <c r="E127" s="310">
        <f>SUBTOTAL(109,ListPVT[Biological &amp; Other 
Life Sciences])</f>
        <v>51430499</v>
      </c>
      <c r="F127" s="310">
        <f>SUBTOTAL(109,ListPVT[Computer 
Science])</f>
        <v>15791134</v>
      </c>
      <c r="G127" s="310">
        <f>SUBTOTAL(109,ListPVT[Engineering])</f>
        <v>129091783</v>
      </c>
      <c r="H127" s="310">
        <f>SUBTOTAL(109,ListPVT[Environmental 
Sciences])</f>
        <v>15358454</v>
      </c>
      <c r="I127" s="310">
        <f>SUBTOTAL(109,ListPVT[Mathematical 
Sciences])</f>
        <v>9662658</v>
      </c>
      <c r="J127" s="310">
        <f>SUBTOTAL(109,ListPVT[Medical 
Sciences])</f>
        <v>6497198</v>
      </c>
      <c r="K127" s="310">
        <f>SUBTOTAL(109,ListPVT[Physical 
Sciences])</f>
        <v>68605546</v>
      </c>
      <c r="L127" s="310">
        <f>SUBTOTAL(109,ListPVT[Psychology])</f>
        <v>13653679</v>
      </c>
      <c r="M127" s="310">
        <f>SUBTOTAL(109,ListPVT[Social 
Sciences])</f>
        <v>35338902</v>
      </c>
      <c r="N127" s="310">
        <f>SUBTOTAL(109,ListPVT[Other Sciences not 
classified above])</f>
        <v>9057368</v>
      </c>
      <c r="O127" s="310">
        <f>SUBTOTAL(109,ListPVT[Arts &amp; 
Humanities])</f>
        <v>18323612</v>
      </c>
      <c r="P127" s="310">
        <f>SUBTOTAL(109,ListPVT[Business 
Administration])</f>
        <v>7791356</v>
      </c>
      <c r="Q127" s="310">
        <f>SUBTOTAL(109,ListPVT[Education])</f>
        <v>17285994</v>
      </c>
      <c r="R127" s="310">
        <f>SUBTOTAL(109,ListPVT[Law])</f>
        <v>3273996</v>
      </c>
      <c r="S127" s="310">
        <f>SUBTOTAL(109,ListPVT[Other Non-Science 
Activities])</f>
        <v>5080288</v>
      </c>
      <c r="T127" s="94"/>
    </row>
    <row r="128" spans="1:20">
      <c r="A128" s="94"/>
      <c r="B128" s="96"/>
      <c r="C128" s="94"/>
      <c r="D128" s="94"/>
      <c r="E128" s="94"/>
      <c r="F128" s="94"/>
      <c r="G128" s="94"/>
      <c r="H128" s="94"/>
      <c r="I128" s="94"/>
      <c r="J128" s="94"/>
      <c r="K128" s="94"/>
      <c r="L128" s="94"/>
      <c r="M128" s="94"/>
      <c r="N128" s="94"/>
      <c r="O128" s="94"/>
      <c r="P128" s="94"/>
      <c r="Q128" s="94"/>
      <c r="R128" s="94"/>
      <c r="S128" s="94"/>
      <c r="T128" s="94"/>
    </row>
    <row r="129" spans="1:20">
      <c r="A129" s="94"/>
      <c r="B129" s="96"/>
      <c r="C129" s="94"/>
      <c r="D129" s="94"/>
      <c r="E129" s="94"/>
      <c r="F129" s="94"/>
      <c r="G129" s="94"/>
      <c r="H129" s="94"/>
      <c r="I129" s="94"/>
      <c r="J129" s="94"/>
      <c r="K129" s="94"/>
      <c r="L129" s="94"/>
      <c r="M129" s="94"/>
      <c r="N129" s="94"/>
      <c r="O129" s="94"/>
      <c r="P129" s="94"/>
      <c r="Q129" s="94"/>
      <c r="R129" s="94"/>
      <c r="S129" s="94"/>
      <c r="T129" s="94"/>
    </row>
  </sheetData>
  <sheetProtection algorithmName="SHA-512" hashValue="7EMiAe/KUAWhDxSrUnjQ+HgeWW+JFvOsdKOj+ebtJuf0BG2u+VDPy8yMN4TWwQh1gDm+EcYkVK0LJ2oxaWqLVg==" saltValue="87Fg71NMrKbUWuxqlrAHTg==" spinCount="100000" sheet="1" objects="1" scenarios="1" formatColumns="0"/>
  <mergeCells count="13">
    <mergeCell ref="A106:S106"/>
    <mergeCell ref="A107:S107"/>
    <mergeCell ref="A1:R1"/>
    <mergeCell ref="A2:S2"/>
    <mergeCell ref="A3:S3"/>
    <mergeCell ref="A22:S22"/>
    <mergeCell ref="A23:S23"/>
    <mergeCell ref="A37:S37"/>
    <mergeCell ref="A38:S38"/>
    <mergeCell ref="A96:S96"/>
    <mergeCell ref="A97:S97"/>
    <mergeCell ref="A79:S79"/>
    <mergeCell ref="A80:S80"/>
  </mergeCells>
  <phoneticPr fontId="7" type="noConversion"/>
  <printOptions horizontalCentered="1"/>
  <pageMargins left="0.25" right="0.25" top="0.7" bottom="0.5" header="0.5" footer="0.25"/>
  <pageSetup paperSize="5" scale="36" fitToHeight="0" orientation="landscape" r:id="rId1"/>
  <headerFooter>
    <oddHeader>&amp;C&amp;"-,Bold"&amp;18Summary of R &amp;&amp; D Expenditures by Discipline - Fiscal Year 2023</oddHeader>
    <oddFooter>&amp;CPage &amp;P of &amp;N&amp;RPrinted on: &amp;D</oddFooter>
  </headerFooter>
  <drawing r:id="rId2"/>
  <legacyDrawing r:id="rId3"/>
  <tableParts count="6">
    <tablePart r:id="rId4"/>
    <tablePart r:id="rId5"/>
    <tablePart r:id="rId6"/>
    <tablePart r:id="rId7"/>
    <tablePart r:id="rId8"/>
    <tablePart r:id="rId9"/>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40824-688C-4A4D-B8B9-AA1099E66871}">
  <sheetPr codeName="Sheet13">
    <tabColor theme="5"/>
    <pageSetUpPr fitToPage="1"/>
  </sheetPr>
  <dimension ref="A1:N65"/>
  <sheetViews>
    <sheetView zoomScale="70" zoomScaleNormal="70" workbookViewId="0">
      <selection sqref="A1:C1"/>
    </sheetView>
  </sheetViews>
  <sheetFormatPr defaultColWidth="9.08984375" defaultRowHeight="13.8"/>
  <cols>
    <col min="1" max="1" width="39.54296875" style="10" customWidth="1"/>
    <col min="2" max="8" width="20.81640625" style="10" customWidth="1"/>
    <col min="9" max="10" width="9.08984375" style="10"/>
    <col min="11" max="11" width="16.81640625" style="10" bestFit="1" customWidth="1"/>
    <col min="12" max="13" width="10.6328125" style="10" customWidth="1"/>
    <col min="14" max="14" width="3.81640625" style="10" customWidth="1"/>
    <col min="15" max="16384" width="9.08984375" style="10"/>
  </cols>
  <sheetData>
    <row r="1" spans="1:14" ht="34.950000000000003" customHeight="1" thickBot="1">
      <c r="A1" s="461"/>
      <c r="B1" s="461"/>
      <c r="C1" s="461"/>
      <c r="D1" s="11"/>
      <c r="E1" s="11"/>
      <c r="F1" s="11"/>
      <c r="G1" s="11"/>
      <c r="H1" s="11"/>
      <c r="I1" s="5"/>
      <c r="J1" s="9"/>
      <c r="K1" s="9"/>
      <c r="L1" s="9"/>
      <c r="M1" s="9"/>
      <c r="N1" s="9"/>
    </row>
    <row r="2" spans="1:14" ht="18" thickBot="1">
      <c r="A2" s="422" t="str">
        <f>IF(ISBLANK($A$1),"▲ Select from dropdown ▲","For the Year Ended August 31, 2023")</f>
        <v>▲ Select from dropdown ▲</v>
      </c>
      <c r="B2" s="422"/>
      <c r="C2" s="422"/>
      <c r="D2" s="11"/>
      <c r="E2" s="11"/>
      <c r="F2" s="11"/>
      <c r="G2" s="11"/>
      <c r="H2" s="11"/>
      <c r="I2" s="9"/>
      <c r="J2" s="9"/>
      <c r="K2" s="9"/>
      <c r="L2" s="9"/>
      <c r="M2" s="9"/>
      <c r="N2" s="9"/>
    </row>
    <row r="3" spans="1:14">
      <c r="A3" s="462"/>
      <c r="B3" s="462"/>
      <c r="C3" s="462"/>
      <c r="D3" s="11"/>
      <c r="E3" s="11"/>
      <c r="F3" s="11"/>
      <c r="G3" s="11"/>
      <c r="H3" s="11"/>
      <c r="I3" s="9"/>
      <c r="J3" s="9"/>
      <c r="K3" s="9"/>
      <c r="L3" s="9"/>
      <c r="M3" s="9"/>
      <c r="N3" s="9"/>
    </row>
    <row r="4" spans="1:14">
      <c r="A4" s="463" t="s">
        <v>972</v>
      </c>
      <c r="B4" s="463"/>
      <c r="C4" s="463"/>
      <c r="D4" s="463"/>
      <c r="E4" s="463"/>
      <c r="F4" s="463"/>
      <c r="G4" s="463"/>
      <c r="H4" s="463"/>
      <c r="I4" s="9"/>
      <c r="J4" s="9"/>
      <c r="K4" s="9"/>
      <c r="L4" s="9"/>
      <c r="M4" s="9"/>
      <c r="N4" s="9"/>
    </row>
    <row r="5" spans="1:14">
      <c r="A5" s="463"/>
      <c r="B5" s="463"/>
      <c r="C5" s="463"/>
      <c r="D5" s="463"/>
      <c r="E5" s="463"/>
      <c r="F5" s="463"/>
      <c r="G5" s="463"/>
      <c r="H5" s="463"/>
      <c r="I5" s="9"/>
      <c r="J5" s="9"/>
      <c r="K5" s="9"/>
      <c r="L5" s="9"/>
      <c r="M5" s="9"/>
      <c r="N5" s="9"/>
    </row>
    <row r="6" spans="1:14" ht="34.950000000000003" customHeight="1">
      <c r="A6" s="463"/>
      <c r="B6" s="463"/>
      <c r="C6" s="463"/>
      <c r="D6" s="463"/>
      <c r="E6" s="463"/>
      <c r="F6" s="463"/>
      <c r="G6" s="463"/>
      <c r="H6" s="463"/>
      <c r="I6" s="9"/>
      <c r="J6" s="9"/>
      <c r="K6" s="9"/>
      <c r="L6" s="9"/>
      <c r="M6" s="9"/>
      <c r="N6" s="9"/>
    </row>
    <row r="7" spans="1:14" ht="21">
      <c r="A7" s="405" t="s">
        <v>602</v>
      </c>
      <c r="B7" s="406"/>
      <c r="C7" s="406"/>
      <c r="D7" s="406"/>
      <c r="E7" s="406"/>
      <c r="F7" s="407"/>
      <c r="G7" s="299" t="s">
        <v>952</v>
      </c>
      <c r="H7" s="299" t="s">
        <v>953</v>
      </c>
      <c r="I7" s="9"/>
      <c r="J7" s="9"/>
      <c r="K7" s="460" t="s">
        <v>725</v>
      </c>
      <c r="L7" s="9"/>
      <c r="M7" s="9"/>
      <c r="N7" s="9"/>
    </row>
    <row r="8" spans="1:14" s="13" customFormat="1" ht="24.9" customHeight="1">
      <c r="A8" s="454" t="s">
        <v>300</v>
      </c>
      <c r="B8" s="454"/>
      <c r="C8" s="454"/>
      <c r="D8" s="454"/>
      <c r="E8" s="454"/>
      <c r="F8" s="454"/>
      <c r="G8" s="288">
        <f>H8</f>
        <v>0</v>
      </c>
      <c r="H8" s="289">
        <f>SUMIFS(InputResearch[R &amp; D Expenses],InputResearch[Type],VLOOKUP($A$1,SearchTypes,2,FALSE))</f>
        <v>0</v>
      </c>
      <c r="I8" s="12"/>
      <c r="J8" s="12"/>
      <c r="K8" s="460"/>
      <c r="L8" s="12"/>
      <c r="M8" s="12"/>
      <c r="N8" s="12"/>
    </row>
    <row r="9" spans="1:14" s="13" customFormat="1" ht="24.9" customHeight="1" thickBot="1">
      <c r="A9" s="454" t="s">
        <v>298</v>
      </c>
      <c r="B9" s="454"/>
      <c r="C9" s="454"/>
      <c r="D9" s="454"/>
      <c r="E9" s="454"/>
      <c r="F9" s="454"/>
      <c r="G9" s="289">
        <f>SUMIFS(InputResearch[R &amp; D Exp Not meeting narrow def],InputResearch[Type],VLOOKUP($A$1,SearchTypes,2,FALSE))</f>
        <v>0</v>
      </c>
      <c r="H9" s="246"/>
      <c r="I9" s="12"/>
      <c r="J9" s="12"/>
      <c r="K9" s="29">
        <f>SUMIFS(InputResearch[SRECNP Res. Exp.],InputResearch[Type],VLOOKUP($A$1,SearchTypes,2,FALSE))</f>
        <v>0</v>
      </c>
      <c r="L9" s="12"/>
      <c r="M9" s="12"/>
      <c r="N9" s="12"/>
    </row>
    <row r="10" spans="1:14" s="13" customFormat="1" ht="24.9" customHeight="1" thickTop="1">
      <c r="A10" s="455" t="s">
        <v>600</v>
      </c>
      <c r="B10" s="456"/>
      <c r="C10" s="456"/>
      <c r="D10" s="456"/>
      <c r="E10" s="456"/>
      <c r="F10" s="456"/>
      <c r="G10" s="290">
        <f>G8+G9</f>
        <v>0</v>
      </c>
      <c r="H10" s="247"/>
      <c r="I10" s="12"/>
      <c r="J10" s="12"/>
      <c r="K10" s="12"/>
      <c r="L10" s="12"/>
      <c r="M10" s="12"/>
      <c r="N10" s="12"/>
    </row>
    <row r="11" spans="1:14" s="13" customFormat="1" ht="24.9" customHeight="1">
      <c r="A11" s="454"/>
      <c r="B11" s="454"/>
      <c r="C11" s="454"/>
      <c r="D11" s="454"/>
      <c r="E11" s="454"/>
      <c r="F11" s="454"/>
      <c r="G11" s="246"/>
      <c r="H11" s="246"/>
      <c r="I11" s="12"/>
      <c r="J11" s="12"/>
      <c r="K11" s="12"/>
      <c r="L11" s="12"/>
      <c r="M11" s="12"/>
      <c r="N11" s="12"/>
    </row>
    <row r="12" spans="1:14" s="13" customFormat="1" ht="24.9" customHeight="1">
      <c r="A12" s="454" t="s">
        <v>299</v>
      </c>
      <c r="B12" s="454"/>
      <c r="C12" s="454"/>
      <c r="D12" s="454"/>
      <c r="E12" s="454"/>
      <c r="F12" s="454"/>
      <c r="G12" s="288">
        <f>SUMIFS(InputResearch[Other Res-related Eq Exp],InputResearch[Type],VLOOKUP($A$1,SearchTypes,2,FALSE))</f>
        <v>0</v>
      </c>
      <c r="H12" s="246"/>
      <c r="I12" s="12"/>
      <c r="J12" s="12"/>
      <c r="K12" s="12"/>
      <c r="L12" s="12"/>
      <c r="M12" s="12"/>
      <c r="N12" s="12"/>
    </row>
    <row r="13" spans="1:14" s="13" customFormat="1" ht="24.9" customHeight="1">
      <c r="A13" s="454" t="s">
        <v>301</v>
      </c>
      <c r="B13" s="454"/>
      <c r="C13" s="454"/>
      <c r="D13" s="454"/>
      <c r="E13" s="454"/>
      <c r="F13" s="454"/>
      <c r="G13" s="288">
        <f>H13</f>
        <v>0</v>
      </c>
      <c r="H13" s="289">
        <f>SUMIFS(InputResearch[IDC assoc w/Exp for R &amp; D],InputResearch[Type],VLOOKUP($A$1,SearchTypes,2,FALSE))</f>
        <v>0</v>
      </c>
      <c r="I13" s="12"/>
      <c r="J13" s="12"/>
      <c r="K13" s="12"/>
      <c r="L13" s="12"/>
      <c r="M13" s="12"/>
      <c r="N13" s="12"/>
    </row>
    <row r="14" spans="1:14" s="13" customFormat="1" ht="24.9" customHeight="1">
      <c r="A14" s="454" t="s">
        <v>302</v>
      </c>
      <c r="B14" s="454"/>
      <c r="C14" s="454"/>
      <c r="D14" s="454"/>
      <c r="E14" s="454"/>
      <c r="F14" s="454"/>
      <c r="G14" s="288">
        <f>H14</f>
        <v>0</v>
      </c>
      <c r="H14" s="289">
        <f>SUMIFS(InputResearch[Capital Outlay (Res Equip)],InputResearch[Type],VLOOKUP($A$1,SearchTypes,2,FALSE))</f>
        <v>0</v>
      </c>
      <c r="I14" s="12"/>
      <c r="J14" s="12"/>
      <c r="K14" s="18"/>
      <c r="L14" s="12"/>
      <c r="M14" s="12"/>
      <c r="N14" s="12"/>
    </row>
    <row r="15" spans="1:14" s="13" customFormat="1" ht="50.1" customHeight="1">
      <c r="A15" s="453" t="s">
        <v>303</v>
      </c>
      <c r="B15" s="453"/>
      <c r="C15" s="453"/>
      <c r="D15" s="453"/>
      <c r="E15" s="453"/>
      <c r="F15" s="453"/>
      <c r="G15" s="288">
        <f>H15</f>
        <v>0</v>
      </c>
      <c r="H15" s="289">
        <f>SUMIFS(InputResearch[R&amp;D Exp - Inst foundation/501(c)(3)],InputResearch[Type],VLOOKUP($A$1,SearchTypes,2,FALSE))</f>
        <v>0</v>
      </c>
      <c r="I15" s="12"/>
      <c r="J15" s="12"/>
      <c r="K15" s="12"/>
      <c r="L15" s="12"/>
      <c r="M15" s="12"/>
      <c r="N15" s="12"/>
    </row>
    <row r="16" spans="1:14" s="13" customFormat="1" ht="24.9" customHeight="1" thickBot="1">
      <c r="A16" s="454" t="s">
        <v>304</v>
      </c>
      <c r="B16" s="454"/>
      <c r="C16" s="454"/>
      <c r="D16" s="454"/>
      <c r="E16" s="454"/>
      <c r="F16" s="454"/>
      <c r="G16" s="288">
        <f>H16</f>
        <v>0</v>
      </c>
      <c r="H16" s="289">
        <f>SUMIFS(InputResearch[Pass-Thru from other Texas A&amp;M members],InputResearch[Type],VLOOKUP($A$1,SearchTypes,2,FALSE))</f>
        <v>0</v>
      </c>
      <c r="I16" s="12"/>
      <c r="J16" s="12"/>
      <c r="K16" s="12"/>
      <c r="L16" s="12"/>
      <c r="M16" s="12"/>
      <c r="N16" s="12"/>
    </row>
    <row r="17" spans="1:14" s="13" customFormat="1" ht="24.9" customHeight="1" thickTop="1">
      <c r="A17" s="455" t="s">
        <v>606</v>
      </c>
      <c r="B17" s="456"/>
      <c r="C17" s="456"/>
      <c r="D17" s="456"/>
      <c r="E17" s="456"/>
      <c r="F17" s="456"/>
      <c r="G17" s="290">
        <f>SUM(G10:G16)</f>
        <v>0</v>
      </c>
      <c r="H17" s="291">
        <f>SUM(H8,H13:H16)</f>
        <v>0</v>
      </c>
      <c r="I17" s="12"/>
      <c r="J17" s="12"/>
      <c r="K17" s="12"/>
      <c r="L17" s="12"/>
      <c r="M17" s="12"/>
      <c r="N17" s="12"/>
    </row>
    <row r="18" spans="1:14" s="13" customFormat="1" ht="24.9" customHeight="1">
      <c r="A18" s="454" t="s">
        <v>641</v>
      </c>
      <c r="B18" s="454"/>
      <c r="C18" s="454"/>
      <c r="D18" s="454"/>
      <c r="E18" s="454"/>
      <c r="F18" s="454"/>
      <c r="G18" s="454"/>
      <c r="H18" s="289">
        <f>SUMIFS(InputResearch[Total R &amp; D Exp as a Sub],InputResearch[Type],VLOOKUP($A$1,SearchTypes,2,FALSE))</f>
        <v>0</v>
      </c>
      <c r="I18" s="12"/>
      <c r="J18" s="12"/>
      <c r="K18" s="12"/>
      <c r="L18" s="12"/>
      <c r="M18" s="12"/>
      <c r="N18" s="12"/>
    </row>
    <row r="19" spans="1:14" s="13" customFormat="1" ht="24.9" customHeight="1">
      <c r="A19" s="457" t="s">
        <v>642</v>
      </c>
      <c r="B19" s="457"/>
      <c r="C19" s="457"/>
      <c r="D19" s="457"/>
      <c r="E19" s="457"/>
      <c r="F19" s="457"/>
      <c r="G19" s="457"/>
      <c r="H19" s="292">
        <f>SUMIFS(InputResearch[Total R &amp; D Exp to a Sub],InputResearch[Type],VLOOKUP($A$1,SearchTypes,2,FALSE))</f>
        <v>0</v>
      </c>
      <c r="I19" s="12"/>
      <c r="J19" s="12"/>
      <c r="K19" s="12"/>
      <c r="L19" s="12"/>
      <c r="M19" s="12"/>
      <c r="N19" s="12"/>
    </row>
    <row r="20" spans="1:14" ht="24.9" customHeight="1">
      <c r="A20" s="11"/>
      <c r="B20" s="11"/>
      <c r="C20" s="11"/>
      <c r="D20" s="11"/>
      <c r="E20" s="11"/>
      <c r="F20" s="11"/>
      <c r="G20" s="11"/>
      <c r="H20" s="11"/>
      <c r="I20" s="9"/>
      <c r="J20" s="9"/>
      <c r="K20" s="9"/>
      <c r="L20" s="9"/>
      <c r="M20" s="9"/>
      <c r="N20" s="9"/>
    </row>
    <row r="21" spans="1:14" ht="21">
      <c r="A21" s="452" t="s">
        <v>604</v>
      </c>
      <c r="B21" s="452"/>
      <c r="C21" s="452"/>
      <c r="D21" s="452"/>
      <c r="E21" s="452"/>
      <c r="F21" s="452"/>
      <c r="G21" s="452"/>
      <c r="H21" s="452"/>
      <c r="I21" s="9"/>
      <c r="J21" s="9"/>
      <c r="K21" s="9"/>
      <c r="L21" s="9"/>
      <c r="M21" s="9"/>
      <c r="N21" s="9"/>
    </row>
    <row r="22" spans="1:14" s="83" customFormat="1" ht="31.2">
      <c r="A22" s="241" t="s">
        <v>668</v>
      </c>
      <c r="B22" s="242" t="s">
        <v>100</v>
      </c>
      <c r="C22" s="243" t="s">
        <v>101</v>
      </c>
      <c r="D22" s="243" t="s">
        <v>102</v>
      </c>
      <c r="E22" s="243" t="s">
        <v>103</v>
      </c>
      <c r="F22" s="243" t="s">
        <v>723</v>
      </c>
      <c r="G22" s="244" t="s">
        <v>724</v>
      </c>
      <c r="H22" s="245" t="s">
        <v>603</v>
      </c>
      <c r="I22" s="90"/>
      <c r="J22" s="90"/>
      <c r="K22" s="90"/>
      <c r="L22" s="90"/>
      <c r="M22" s="90"/>
      <c r="N22" s="90"/>
    </row>
    <row r="23" spans="1:14" ht="24.9" customHeight="1">
      <c r="A23" s="229" t="s">
        <v>84</v>
      </c>
      <c r="B23" s="230">
        <f>SUMIFS(InputResearch[Agricultural Sci. Fed],InputResearch[Type],VLOOKUP($A$1,SearchTypes,2,FALSE))</f>
        <v>0</v>
      </c>
      <c r="C23" s="231">
        <f>SUMIFS(InputResearch[Agricultural Sci. St. Approp.],InputResearch[Type],VLOOKUP($A$1,SearchTypes,2,FALSE))</f>
        <v>0</v>
      </c>
      <c r="D23" s="231">
        <f>SUMIFS(InputResearch[Agricultural Sci. St. C&amp;G],InputResearch[Type],VLOOKUP($A$1,SearchTypes,2,FALSE))</f>
        <v>0</v>
      </c>
      <c r="E23" s="231">
        <f>SUMIFS(InputResearch[Agricultural Sci. Inst Res],InputResearch[Type],VLOOKUP($A$1,SearchTypes,2,FALSE))</f>
        <v>0</v>
      </c>
      <c r="F23" s="231">
        <f>SUMIFS(InputResearch[Agricultural Sci. PFP],InputResearch[Type],VLOOKUP($A$1,SearchTypes,2,FALSE))</f>
        <v>0</v>
      </c>
      <c r="G23" s="232">
        <f>SUMIFS(InputResearch[Agricultural Sci. PNP],InputResearch[Type],VLOOKUP($A$1,SearchTypes,2,FALSE))</f>
        <v>0</v>
      </c>
      <c r="H23" s="308">
        <f>SUM(B23:G23)</f>
        <v>0</v>
      </c>
      <c r="I23" s="9"/>
      <c r="J23" s="9"/>
      <c r="K23" s="9"/>
      <c r="L23" s="9"/>
      <c r="M23" s="9"/>
      <c r="N23" s="9"/>
    </row>
    <row r="24" spans="1:14" ht="24.9" customHeight="1">
      <c r="A24" s="233" t="s">
        <v>85</v>
      </c>
      <c r="B24" s="234">
        <f>SUMIFS(InputResearch[Biological &amp; Other Life Sci. Fed],InputResearch[Type],VLOOKUP($A$1,SearchTypes,2,FALSE))</f>
        <v>0</v>
      </c>
      <c r="C24" s="235">
        <f>SUMIFS(InputResearch[Biological &amp; Other Life Sci. St. Approp.],InputResearch[Type],VLOOKUP($A$1,SearchTypes,2,FALSE))</f>
        <v>0</v>
      </c>
      <c r="D24" s="235">
        <f>SUMIFS(InputResearch[Biological &amp; Other Life Sci. St. C&amp;G],InputResearch[Type],VLOOKUP($A$1,SearchTypes,2,FALSE))</f>
        <v>0</v>
      </c>
      <c r="E24" s="235">
        <f>SUMIFS(InputResearch[Biological &amp; Other Life Sci. Inst Res],InputResearch[Type],VLOOKUP($A$1,SearchTypes,2,FALSE))</f>
        <v>0</v>
      </c>
      <c r="F24" s="235">
        <f>SUMIFS(InputResearch[Biological &amp; Other Life Sci. PFP],InputResearch[Type],VLOOKUP($A$1,SearchTypes,2,FALSE))</f>
        <v>0</v>
      </c>
      <c r="G24" s="236">
        <f>SUMIFS(InputResearch[Biological &amp; Other Life Sci. PNP],InputResearch[Type],VLOOKUP($A$1,SearchTypes,2,FALSE))</f>
        <v>0</v>
      </c>
      <c r="H24" s="309">
        <f>SUM(B24:G24)</f>
        <v>0</v>
      </c>
      <c r="I24" s="9"/>
      <c r="J24" s="9"/>
      <c r="K24" s="9"/>
      <c r="L24" s="9"/>
      <c r="M24" s="9"/>
      <c r="N24" s="9"/>
    </row>
    <row r="25" spans="1:14" ht="24.9" customHeight="1">
      <c r="A25" s="233" t="s">
        <v>86</v>
      </c>
      <c r="B25" s="234">
        <f>SUMIFS(InputResearch[Comp. Sci. Fed],InputResearch[Type],VLOOKUP($A$1,SearchTypes,2,FALSE))</f>
        <v>0</v>
      </c>
      <c r="C25" s="235">
        <f>SUMIFS(InputResearch[Comp. Sci. St. Approp.],InputResearch[Type],VLOOKUP($A$1,SearchTypes,2,FALSE))</f>
        <v>0</v>
      </c>
      <c r="D25" s="235">
        <f>SUMIFS(InputResearch[Comp. Sci. St. C&amp;G],InputResearch[Type],VLOOKUP($A$1,SearchTypes,2,FALSE))</f>
        <v>0</v>
      </c>
      <c r="E25" s="235">
        <f>SUMIFS(InputResearch[Comp. Sci. Inst Res],InputResearch[Type],VLOOKUP($A$1,SearchTypes,2,FALSE))</f>
        <v>0</v>
      </c>
      <c r="F25" s="235">
        <f>SUMIFS(InputResearch[Comp. Sci. PFP],InputResearch[Type],VLOOKUP($A$1,SearchTypes,2,FALSE))</f>
        <v>0</v>
      </c>
      <c r="G25" s="236">
        <f>SUMIFS(InputResearch[Comp. Sci. PNP],InputResearch[Type],VLOOKUP($A$1,SearchTypes,2,FALSE))</f>
        <v>0</v>
      </c>
      <c r="H25" s="309">
        <f t="shared" ref="H25:H38" si="0">SUM(B25:G25)</f>
        <v>0</v>
      </c>
      <c r="I25" s="9"/>
      <c r="J25" s="9"/>
      <c r="K25" s="9"/>
      <c r="L25" s="9"/>
      <c r="M25" s="9"/>
      <c r="N25" s="9"/>
    </row>
    <row r="26" spans="1:14" ht="24.9" customHeight="1">
      <c r="A26" s="233" t="s">
        <v>87</v>
      </c>
      <c r="B26" s="234">
        <f>SUMIFS(InputResearch[Engineering Fed],InputResearch[Type],VLOOKUP($A$1,SearchTypes,2,FALSE))</f>
        <v>0</v>
      </c>
      <c r="C26" s="235">
        <f>SUMIFS(InputResearch[Engineering St. Approp.],InputResearch[Type],VLOOKUP($A$1,SearchTypes,2,FALSE))</f>
        <v>0</v>
      </c>
      <c r="D26" s="235">
        <f>SUMIFS(InputResearch[Engineering St. C&amp;G],InputResearch[Type],VLOOKUP($A$1,SearchTypes,2,FALSE))</f>
        <v>0</v>
      </c>
      <c r="E26" s="235">
        <f>SUMIFS(InputResearch[Engineering Inst Res],InputResearch[Type],VLOOKUP($A$1,SearchTypes,2,FALSE))</f>
        <v>0</v>
      </c>
      <c r="F26" s="235">
        <f>SUMIFS(InputResearch[Engineering PFP],InputResearch[Type],VLOOKUP($A$1,SearchTypes,2,FALSE))</f>
        <v>0</v>
      </c>
      <c r="G26" s="236">
        <f>SUMIFS(InputResearch[Engineering PNP],InputResearch[Type],VLOOKUP($A$1,SearchTypes,2,FALSE))</f>
        <v>0</v>
      </c>
      <c r="H26" s="309">
        <f t="shared" si="0"/>
        <v>0</v>
      </c>
      <c r="I26" s="9"/>
      <c r="J26" s="9"/>
      <c r="K26" s="30">
        <f>H17-H39</f>
        <v>0</v>
      </c>
      <c r="L26" s="458" t="str">
        <f>IF($K$26&lt;&gt;0,"Out of Balance","Balanced")</f>
        <v>Balanced</v>
      </c>
      <c r="M26" s="459"/>
      <c r="N26" s="19"/>
    </row>
    <row r="27" spans="1:14" ht="24.9" customHeight="1">
      <c r="A27" s="233" t="s">
        <v>88</v>
      </c>
      <c r="B27" s="234">
        <f>SUMIFS(InputResearch[Env Sci. Fed],InputResearch[Type],VLOOKUP($A$1,SearchTypes,2,FALSE))</f>
        <v>0</v>
      </c>
      <c r="C27" s="235">
        <f>SUMIFS(InputResearch[Env Sci. St. Approp.],InputResearch[Type],VLOOKUP($A$1,SearchTypes,2,FALSE))</f>
        <v>0</v>
      </c>
      <c r="D27" s="235">
        <f>SUMIFS(InputResearch[Env Sci. St. C&amp;G],InputResearch[Type],VLOOKUP($A$1,SearchTypes,2,FALSE))</f>
        <v>0</v>
      </c>
      <c r="E27" s="235">
        <f>SUMIFS(InputResearch[Env Sci. Inst Res],InputResearch[Type],VLOOKUP($A$1,SearchTypes,2,FALSE))</f>
        <v>0</v>
      </c>
      <c r="F27" s="235">
        <f>SUMIFS(InputResearch[Env Sci. PFP],InputResearch[Type],VLOOKUP($A$1,SearchTypes,2,FALSE))</f>
        <v>0</v>
      </c>
      <c r="G27" s="236">
        <f>SUMIFS(InputResearch[Env Sci. PNP],InputResearch[Type],VLOOKUP($A$1,SearchTypes,2,FALSE))</f>
        <v>0</v>
      </c>
      <c r="H27" s="309">
        <f t="shared" si="0"/>
        <v>0</v>
      </c>
      <c r="I27" s="9"/>
      <c r="J27" s="9"/>
      <c r="K27" s="9"/>
      <c r="L27" s="9"/>
      <c r="M27" s="9"/>
      <c r="N27" s="9"/>
    </row>
    <row r="28" spans="1:14" ht="24.9" customHeight="1">
      <c r="A28" s="233" t="s">
        <v>89</v>
      </c>
      <c r="B28" s="234">
        <f>SUMIFS(InputResearch[Math Fed],InputResearch[Type],VLOOKUP($A$1,SearchTypes,2,FALSE))</f>
        <v>0</v>
      </c>
      <c r="C28" s="235">
        <f>SUMIFS(InputResearch[Math St. Approp.],InputResearch[Type],VLOOKUP($A$1,SearchTypes,2,FALSE))</f>
        <v>0</v>
      </c>
      <c r="D28" s="235">
        <f>SUMIFS(InputResearch[Math St. C&amp;G],InputResearch[Type],VLOOKUP($A$1,SearchTypes,2,FALSE))</f>
        <v>0</v>
      </c>
      <c r="E28" s="235">
        <f>SUMIFS(InputResearch[Math Inst Res],InputResearch[Type],VLOOKUP($A$1,SearchTypes,2,FALSE))</f>
        <v>0</v>
      </c>
      <c r="F28" s="235">
        <f>SUMIFS(InputResearch[Math PFP],InputResearch[Type],VLOOKUP($A$1,SearchTypes,2,FALSE))</f>
        <v>0</v>
      </c>
      <c r="G28" s="236">
        <f>SUMIFS(InputResearch[Math PNP],InputResearch[Type],VLOOKUP($A$1,SearchTypes,2,FALSE))</f>
        <v>0</v>
      </c>
      <c r="H28" s="309">
        <f t="shared" si="0"/>
        <v>0</v>
      </c>
      <c r="I28" s="9"/>
      <c r="J28" s="9"/>
      <c r="K28" s="9"/>
      <c r="L28" s="9"/>
      <c r="M28" s="9"/>
      <c r="N28" s="9"/>
    </row>
    <row r="29" spans="1:14" ht="24.9" customHeight="1">
      <c r="A29" s="233" t="s">
        <v>90</v>
      </c>
      <c r="B29" s="234">
        <f>SUMIFS(InputResearch[Medical Fed],InputResearch[Type],VLOOKUP($A$1,SearchTypes,2,FALSE))</f>
        <v>0</v>
      </c>
      <c r="C29" s="235">
        <f>SUMIFS(InputResearch[Medical St. Approp.],InputResearch[Type],VLOOKUP($A$1,SearchTypes,2,FALSE))</f>
        <v>0</v>
      </c>
      <c r="D29" s="235">
        <f>SUMIFS(InputResearch[Medical St. C&amp;G],InputResearch[Type],VLOOKUP($A$1,SearchTypes,2,FALSE))</f>
        <v>0</v>
      </c>
      <c r="E29" s="235">
        <f>SUMIFS(InputResearch[Medical Inst Res],InputResearch[Type],VLOOKUP($A$1,SearchTypes,2,FALSE))</f>
        <v>0</v>
      </c>
      <c r="F29" s="235">
        <f>SUMIFS(InputResearch[Medical PFP],InputResearch[Type],VLOOKUP($A$1,SearchTypes,2,FALSE))</f>
        <v>0</v>
      </c>
      <c r="G29" s="236">
        <f>SUMIFS(InputResearch[Medical PNP],InputResearch[Type],VLOOKUP($A$1,SearchTypes,2,FALSE))</f>
        <v>0</v>
      </c>
      <c r="H29" s="309">
        <f t="shared" si="0"/>
        <v>0</v>
      </c>
      <c r="I29" s="9"/>
      <c r="J29" s="9"/>
      <c r="K29" s="9"/>
      <c r="L29" s="9"/>
      <c r="M29" s="9"/>
      <c r="N29" s="9"/>
    </row>
    <row r="30" spans="1:14" ht="24.9" customHeight="1">
      <c r="A30" s="233" t="s">
        <v>91</v>
      </c>
      <c r="B30" s="234">
        <f>SUMIFS(InputResearch[Physical Sci. Fed],InputResearch[Type],VLOOKUP($A$1,SearchTypes,2,FALSE))</f>
        <v>0</v>
      </c>
      <c r="C30" s="235">
        <f>SUMIFS(InputResearch[Physical Sci. St. Approp.],InputResearch[Type],VLOOKUP($A$1,SearchTypes,2,FALSE))</f>
        <v>0</v>
      </c>
      <c r="D30" s="235">
        <f>SUMIFS(InputResearch[Physical Sci. St. C&amp;G],InputResearch[Type],VLOOKUP($A$1,SearchTypes,2,FALSE))</f>
        <v>0</v>
      </c>
      <c r="E30" s="235">
        <f>SUMIFS(InputResearch[Physical Sci. Inst Res],InputResearch[Type],VLOOKUP($A$1,SearchTypes,2,FALSE))</f>
        <v>0</v>
      </c>
      <c r="F30" s="235">
        <f>SUMIFS(InputResearch[Physical Sci. PFP],InputResearch[Type],VLOOKUP($A$1,SearchTypes,2,FALSE))</f>
        <v>0</v>
      </c>
      <c r="G30" s="236">
        <f>SUMIFS(InputResearch[Physical Sci. PNP],InputResearch[Type],VLOOKUP($A$1,SearchTypes,2,FALSE))</f>
        <v>0</v>
      </c>
      <c r="H30" s="309">
        <f t="shared" si="0"/>
        <v>0</v>
      </c>
      <c r="I30" s="9"/>
      <c r="J30" s="9"/>
      <c r="K30" s="9"/>
      <c r="L30" s="9"/>
      <c r="M30" s="9"/>
      <c r="N30" s="9"/>
    </row>
    <row r="31" spans="1:14" ht="24.9" customHeight="1">
      <c r="A31" s="233" t="s">
        <v>92</v>
      </c>
      <c r="B31" s="234">
        <f>SUMIFS(InputResearch[Psychology Fed],InputResearch[Type],VLOOKUP($A$1,SearchTypes,2,FALSE))</f>
        <v>0</v>
      </c>
      <c r="C31" s="235">
        <f>SUMIFS(InputResearch[Psychology St. Approp.],InputResearch[Type],VLOOKUP($A$1,SearchTypes,2,FALSE))</f>
        <v>0</v>
      </c>
      <c r="D31" s="235">
        <f>SUMIFS(InputResearch[Psychology St. C&amp;G],InputResearch[Type],VLOOKUP($A$1,SearchTypes,2,FALSE))</f>
        <v>0</v>
      </c>
      <c r="E31" s="235">
        <f>SUMIFS(InputResearch[Psychology Inst Res],InputResearch[Type],VLOOKUP($A$1,SearchTypes,2,FALSE))</f>
        <v>0</v>
      </c>
      <c r="F31" s="235">
        <f>SUMIFS(InputResearch[Psychology PFP],InputResearch[Type],VLOOKUP($A$1,SearchTypes,2,FALSE))</f>
        <v>0</v>
      </c>
      <c r="G31" s="236">
        <f>SUMIFS(InputResearch[Psychology PNP],InputResearch[Type],VLOOKUP($A$1,SearchTypes,2,FALSE))</f>
        <v>0</v>
      </c>
      <c r="H31" s="309">
        <f t="shared" si="0"/>
        <v>0</v>
      </c>
      <c r="I31" s="9"/>
      <c r="J31" s="9"/>
      <c r="K31" s="9"/>
      <c r="L31" s="9"/>
      <c r="M31" s="9"/>
      <c r="N31" s="9"/>
    </row>
    <row r="32" spans="1:14" ht="24.9" customHeight="1">
      <c r="A32" s="233" t="s">
        <v>93</v>
      </c>
      <c r="B32" s="234">
        <f>SUMIFS(InputResearch[Social Sci. Fed],InputResearch[Type],VLOOKUP($A$1,SearchTypes,2,FALSE))</f>
        <v>0</v>
      </c>
      <c r="C32" s="235">
        <f>SUMIFS(InputResearch[Social Sci. St. Approp.],InputResearch[Type],VLOOKUP($A$1,SearchTypes,2,FALSE))</f>
        <v>0</v>
      </c>
      <c r="D32" s="235">
        <f>SUMIFS(InputResearch[Social Sci. St. C&amp;G],InputResearch[Type],VLOOKUP($A$1,SearchTypes,2,FALSE))</f>
        <v>0</v>
      </c>
      <c r="E32" s="235">
        <f>SUMIFS(InputResearch[Social Sci. Inst Res],InputResearch[Type],VLOOKUP($A$1,SearchTypes,2,FALSE))</f>
        <v>0</v>
      </c>
      <c r="F32" s="235">
        <f>SUMIFS(InputResearch[Social Sci. PFP],InputResearch[Type],VLOOKUP($A$1,SearchTypes,2,FALSE))</f>
        <v>0</v>
      </c>
      <c r="G32" s="236">
        <f>SUMIFS(InputResearch[Social Sci. PNP],InputResearch[Type],VLOOKUP($A$1,SearchTypes,2,FALSE))</f>
        <v>0</v>
      </c>
      <c r="H32" s="309">
        <f t="shared" si="0"/>
        <v>0</v>
      </c>
      <c r="I32" s="9"/>
      <c r="J32" s="9"/>
      <c r="K32" s="9"/>
      <c r="L32" s="9"/>
      <c r="M32" s="9"/>
      <c r="N32" s="9"/>
    </row>
    <row r="33" spans="1:14" ht="24.9" customHeight="1">
      <c r="A33" s="233" t="s">
        <v>94</v>
      </c>
      <c r="B33" s="234">
        <f>SUMIFS(InputResearch[Other Sci. Fed],InputResearch[Type],VLOOKUP($A$1,SearchTypes,2,FALSE))</f>
        <v>0</v>
      </c>
      <c r="C33" s="235">
        <f>SUMIFS(InputResearch[Other Sci. St. Approp.],InputResearch[Type],VLOOKUP($A$1,SearchTypes,2,FALSE))</f>
        <v>0</v>
      </c>
      <c r="D33" s="235">
        <f>SUMIFS(InputResearch[Other Sci. St. C&amp;G],InputResearch[Type],VLOOKUP($A$1,SearchTypes,2,FALSE))</f>
        <v>0</v>
      </c>
      <c r="E33" s="235">
        <f>SUMIFS(InputResearch[Other Sci. Inst Res],InputResearch[Type],VLOOKUP($A$1,SearchTypes,2,FALSE))</f>
        <v>0</v>
      </c>
      <c r="F33" s="235">
        <f>SUMIFS(InputResearch[Other Sci. PFP],InputResearch[Type],VLOOKUP($A$1,SearchTypes,2,FALSE))</f>
        <v>0</v>
      </c>
      <c r="G33" s="236">
        <f>SUMIFS(InputResearch[Other Sci. PNP],InputResearch[Type],VLOOKUP($A$1,SearchTypes,2,FALSE))</f>
        <v>0</v>
      </c>
      <c r="H33" s="309">
        <f t="shared" si="0"/>
        <v>0</v>
      </c>
      <c r="I33" s="9"/>
      <c r="J33" s="9"/>
      <c r="K33" s="9"/>
      <c r="L33" s="9"/>
      <c r="M33" s="9"/>
      <c r="N33" s="9"/>
    </row>
    <row r="34" spans="1:14" ht="24.9" customHeight="1">
      <c r="A34" s="233" t="s">
        <v>95</v>
      </c>
      <c r="B34" s="234">
        <f>SUMIFS(InputResearch[Arts &amp; Humanities Fed],InputResearch[Type],VLOOKUP($A$1,SearchTypes,2,FALSE))</f>
        <v>0</v>
      </c>
      <c r="C34" s="235">
        <f>SUMIFS(InputResearch[Arts &amp; Humanities St. Approp.],InputResearch[Type],VLOOKUP($A$1,SearchTypes,2,FALSE))</f>
        <v>0</v>
      </c>
      <c r="D34" s="235">
        <f>SUMIFS(InputResearch[Arts &amp; Humanities St. C&amp;G],InputResearch[Type],VLOOKUP($A$1,SearchTypes,2,FALSE))</f>
        <v>0</v>
      </c>
      <c r="E34" s="235">
        <f>SUMIFS(InputResearch[Arts &amp; Humanities Inst Res],InputResearch[Type],VLOOKUP($A$1,SearchTypes,2,FALSE))</f>
        <v>0</v>
      </c>
      <c r="F34" s="235">
        <f>SUMIFS(InputResearch[Arts &amp; Humanities PFP],InputResearch[Type],VLOOKUP($A$1,SearchTypes,2,FALSE))</f>
        <v>0</v>
      </c>
      <c r="G34" s="236">
        <f>SUMIFS(InputResearch[Arts &amp; Humanities PNP],InputResearch[Type],VLOOKUP($A$1,SearchTypes,2,FALSE))</f>
        <v>0</v>
      </c>
      <c r="H34" s="309">
        <f t="shared" si="0"/>
        <v>0</v>
      </c>
      <c r="I34" s="9"/>
      <c r="J34" s="9"/>
      <c r="K34" s="9"/>
      <c r="L34" s="9"/>
      <c r="M34" s="9"/>
      <c r="N34" s="9"/>
    </row>
    <row r="35" spans="1:14" ht="24.9" customHeight="1">
      <c r="A35" s="233" t="s">
        <v>96</v>
      </c>
      <c r="B35" s="234">
        <f>SUMIFS(InputResearch[Business Fed],InputResearch[Type],VLOOKUP($A$1,SearchTypes,2,FALSE))</f>
        <v>0</v>
      </c>
      <c r="C35" s="235">
        <f>SUMIFS(InputResearch[Business St. Approp.],InputResearch[Type],VLOOKUP($A$1,SearchTypes,2,FALSE))</f>
        <v>0</v>
      </c>
      <c r="D35" s="235">
        <f>SUMIFS(InputResearch[Business St. C&amp;G],InputResearch[Type],VLOOKUP($A$1,SearchTypes,2,FALSE))</f>
        <v>0</v>
      </c>
      <c r="E35" s="235">
        <f>SUMIFS(InputResearch[Business Inst Res],InputResearch[Type],VLOOKUP($A$1,SearchTypes,2,FALSE))</f>
        <v>0</v>
      </c>
      <c r="F35" s="235">
        <f>SUMIFS(InputResearch[Business PFP],InputResearch[Type],VLOOKUP($A$1,SearchTypes,2,FALSE))</f>
        <v>0</v>
      </c>
      <c r="G35" s="236">
        <f>SUMIFS(InputResearch[Business PNP],InputResearch[Type],VLOOKUP($A$1,SearchTypes,2,FALSE))</f>
        <v>0</v>
      </c>
      <c r="H35" s="309">
        <f t="shared" si="0"/>
        <v>0</v>
      </c>
      <c r="I35" s="9"/>
      <c r="J35" s="9"/>
      <c r="K35" s="9"/>
      <c r="L35" s="20"/>
      <c r="M35" s="20"/>
      <c r="N35" s="9"/>
    </row>
    <row r="36" spans="1:14" ht="24.9" customHeight="1">
      <c r="A36" s="233" t="s">
        <v>97</v>
      </c>
      <c r="B36" s="234">
        <f>SUMIFS(InputResearch[Education Fed],InputResearch[Type],VLOOKUP($A$1,SearchTypes,2,FALSE))</f>
        <v>0</v>
      </c>
      <c r="C36" s="235">
        <f>SUMIFS(InputResearch[Education St. Approp.],InputResearch[Type],VLOOKUP($A$1,SearchTypes,2,FALSE))</f>
        <v>0</v>
      </c>
      <c r="D36" s="235">
        <f>SUMIFS(InputResearch[Education St. C&amp;G],InputResearch[Type],VLOOKUP($A$1,SearchTypes,2,FALSE))</f>
        <v>0</v>
      </c>
      <c r="E36" s="235">
        <f>SUMIFS(InputResearch[Education Inst Res],InputResearch[Type],VLOOKUP($A$1,SearchTypes,2,FALSE))</f>
        <v>0</v>
      </c>
      <c r="F36" s="235">
        <f>SUMIFS(InputResearch[Education PFP],InputResearch[Type],VLOOKUP($A$1,SearchTypes,2,FALSE))</f>
        <v>0</v>
      </c>
      <c r="G36" s="236">
        <f>SUMIFS(InputResearch[Education PNP],InputResearch[Type],VLOOKUP($A$1,SearchTypes,2,FALSE))</f>
        <v>0</v>
      </c>
      <c r="H36" s="309">
        <f t="shared" si="0"/>
        <v>0</v>
      </c>
      <c r="I36" s="9"/>
      <c r="J36" s="9"/>
      <c r="K36" s="9"/>
      <c r="L36" s="9"/>
      <c r="M36" s="9"/>
      <c r="N36" s="9"/>
    </row>
    <row r="37" spans="1:14" ht="24.9" customHeight="1">
      <c r="A37" s="233" t="s">
        <v>98</v>
      </c>
      <c r="B37" s="234">
        <f>SUMIFS(InputResearch[Law Fed],InputResearch[Type],VLOOKUP($A$1,SearchTypes,2,FALSE))</f>
        <v>0</v>
      </c>
      <c r="C37" s="235">
        <f>SUMIFS(InputResearch[Law St. Approp.],InputResearch[Type],VLOOKUP($A$1,SearchTypes,2,FALSE))</f>
        <v>0</v>
      </c>
      <c r="D37" s="235">
        <f>SUMIFS(InputResearch[Law St. C&amp;G],InputResearch[Type],VLOOKUP($A$1,SearchTypes,2,FALSE))</f>
        <v>0</v>
      </c>
      <c r="E37" s="235">
        <f>SUMIFS(InputResearch[Law Inst Res],InputResearch[Type],VLOOKUP($A$1,SearchTypes,2,FALSE))</f>
        <v>0</v>
      </c>
      <c r="F37" s="235">
        <f>SUMIFS(InputResearch[Law PFP],InputResearch[Type],VLOOKUP($A$1,SearchTypes,2,FALSE))</f>
        <v>0</v>
      </c>
      <c r="G37" s="236">
        <f>SUMIFS(InputResearch[Law PNP],InputResearch[Type],VLOOKUP($A$1,SearchTypes,2,FALSE))</f>
        <v>0</v>
      </c>
      <c r="H37" s="309">
        <f t="shared" si="0"/>
        <v>0</v>
      </c>
      <c r="I37" s="9"/>
      <c r="J37" s="9"/>
      <c r="K37" s="9"/>
      <c r="L37" s="9"/>
      <c r="M37" s="9"/>
      <c r="N37" s="9"/>
    </row>
    <row r="38" spans="1:14" ht="24.9" customHeight="1" thickBot="1">
      <c r="A38" s="233" t="s">
        <v>99</v>
      </c>
      <c r="B38" s="237">
        <f>SUMIFS(InputResearch[Other Non-Sci. Fed],InputResearch[Type],VLOOKUP($A$1,SearchTypes,2,FALSE))</f>
        <v>0</v>
      </c>
      <c r="C38" s="238">
        <f>SUMIFS(InputResearch[Other Non-Sci. St. Approp.],InputResearch[Type],VLOOKUP($A$1,SearchTypes,2,FALSE))</f>
        <v>0</v>
      </c>
      <c r="D38" s="238">
        <f>SUMIFS(InputResearch[Other Non-Sci. St. C&amp;G],InputResearch[Type],VLOOKUP($A$1,SearchTypes,2,FALSE))</f>
        <v>0</v>
      </c>
      <c r="E38" s="238">
        <f>SUMIFS(InputResearch[Other Non-Sci. Inst Res],InputResearch[Type],VLOOKUP($A$1,SearchTypes,2,FALSE))</f>
        <v>0</v>
      </c>
      <c r="F38" s="238">
        <f>SUMIFS(InputResearch[Other Non-Sci. PFP],InputResearch[Type],VLOOKUP($A$1,SearchTypes,2,FALSE))</f>
        <v>0</v>
      </c>
      <c r="G38" s="239">
        <f>SUMIFS(InputResearch[Other Non-Sci. PNP],InputResearch[Type],VLOOKUP($A$1,SearchTypes,2,FALSE))</f>
        <v>0</v>
      </c>
      <c r="H38" s="309">
        <f t="shared" si="0"/>
        <v>0</v>
      </c>
      <c r="I38" s="9"/>
      <c r="J38" s="9"/>
      <c r="K38" s="9"/>
      <c r="L38" s="9"/>
      <c r="M38" s="9"/>
      <c r="N38" s="9"/>
    </row>
    <row r="39" spans="1:14" ht="24.9" customHeight="1" thickTop="1">
      <c r="A39" s="240" t="s">
        <v>647</v>
      </c>
      <c r="B39" s="290">
        <f>SUM(B23:B38)</f>
        <v>0</v>
      </c>
      <c r="C39" s="290">
        <f t="shared" ref="C39:H39" si="1">SUM(C23:C38)</f>
        <v>0</v>
      </c>
      <c r="D39" s="290">
        <f t="shared" si="1"/>
        <v>0</v>
      </c>
      <c r="E39" s="290">
        <f t="shared" si="1"/>
        <v>0</v>
      </c>
      <c r="F39" s="290">
        <f t="shared" si="1"/>
        <v>0</v>
      </c>
      <c r="G39" s="290">
        <f t="shared" si="1"/>
        <v>0</v>
      </c>
      <c r="H39" s="291">
        <f t="shared" si="1"/>
        <v>0</v>
      </c>
      <c r="I39" s="9"/>
      <c r="J39" s="9"/>
      <c r="K39" s="9"/>
      <c r="L39" s="9"/>
      <c r="M39" s="9"/>
      <c r="N39" s="9"/>
    </row>
    <row r="40" spans="1:14" ht="24.9" customHeight="1">
      <c r="A40" s="11"/>
      <c r="B40" s="11"/>
      <c r="C40" s="11"/>
      <c r="D40" s="11"/>
      <c r="E40" s="11"/>
      <c r="F40" s="11"/>
      <c r="G40" s="11"/>
      <c r="H40" s="11"/>
      <c r="I40" s="9"/>
      <c r="J40" s="9"/>
      <c r="K40" s="9"/>
      <c r="L40" s="9"/>
      <c r="M40" s="9"/>
      <c r="N40" s="9"/>
    </row>
    <row r="41" spans="1:14" ht="21">
      <c r="A41" s="452" t="s">
        <v>605</v>
      </c>
      <c r="B41" s="452"/>
      <c r="C41" s="452"/>
      <c r="D41" s="452"/>
      <c r="E41" s="452"/>
      <c r="F41" s="452"/>
      <c r="G41" s="452"/>
      <c r="H41" s="452"/>
      <c r="I41" s="9"/>
      <c r="J41" s="9"/>
      <c r="K41" s="9"/>
      <c r="L41" s="9"/>
      <c r="M41" s="9"/>
      <c r="N41" s="9"/>
    </row>
    <row r="42" spans="1:14" s="6" customFormat="1" ht="24.9" customHeight="1">
      <c r="A42" s="442" t="s">
        <v>719</v>
      </c>
      <c r="B42" s="443"/>
      <c r="C42" s="443"/>
      <c r="D42" s="443"/>
      <c r="E42" s="443"/>
      <c r="F42" s="443"/>
      <c r="G42" s="443"/>
      <c r="H42" s="444"/>
      <c r="I42" s="5"/>
      <c r="J42" s="5"/>
      <c r="K42" s="5"/>
      <c r="L42" s="5"/>
      <c r="M42" s="5"/>
      <c r="N42" s="5"/>
    </row>
    <row r="43" spans="1:14" s="6" customFormat="1" ht="24.9" customHeight="1">
      <c r="A43" s="445"/>
      <c r="B43" s="446"/>
      <c r="C43" s="446"/>
      <c r="D43" s="446"/>
      <c r="E43" s="446"/>
      <c r="F43" s="446"/>
      <c r="G43" s="446"/>
      <c r="H43" s="447"/>
      <c r="I43" s="5"/>
      <c r="J43" s="5"/>
      <c r="K43" s="5"/>
      <c r="L43" s="5"/>
      <c r="M43" s="5"/>
      <c r="N43" s="5"/>
    </row>
    <row r="44" spans="1:14" s="6" customFormat="1" ht="24.9" customHeight="1">
      <c r="A44" s="445"/>
      <c r="B44" s="446"/>
      <c r="C44" s="446"/>
      <c r="D44" s="446"/>
      <c r="E44" s="446"/>
      <c r="F44" s="446"/>
      <c r="G44" s="446"/>
      <c r="H44" s="447"/>
      <c r="I44" s="5"/>
      <c r="J44" s="5"/>
      <c r="K44" s="5"/>
      <c r="L44" s="5"/>
      <c r="M44" s="5"/>
      <c r="N44" s="5"/>
    </row>
    <row r="45" spans="1:14" s="6" customFormat="1" ht="24.9" customHeight="1">
      <c r="A45" s="448"/>
      <c r="B45" s="449"/>
      <c r="C45" s="449"/>
      <c r="D45" s="449"/>
      <c r="E45" s="449"/>
      <c r="F45" s="449"/>
      <c r="G45" s="449"/>
      <c r="H45" s="450"/>
      <c r="I45" s="5"/>
      <c r="J45" s="5"/>
      <c r="K45" s="5"/>
      <c r="L45" s="5"/>
      <c r="M45" s="5"/>
      <c r="N45" s="5"/>
    </row>
    <row r="46" spans="1:14" s="17" customFormat="1" ht="31.2">
      <c r="A46" s="355" t="s">
        <v>668</v>
      </c>
      <c r="B46" s="355" t="s">
        <v>100</v>
      </c>
      <c r="C46" s="356" t="s">
        <v>101</v>
      </c>
      <c r="D46" s="356" t="s">
        <v>102</v>
      </c>
      <c r="E46" s="356" t="s">
        <v>103</v>
      </c>
      <c r="F46" s="356" t="s">
        <v>723</v>
      </c>
      <c r="G46" s="357" t="s">
        <v>724</v>
      </c>
      <c r="H46" s="358" t="s">
        <v>603</v>
      </c>
      <c r="I46" s="16"/>
      <c r="J46" s="16"/>
      <c r="K46" s="16"/>
      <c r="L46" s="16"/>
      <c r="M46" s="16"/>
      <c r="N46" s="16"/>
    </row>
    <row r="47" spans="1:14" ht="24.9" customHeight="1">
      <c r="A47" s="300" t="str">
        <f>IF($A$1="Health - Related Institutions", "Aerospace Technology¹", "Aerospace Technology")</f>
        <v>Aerospace Technology</v>
      </c>
      <c r="B47" s="359">
        <f>IF(A1="Health - Related Institutions","N/A",SUMIFS(InputResearch[Aerospace Fed],InputResearch[Type],VLOOKUP($A$1,SearchTypes,2,FALSE)))</f>
        <v>0</v>
      </c>
      <c r="C47" s="360">
        <f>IF(A1="Health - Related Institutions","N/A",SUMIFS(InputResearch[Aerospace St. Approp.],InputResearch[Type],VLOOKUP($A$1,SearchTypes,2,FALSE)))</f>
        <v>0</v>
      </c>
      <c r="D47" s="360">
        <f>IF(A1="Health - Related Institutions","N/A",SUMIFS(InputResearch[Aerospace St. C&amp;G],InputResearch[Type],VLOOKUP($A$1,SearchTypes,2,FALSE)))</f>
        <v>0</v>
      </c>
      <c r="E47" s="360">
        <f>IF(A1="Health - Related Institutions","N/A",SUMIFS(InputResearch[Aerospace Inst Res],InputResearch[Type],VLOOKUP($A$1,SearchTypes,2,FALSE)))</f>
        <v>0</v>
      </c>
      <c r="F47" s="360">
        <f>IF(A1="Health - Related Institutions","N/A",SUMIFS(InputResearch[Aerospace PFP],InputResearch[Type],VLOOKUP($A$1,SearchTypes,2,FALSE)))</f>
        <v>0</v>
      </c>
      <c r="G47" s="361">
        <f>IF(A1="Health - Related Institutions","N/A",SUMIFS(InputResearch[Aerospace PNP],InputResearch[Type],VLOOKUP($A$1,SearchTypes,2,FALSE)))</f>
        <v>0</v>
      </c>
      <c r="H47" s="354">
        <f t="shared" ref="H47:H60" si="2">SUM(B47:G47)</f>
        <v>0</v>
      </c>
      <c r="I47" s="9"/>
      <c r="J47" s="9"/>
      <c r="K47" s="9"/>
      <c r="L47" s="9"/>
      <c r="M47" s="9"/>
      <c r="N47" s="9"/>
    </row>
    <row r="48" spans="1:14" ht="24.9" customHeight="1">
      <c r="A48" s="300" t="str">
        <f>IF($A$1="Health - Related Institutions","Aging","Aging¹")</f>
        <v>Aging¹</v>
      </c>
      <c r="B48" s="359" t="str">
        <f>IF(A1="Health - Related Institutions",SUMIFS(InputResearch[Aging Fed],InputResearch[Type],VLOOKUP($A$1,SearchTypes,2,FALSE)),"N/A")</f>
        <v>N/A</v>
      </c>
      <c r="C48" s="360" t="str">
        <f>IF(A1="Health - Related Institutions",SUMIFS(InputResearch[Aging St. Approp.],InputResearch[Type],VLOOKUP($A$1,SearchTypes,2,FALSE)),"N/A")</f>
        <v>N/A</v>
      </c>
      <c r="D48" s="360" t="str">
        <f>IF(A1="Health - Related Institutions",SUMIFS(InputResearch[Aging St. C&amp;G],InputResearch[Type],VLOOKUP($A$1,SearchTypes,2,FALSE)),"N/A")</f>
        <v>N/A</v>
      </c>
      <c r="E48" s="360" t="str">
        <f>IF(A1="Health - Related Institutions",SUMIFS(InputResearch[Aging Inst Res],InputResearch[Type],VLOOKUP($A$1,SearchTypes,2,FALSE)),"N/A")</f>
        <v>N/A</v>
      </c>
      <c r="F48" s="360" t="str">
        <f>IF(A1="Health - Related Institutions",SUMIFS(InputResearch[Aging PFP],InputResearch[Type],VLOOKUP($A$1,SearchTypes,2,FALSE)),"N/A")</f>
        <v>N/A</v>
      </c>
      <c r="G48" s="361" t="str">
        <f>IF(A1="Health - Related Institutions",SUMIFS(InputResearch[Aging PNP],InputResearch[Type],VLOOKUP($A$1,SearchTypes,2,FALSE)),"N/A")</f>
        <v>N/A</v>
      </c>
      <c r="H48" s="354">
        <f t="shared" si="2"/>
        <v>0</v>
      </c>
      <c r="I48" s="9"/>
      <c r="J48" s="9"/>
      <c r="K48" s="9"/>
      <c r="L48" s="9"/>
      <c r="M48" s="9"/>
      <c r="N48" s="9"/>
    </row>
    <row r="49" spans="1:14" ht="24.9" customHeight="1">
      <c r="A49" s="300" t="str">
        <f>IF($A$1="Health - Related Institutions","Biotechnology¹","Biotechnology")</f>
        <v>Biotechnology</v>
      </c>
      <c r="B49" s="359">
        <f>IF(A1="Health - Related Institutions","N/A",SUMIFS(InputResearch[BioTech Fed],InputResearch[Type],VLOOKUP($A$1,SearchTypes,2,FALSE)))</f>
        <v>0</v>
      </c>
      <c r="C49" s="360">
        <f>IF(A1="Health - Related Institutions","N/A",SUMIFS(InputResearch[BioTech St. Approp.],InputResearch[Type],VLOOKUP($A$1,SearchTypes,2,FALSE)))</f>
        <v>0</v>
      </c>
      <c r="D49" s="360">
        <f>IF(A1="Health - Related Institutions","N/A",SUMIFS(InputResearch[BioTech St. C&amp;G],InputResearch[Type],VLOOKUP($A$1,SearchTypes,2,FALSE)))</f>
        <v>0</v>
      </c>
      <c r="E49" s="360">
        <f>IF(A1="Health - Related Institutions","N/A",SUMIFS(InputResearch[BioTech Inst Res],InputResearch[Type],VLOOKUP($A$1,SearchTypes,2,FALSE)))</f>
        <v>0</v>
      </c>
      <c r="F49" s="360">
        <f>IF(A1="Health - Related Institutions","N/A",SUMIFS(InputResearch[BioTech PFP],InputResearch[Type],VLOOKUP($A$1,SearchTypes,2,FALSE)))</f>
        <v>0</v>
      </c>
      <c r="G49" s="361">
        <f>IF(A1="Health - Related Institutions","N/A",SUMIFS(InputResearch[BioTech PNP],InputResearch[Type],VLOOKUP($A$1,SearchTypes,2,FALSE)))</f>
        <v>0</v>
      </c>
      <c r="H49" s="354">
        <f t="shared" si="2"/>
        <v>0</v>
      </c>
      <c r="I49" s="9"/>
      <c r="J49" s="9"/>
      <c r="K49" s="9"/>
      <c r="L49" s="9"/>
      <c r="M49" s="9"/>
      <c r="N49" s="9"/>
    </row>
    <row r="50" spans="1:14" ht="24.9" customHeight="1">
      <c r="A50" s="300" t="str">
        <f>IF($A$1="Health - Related Institutions", "Cancer Research","Cancer Research¹")</f>
        <v>Cancer Research¹</v>
      </c>
      <c r="B50" s="359" t="str">
        <f>IF(A1="Health - Related Institutions",SUMIFS(InputResearch[Cancer Fed],InputResearch[Type],VLOOKUP($A$1,SearchTypes,2,FALSE)),"N/A")</f>
        <v>N/A</v>
      </c>
      <c r="C50" s="360" t="str">
        <f>IF(A1="Health - Related Institutions",SUMIFS(InputResearch[Cancer St. Approp.],InputResearch[Type],VLOOKUP($A$1,SearchTypes,2,FALSE)),"N/A")</f>
        <v>N/A</v>
      </c>
      <c r="D50" s="360" t="str">
        <f>IF(A1="Health - Related Institutions",SUMIFS(InputResearch[Cancer St. C&amp;G],InputResearch[Type],VLOOKUP($A$1,SearchTypes,2,FALSE)),"N/A")</f>
        <v>N/A</v>
      </c>
      <c r="E50" s="360" t="str">
        <f>IF(A1="Health - Related Institutions",SUMIFS(InputResearch[Cancer Inst Res],InputResearch[Type],VLOOKUP($A$1,SearchTypes,2,FALSE)),"N/A")</f>
        <v>N/A</v>
      </c>
      <c r="F50" s="360" t="str">
        <f>IF(A1="Health - Related Institutions",SUMIFS(InputResearch[Cancer PFP],InputResearch[Type],VLOOKUP($A$1,SearchTypes,2,FALSE)),"N/A")</f>
        <v>N/A</v>
      </c>
      <c r="G50" s="361" t="str">
        <f>IF(A1="Health - Related Institutions",SUMIFS(InputResearch[Cancer PNP],InputResearch[Type],VLOOKUP($A$1,SearchTypes,2,FALSE)),"N/A")</f>
        <v>N/A</v>
      </c>
      <c r="H50" s="354">
        <f t="shared" si="2"/>
        <v>0</v>
      </c>
      <c r="I50" s="9"/>
      <c r="J50" s="9"/>
      <c r="K50" s="9"/>
      <c r="L50" s="9"/>
      <c r="M50" s="9"/>
      <c r="N50" s="9"/>
    </row>
    <row r="51" spans="1:14" ht="24.9" customHeight="1">
      <c r="A51" s="353" t="str">
        <f>IF($A$1="Health - Related Institutions", "Cardiovascular Research","Cardiovascular Research¹")</f>
        <v>Cardiovascular Research¹</v>
      </c>
      <c r="B51" s="359" t="str">
        <f>IF(A1="Health - Related Institutions",SUMIFS(InputResearch[Cardiovascular Fed],InputResearch[Type],VLOOKUP($A$1,SearchTypes,2,FALSE)),"N/A")</f>
        <v>N/A</v>
      </c>
      <c r="C51" s="360" t="str">
        <f>IF(A1="Health - Related Institutions",SUMIFS(InputResearch[Cardiovascular St. Approp.],InputResearch[Type],VLOOKUP($A$1,SearchTypes,2,FALSE)),"N/A")</f>
        <v>N/A</v>
      </c>
      <c r="D51" s="360" t="str">
        <f>IF(A1="Health - Related Institutions",SUMIFS(InputResearch[Cardiovascular St. C&amp;G],InputResearch[Type],VLOOKUP($A$1,SearchTypes,2,FALSE)),"N/A")</f>
        <v>N/A</v>
      </c>
      <c r="E51" s="360" t="str">
        <f>IF(A1="Health - Related Institutions",SUMIFS(InputResearch[Cardiovascular Inst Res],InputResearch[Type],VLOOKUP($A$1,SearchTypes,2,FALSE)),"N/A")</f>
        <v>N/A</v>
      </c>
      <c r="F51" s="360" t="str">
        <f>IF(A1="Health - Related Institutions",SUMIFS(InputResearch[Cardiovascular PFP],InputResearch[Type],VLOOKUP($A$1,SearchTypes,2,FALSE)),"N/A")</f>
        <v>N/A</v>
      </c>
      <c r="G51" s="361" t="str">
        <f>IF(A1="Health - Related Institutions",SUMIFS(InputResearch[Cardiovascular PNP],InputResearch[Type],VLOOKUP($A$1,SearchTypes,2,FALSE)),"N/A")</f>
        <v>N/A</v>
      </c>
      <c r="H51" s="354">
        <f t="shared" si="2"/>
        <v>0</v>
      </c>
      <c r="I51" s="9"/>
      <c r="J51" s="9"/>
      <c r="K51" s="9"/>
      <c r="L51" s="9"/>
      <c r="M51" s="9"/>
      <c r="N51" s="9"/>
    </row>
    <row r="52" spans="1:14" ht="24.9" customHeight="1">
      <c r="A52" s="300" t="str">
        <f>IF($A$1="Health - Related Institutions", "Energy¹", "Energy")</f>
        <v>Energy</v>
      </c>
      <c r="B52" s="359">
        <f>IF(A1="Health - Related Institutions","N/A",SUMIFS(InputResearch[Energy Fed],InputResearch[Type],VLOOKUP($A$1,SearchTypes,2,FALSE)))</f>
        <v>0</v>
      </c>
      <c r="C52" s="360">
        <f>IF(A1="Health - Related Institutions","N/A",SUMIFS(InputResearch[Energy St. Approp.],InputResearch[Type],VLOOKUP($A$1,SearchTypes,2,FALSE)))</f>
        <v>0</v>
      </c>
      <c r="D52" s="360">
        <f>IF(A1="Health - Related Institutions","N/A",SUMIFS(InputResearch[Energy St. C&amp;G],InputResearch[Type],VLOOKUP($A$1,SearchTypes,2,FALSE)))</f>
        <v>0</v>
      </c>
      <c r="E52" s="360">
        <f>IF(A1="Health - Related Institutions","N/A",SUMIFS(InputResearch[Energy Inst Res],InputResearch[Type],VLOOKUP($A$1,SearchTypes,2,FALSE)))</f>
        <v>0</v>
      </c>
      <c r="F52" s="360">
        <f>IF(A1="Health - Related Institutions","N/A",SUMIFS(InputResearch[Energy PFP],InputResearch[Type],VLOOKUP($A$1,SearchTypes,2,FALSE)))</f>
        <v>0</v>
      </c>
      <c r="G52" s="361">
        <f>IF(A1="Health - Related Institutions","N/A",SUMIFS(InputResearch[Energy PNP],InputResearch[Type],VLOOKUP($A$1,SearchTypes,2,FALSE)))</f>
        <v>0</v>
      </c>
      <c r="H52" s="354">
        <f t="shared" si="2"/>
        <v>0</v>
      </c>
      <c r="I52" s="9"/>
      <c r="J52" s="9"/>
      <c r="K52" s="9"/>
      <c r="L52" s="9"/>
      <c r="M52" s="9"/>
      <c r="N52" s="9"/>
    </row>
    <row r="53" spans="1:14" ht="24.9" customHeight="1">
      <c r="A53" s="353" t="str">
        <f>IF($A$1="Health - Related Institutions", "Child Health and Human Development","Child Health and Human Development¹")</f>
        <v>Child Health and Human Development¹</v>
      </c>
      <c r="B53" s="359" t="str">
        <f>IF(A1="Health - Related Institutions",SUMIFS(InputResearch[CHHD Fed],InputResearch[Type],VLOOKUP($A$1,SearchTypes,2,FALSE)),"N/A")</f>
        <v>N/A</v>
      </c>
      <c r="C53" s="360" t="str">
        <f>IF(A1="Health - Related Institutions",SUMIFS(InputResearch[CHHD St. Approp.],InputResearch[Type],VLOOKUP($A$1,SearchTypes,2,FALSE)),"N/A")</f>
        <v>N/A</v>
      </c>
      <c r="D53" s="360" t="str">
        <f>IF(A1="Health - Related Institutions",SUMIFS(InputResearch[CHHD St. C&amp;G],InputResearch[Type],VLOOKUP($A$1,SearchTypes,2,FALSE)),"N/A")</f>
        <v>N/A</v>
      </c>
      <c r="E53" s="360" t="str">
        <f>IF(A1="Health - Related Institutions",SUMIFS(InputResearch[CHHD Inst Res],InputResearch[Type],VLOOKUP($A$1,SearchTypes,2,FALSE)),"N/A")</f>
        <v>N/A</v>
      </c>
      <c r="F53" s="360" t="str">
        <f>IF(A1="Health - Related Institutions",SUMIFS(InputResearch[CHHD PFP],InputResearch[Type],VLOOKUP($A$1,SearchTypes,2,FALSE)),"N/A")</f>
        <v>N/A</v>
      </c>
      <c r="G53" s="361" t="str">
        <f>IF(A1="Health - Related Institutions",SUMIFS(InputResearch[CHHD PNP],InputResearch[Type],VLOOKUP($A$1,SearchTypes,2,FALSE)),"N/A")</f>
        <v>N/A</v>
      </c>
      <c r="H53" s="354">
        <f t="shared" si="2"/>
        <v>0</v>
      </c>
      <c r="I53" s="9"/>
      <c r="J53" s="9"/>
      <c r="K53" s="9"/>
      <c r="L53" s="9"/>
      <c r="M53" s="9"/>
      <c r="N53" s="9"/>
    </row>
    <row r="54" spans="1:14" ht="24.9" customHeight="1">
      <c r="A54" s="300" t="str">
        <f>IF($A$1="Health - Related Institutions", "Manufacturing Technology¹", "Manufacturing Technology")</f>
        <v>Manufacturing Technology</v>
      </c>
      <c r="B54" s="359">
        <f>IF(A1="Health - Related Institutions","N/A",SUMIFS(InputResearch[Manufacturing Tech Fed],InputResearch[Type],VLOOKUP($A$1,SearchTypes,2,FALSE)))</f>
        <v>0</v>
      </c>
      <c r="C54" s="360">
        <f>IF(A1="Health - Related Institutions","N/A",SUMIFS(InputResearch[Manufacturing Tech St. Approp.],InputResearch[Type],VLOOKUP($A$1,SearchTypes,2,FALSE)))</f>
        <v>0</v>
      </c>
      <c r="D54" s="360">
        <f>IF(A1="Health - Related Institutions","N/A",SUMIFS(InputResearch[Manufacturing Tech St. C&amp;G],InputResearch[Type],VLOOKUP($A$1,SearchTypes,2,FALSE)))</f>
        <v>0</v>
      </c>
      <c r="E54" s="360">
        <f>IF(A1="Health - Related Institutions","N/A",SUMIFS(InputResearch[Manufacturing Tech Inst Res],InputResearch[Type],VLOOKUP($A$1,SearchTypes,2,FALSE)))</f>
        <v>0</v>
      </c>
      <c r="F54" s="360">
        <f>IF(A1="Health - Related Institutions","N/A",SUMIFS(InputResearch[Manufacturing Tech PFP],InputResearch[Type],VLOOKUP($A$1,SearchTypes,2,FALSE)))</f>
        <v>0</v>
      </c>
      <c r="G54" s="361">
        <f>IF(A1="Health - Related Institutions","N/A",SUMIFS(InputResearch[Manufacturing Tech PNP],InputResearch[Type],VLOOKUP($A$1,SearchTypes,2,FALSE)))</f>
        <v>0</v>
      </c>
      <c r="H54" s="354">
        <f t="shared" si="2"/>
        <v>0</v>
      </c>
      <c r="I54" s="9"/>
      <c r="J54" s="9"/>
      <c r="K54" s="9"/>
      <c r="L54" s="9"/>
      <c r="M54" s="9"/>
      <c r="N54" s="9"/>
    </row>
    <row r="55" spans="1:14" ht="24.9" customHeight="1">
      <c r="A55" s="353" t="str">
        <f>IF($A$1="Health - Related Institutions", "Mental Health","Mental Health¹")</f>
        <v>Mental Health¹</v>
      </c>
      <c r="B55" s="359" t="str">
        <f>IF(A1="Health - Related Institutions",SUMIFS(InputResearch[Mental Hlth Fed],InputResearch[Type],VLOOKUP($A$1,SearchTypes,2,FALSE)),"N/A")</f>
        <v>N/A</v>
      </c>
      <c r="C55" s="360" t="str">
        <f>IF(A1="Health - Related Institutions",SUMIFS(InputResearch[Mental Hlth St. Approp.],InputResearch[Type],VLOOKUP($A$1,SearchTypes,2,FALSE)),"N/A")</f>
        <v>N/A</v>
      </c>
      <c r="D55" s="360" t="str">
        <f>IF(A1="Health - Related Institutions",SUMIFS(InputResearch[Mental Hlth St. C&amp;G],InputResearch[Type],VLOOKUP($A$1,SearchTypes,2,FALSE)),"N/A")</f>
        <v>N/A</v>
      </c>
      <c r="E55" s="360" t="str">
        <f>IF(A1="Health - Related Institutions",SUMIFS(InputResearch[Mental Hlth Inst Res],InputResearch[Type],VLOOKUP($A$1,SearchTypes,2,FALSE)),"N/A")</f>
        <v>N/A</v>
      </c>
      <c r="F55" s="360" t="str">
        <f>IF(A1="Health - Related Institutions",SUMIFS(InputResearch[Mental Hlth PFP],InputResearch[Type],VLOOKUP($A$1,SearchTypes,2,FALSE)),"N/A")</f>
        <v>N/A</v>
      </c>
      <c r="G55" s="361" t="str">
        <f>IF(A1="Health - Related Institutions",SUMIFS(InputResearch[Mental Hlth PNP],InputResearch[Type],VLOOKUP($A$1,SearchTypes,2,FALSE)),"N/A")</f>
        <v>N/A</v>
      </c>
      <c r="H55" s="354">
        <f t="shared" si="2"/>
        <v>0</v>
      </c>
      <c r="I55" s="9"/>
      <c r="J55" s="9"/>
      <c r="K55" s="9"/>
      <c r="L55" s="9"/>
      <c r="M55" s="9"/>
      <c r="N55" s="9"/>
    </row>
    <row r="56" spans="1:14" ht="24.9" customHeight="1">
      <c r="A56" s="300" t="str">
        <f>IF($A$1="Health - Related Institutions", "Materials Science¹", "Materials Science")</f>
        <v>Materials Science</v>
      </c>
      <c r="B56" s="359">
        <f>IF(A1="Health - Related Institutions","N/A",SUMIFS(InputResearch[Materials Sci. Fed],InputResearch[Type],VLOOKUP($A$1,SearchTypes,2,FALSE)))</f>
        <v>0</v>
      </c>
      <c r="C56" s="360">
        <f>IF(A1="Health - Related Institutions","N/A",SUMIFS(InputResearch[Materials Sci. St. Approp.],InputResearch[Type],VLOOKUP($A$1,SearchTypes,2,FALSE)))</f>
        <v>0</v>
      </c>
      <c r="D56" s="360">
        <f>IF(A1="Health - Related Institutions","N/A",SUMIFS(InputResearch[Materials Sci. St. C&amp;G],InputResearch[Type],VLOOKUP($A$1,SearchTypes,2,FALSE)))</f>
        <v>0</v>
      </c>
      <c r="E56" s="360">
        <f>IF(A1="Health - Related Institutions","N/A",SUMIFS(InputResearch[Materials Sci. Inst Res],InputResearch[Type],VLOOKUP($A$1,SearchTypes,2,FALSE)))</f>
        <v>0</v>
      </c>
      <c r="F56" s="360">
        <f>IF(A1="Health - Related Institutions","N/A",SUMIFS(InputResearch[Materials Sci. PFP],InputResearch[Type],VLOOKUP($A$1,SearchTypes,2,FALSE)))</f>
        <v>0</v>
      </c>
      <c r="G56" s="361">
        <f>IF(A1="Health - Related Institutions","N/A",SUMIFS(InputResearch[Materials Sci. PNP],InputResearch[Type],VLOOKUP($A$1,SearchTypes,2,FALSE)))</f>
        <v>0</v>
      </c>
      <c r="H56" s="354">
        <f t="shared" si="2"/>
        <v>0</v>
      </c>
      <c r="I56" s="9"/>
      <c r="J56" s="9"/>
      <c r="K56" s="9"/>
      <c r="L56" s="9"/>
      <c r="M56" s="9"/>
      <c r="N56" s="9"/>
    </row>
    <row r="57" spans="1:14" ht="24.9" customHeight="1">
      <c r="A57" s="300" t="str">
        <f>IF($A$1="Health - Related Institutions", "Microelectronics and Computer Technology¹", "Microelectronics and Computer Technology")</f>
        <v>Microelectronics and Computer Technology</v>
      </c>
      <c r="B57" s="359">
        <f>IF(A1="Health - Related Institutions","N/A",SUMIFS(InputResearch[Micro &amp; Comp. Tech Fed],InputResearch[Type],VLOOKUP($A$1,SearchTypes,2,FALSE)))</f>
        <v>0</v>
      </c>
      <c r="C57" s="360">
        <f>IF(A1="Health - Related Institutions","N/A",SUMIFS(InputResearch[Micro &amp; Comp. Tech St. Approp.],InputResearch[Type],VLOOKUP($A$1,SearchTypes,2,FALSE)))</f>
        <v>0</v>
      </c>
      <c r="D57" s="360">
        <f>IF(A1="Health - Related Institutions","N/A",SUMIFS(InputResearch[Micro &amp; Comp. Tech St. C&amp;G],InputResearch[Type],VLOOKUP($A$1,SearchTypes,2,FALSE)))</f>
        <v>0</v>
      </c>
      <c r="E57" s="360">
        <f>IF(A1="Health - Related Institutions","N/A",SUMIFS(InputResearch[Micro &amp; Comp. Tech Inst Res],InputResearch[Type],VLOOKUP($A$1,SearchTypes,2,FALSE)))</f>
        <v>0</v>
      </c>
      <c r="F57" s="360">
        <f>IF(A1="Health - Related Institutions","N/A",SUMIFS(InputResearch[Micro &amp; Comp. Tech PFP],InputResearch[Type],VLOOKUP($A$1,SearchTypes,2,FALSE)))</f>
        <v>0</v>
      </c>
      <c r="G57" s="361">
        <f>IF(A1="Health - Related Institutions","N/A",SUMIFS(InputResearch[Micro &amp; Comp. Tech PNP],InputResearch[Type],VLOOKUP($A$1,SearchTypes,2,FALSE)))</f>
        <v>0</v>
      </c>
      <c r="H57" s="354">
        <f t="shared" si="2"/>
        <v>0</v>
      </c>
      <c r="I57" s="9"/>
      <c r="J57" s="9"/>
      <c r="K57" s="9"/>
      <c r="L57" s="9"/>
      <c r="M57" s="9"/>
      <c r="N57" s="9"/>
    </row>
    <row r="58" spans="1:14" ht="24.9" customHeight="1">
      <c r="A58" s="300" t="str">
        <f>IF($A$1="Health - Related Institutions", "Water Resources¹", "Water Resources")</f>
        <v>Water Resources</v>
      </c>
      <c r="B58" s="359">
        <f>IF(A1="Health - Related Institutions","N/A",SUMIFS(InputResearch[Water Resources Fed],InputResearch[Type],VLOOKUP($A$1,SearchTypes,2,FALSE)))</f>
        <v>0</v>
      </c>
      <c r="C58" s="360">
        <f>IF(A1="Health - Related Institutions","N/A",SUMIFS(InputResearch[Water Resources St. Approp.],InputResearch[Type],VLOOKUP($A$1,SearchTypes,2,FALSE)))</f>
        <v>0</v>
      </c>
      <c r="D58" s="360">
        <f>IF(A1="Health - Related Institutions","N/A",SUMIFS(InputResearch[Water Resources St. C&amp;G],InputResearch[Type],VLOOKUP($A$1,SearchTypes,2,FALSE)))</f>
        <v>0</v>
      </c>
      <c r="E58" s="360">
        <f>IF(A1="Health - Related Institutions","N/A",SUMIFS(InputResearch[Water Resources Inst Res],InputResearch[Type],VLOOKUP($A$1,SearchTypes,2,FALSE)))</f>
        <v>0</v>
      </c>
      <c r="F58" s="360">
        <f>IF(A1="Health - Related Institutions","N/A",SUMIFS(InputResearch[Water Resources PFP],InputResearch[Type],VLOOKUP($A$1,SearchTypes,2,FALSE)))</f>
        <v>0</v>
      </c>
      <c r="G58" s="361">
        <f>IF(A1="Health - Related Institutions","N/A",SUMIFS(InputResearch[Water Resources PNP],InputResearch[Type],VLOOKUP($A$1,SearchTypes,2,FALSE)))</f>
        <v>0</v>
      </c>
      <c r="H58" s="354">
        <f t="shared" si="2"/>
        <v>0</v>
      </c>
      <c r="I58" s="9"/>
      <c r="J58" s="9"/>
      <c r="K58" s="9"/>
      <c r="L58" s="9"/>
      <c r="M58" s="9"/>
      <c r="N58" s="9"/>
    </row>
    <row r="59" spans="1:14" ht="24.9" customHeight="1">
      <c r="A59" s="300" t="s">
        <v>741</v>
      </c>
      <c r="B59" s="362">
        <f>SUMIFS(InputResearch[Stem Cell - Adult Fed],InputResearch[Type],VLOOKUP($A$1,SearchTypes,2,FALSE))</f>
        <v>0</v>
      </c>
      <c r="C59" s="363">
        <f>SUMIFS(InputResearch[Stem Cell - Adult St. Approp.],InputResearch[Type],VLOOKUP($A$1,SearchTypes,2,FALSE))</f>
        <v>0</v>
      </c>
      <c r="D59" s="363">
        <f>SUMIFS(InputResearch[Stem Cell - Adult St. C&amp;G],InputResearch[Type],VLOOKUP($A$1,SearchTypes,2,FALSE))</f>
        <v>0</v>
      </c>
      <c r="E59" s="363">
        <f>SUMIFS(InputResearch[Stem Cell - Adult Inst Res],InputResearch[Type],VLOOKUP($A$1,SearchTypes,2,FALSE))</f>
        <v>0</v>
      </c>
      <c r="F59" s="363">
        <f>SUMIFS(InputResearch[Stem Cell - Adult PFP],InputResearch[Type],VLOOKUP($A$1,SearchTypes,2,FALSE))</f>
        <v>0</v>
      </c>
      <c r="G59" s="364">
        <f>SUMIFS(InputResearch[Stem Cell - Adult PNP],InputResearch[Type],VLOOKUP($A$1,SearchTypes,2,FALSE))</f>
        <v>0</v>
      </c>
      <c r="H59" s="354">
        <f t="shared" si="2"/>
        <v>0</v>
      </c>
      <c r="I59" s="9"/>
      <c r="J59" s="9"/>
      <c r="K59" s="9"/>
      <c r="L59" s="9"/>
      <c r="M59" s="9"/>
      <c r="N59" s="9"/>
    </row>
    <row r="60" spans="1:14" ht="24.9" customHeight="1" thickBot="1">
      <c r="A60" s="300" t="s">
        <v>742</v>
      </c>
      <c r="B60" s="365">
        <f>SUMIFS(InputResearch[Stem Cell - Embryonic Fed],InputResearch[Type],VLOOKUP($A$1,SearchTypes,2,FALSE))</f>
        <v>0</v>
      </c>
      <c r="C60" s="366">
        <f>SUMIFS(InputResearch[Stem Cell - Embryonic St. Approp.],InputResearch[Type],VLOOKUP($A$1,SearchTypes,2,FALSE))</f>
        <v>0</v>
      </c>
      <c r="D60" s="366">
        <f>SUMIFS(InputResearch[Stem Cell - Embryonic St. C&amp;G],InputResearch[Type],VLOOKUP($A$1,SearchTypes,2,FALSE))</f>
        <v>0</v>
      </c>
      <c r="E60" s="366">
        <f>SUMIFS(InputResearch[Stem Cell - Embryonic Inst Res],InputResearch[Type],VLOOKUP($A$1,SearchTypes,2,FALSE))</f>
        <v>0</v>
      </c>
      <c r="F60" s="366">
        <f>SUMIFS(InputResearch[Stem Cell - Embryonic PFP],InputResearch[Type],VLOOKUP($A$1,SearchTypes,2,FALSE))</f>
        <v>0</v>
      </c>
      <c r="G60" s="367">
        <f>SUMIFS(InputResearch[Stem Cell - Embryonic PNP],InputResearch[Type],VLOOKUP($A$1,SearchTypes,2,FALSE))</f>
        <v>0</v>
      </c>
      <c r="H60" s="354">
        <f t="shared" si="2"/>
        <v>0</v>
      </c>
      <c r="I60" s="9"/>
      <c r="J60" s="9"/>
      <c r="K60" s="9"/>
      <c r="L60" s="9"/>
      <c r="M60" s="9"/>
      <c r="N60" s="9"/>
    </row>
    <row r="61" spans="1:14" ht="24.9" customHeight="1" thickTop="1">
      <c r="A61" s="303" t="s">
        <v>603</v>
      </c>
      <c r="B61" s="276">
        <f t="shared" ref="B61:G61" si="3">SUM(B47:B60)</f>
        <v>0</v>
      </c>
      <c r="C61" s="276">
        <f t="shared" si="3"/>
        <v>0</v>
      </c>
      <c r="D61" s="276">
        <f t="shared" si="3"/>
        <v>0</v>
      </c>
      <c r="E61" s="276">
        <f t="shared" si="3"/>
        <v>0</v>
      </c>
      <c r="F61" s="276">
        <f t="shared" si="3"/>
        <v>0</v>
      </c>
      <c r="G61" s="276">
        <f t="shared" si="3"/>
        <v>0</v>
      </c>
      <c r="H61" s="277">
        <f>SUM(H49:H60)</f>
        <v>0</v>
      </c>
      <c r="I61" s="9"/>
      <c r="J61" s="9"/>
      <c r="K61" s="9"/>
      <c r="L61" s="9"/>
      <c r="M61" s="9"/>
      <c r="N61" s="9"/>
    </row>
    <row r="62" spans="1:14" ht="24.9" customHeight="1">
      <c r="A62" s="451" t="s">
        <v>745</v>
      </c>
      <c r="B62" s="451"/>
      <c r="C62" s="451"/>
      <c r="D62" s="451"/>
      <c r="E62" s="451"/>
      <c r="F62" s="451"/>
      <c r="G62" s="451"/>
      <c r="H62" s="451"/>
      <c r="I62" s="9"/>
      <c r="J62" s="9"/>
      <c r="K62" s="9"/>
      <c r="L62" s="9"/>
      <c r="M62" s="9"/>
      <c r="N62" s="9"/>
    </row>
    <row r="63" spans="1:14" ht="24.9" customHeight="1">
      <c r="A63" s="451"/>
      <c r="B63" s="451"/>
      <c r="C63" s="451"/>
      <c r="D63" s="451"/>
      <c r="E63" s="451"/>
      <c r="F63" s="451"/>
      <c r="G63" s="451"/>
      <c r="H63" s="451"/>
      <c r="I63" s="9"/>
      <c r="J63" s="9"/>
      <c r="K63" s="9"/>
      <c r="L63" s="9"/>
      <c r="M63" s="9"/>
      <c r="N63" s="9"/>
    </row>
    <row r="64" spans="1:14" ht="24.9" customHeight="1">
      <c r="A64" s="451"/>
      <c r="B64" s="451"/>
      <c r="C64" s="451"/>
      <c r="D64" s="451"/>
      <c r="E64" s="451"/>
      <c r="F64" s="451"/>
      <c r="G64" s="451"/>
      <c r="H64" s="451"/>
      <c r="I64" s="9"/>
      <c r="J64" s="9"/>
      <c r="K64" s="9"/>
      <c r="L64" s="9"/>
      <c r="M64" s="9"/>
      <c r="N64" s="9"/>
    </row>
    <row r="65" spans="1:14">
      <c r="A65" s="9"/>
      <c r="B65" s="9"/>
      <c r="C65" s="9"/>
      <c r="D65" s="9"/>
      <c r="E65" s="9"/>
      <c r="F65" s="9"/>
      <c r="G65" s="9"/>
      <c r="H65" s="9"/>
      <c r="I65" s="9"/>
      <c r="J65" s="9"/>
      <c r="K65" s="9"/>
      <c r="L65" s="9"/>
      <c r="M65" s="9"/>
      <c r="N65" s="9"/>
    </row>
  </sheetData>
  <sheetProtection algorithmName="SHA-512" hashValue="JL4eiSbk2rgGYqSKZ/slWN3vpAh3EBoomZ8GZDF0jH1KSjV3EucyUwVdvyENpNuG71Uk7QzpsFjrYWxq06GBKQ==" saltValue="0D9WSbxdCOD662BJSijNTw==" spinCount="100000" sheet="1" objects="1" scenarios="1"/>
  <mergeCells count="23">
    <mergeCell ref="L26:M26"/>
    <mergeCell ref="K7:K8"/>
    <mergeCell ref="A14:F14"/>
    <mergeCell ref="A1:C1"/>
    <mergeCell ref="A2:C2"/>
    <mergeCell ref="A3:C3"/>
    <mergeCell ref="A8:F8"/>
    <mergeCell ref="A9:F9"/>
    <mergeCell ref="A10:F10"/>
    <mergeCell ref="A11:F11"/>
    <mergeCell ref="A12:F12"/>
    <mergeCell ref="A13:F13"/>
    <mergeCell ref="A4:H6"/>
    <mergeCell ref="A21:H21"/>
    <mergeCell ref="A7:F7"/>
    <mergeCell ref="A42:H45"/>
    <mergeCell ref="A62:H64"/>
    <mergeCell ref="A41:H41"/>
    <mergeCell ref="A15:F15"/>
    <mergeCell ref="A16:F16"/>
    <mergeCell ref="A17:F17"/>
    <mergeCell ref="A18:G18"/>
    <mergeCell ref="A19:G19"/>
  </mergeCells>
  <conditionalFormatting sqref="A2:C2">
    <cfRule type="cellIs" dxfId="6" priority="1" operator="equal">
      <formula>"▲ Select from dropdown ▲"</formula>
    </cfRule>
  </conditionalFormatting>
  <conditionalFormatting sqref="B47:G47 B49:G49 B52:G52 B54:G54 B56:G58">
    <cfRule type="expression" dxfId="5" priority="4">
      <formula>($A$1="Health - Related Institutions")</formula>
    </cfRule>
  </conditionalFormatting>
  <conditionalFormatting sqref="B47:G58">
    <cfRule type="expression" dxfId="4" priority="6">
      <formula>$A$2="Health - Related Institutions"</formula>
    </cfRule>
  </conditionalFormatting>
  <conditionalFormatting sqref="B48:G48 B50:G51 B53:G53 B55:G55">
    <cfRule type="expression" dxfId="3" priority="3">
      <formula>($A$1&lt;&gt;"Health - Related Institutions")</formula>
    </cfRule>
  </conditionalFormatting>
  <conditionalFormatting sqref="L26">
    <cfRule type="expression" dxfId="2" priority="7">
      <formula>$M$27&lt;&gt;0</formula>
    </cfRule>
  </conditionalFormatting>
  <dataValidations count="1">
    <dataValidation type="list" allowBlank="1" showInputMessage="1" showErrorMessage="1" sqref="A1:C1" xr:uid="{33EF6F87-C804-4350-96BB-B2820E400281}">
      <formula1>Type_Dropdown</formula1>
    </dataValidation>
  </dataValidations>
  <pageMargins left="0.5" right="0.5" top="0.5" bottom="0.5" header="0.3" footer="0.3"/>
  <pageSetup scale="50" orientation="landscape" r:id="rId1"/>
  <headerFooter>
    <oddFooter>&amp;CPage &amp;P of &amp;N&amp;RPrinted on: &amp;D</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23DBF-0937-4A88-AAA4-A28741DA7F25}">
  <sheetPr codeName="Sheet14">
    <tabColor theme="4"/>
    <pageSetUpPr fitToPage="1"/>
  </sheetPr>
  <dimension ref="A1:G41"/>
  <sheetViews>
    <sheetView zoomScale="70" zoomScaleNormal="70" workbookViewId="0">
      <pane ySplit="3" topLeftCell="A4" activePane="bottomLeft" state="frozen"/>
      <selection pane="bottomLeft"/>
    </sheetView>
  </sheetViews>
  <sheetFormatPr defaultColWidth="8.81640625" defaultRowHeight="13.8"/>
  <cols>
    <col min="1" max="1" width="77.36328125" style="6" customWidth="1"/>
    <col min="2" max="2" width="50.90625" style="6" customWidth="1"/>
    <col min="3" max="3" width="17.81640625" style="6" customWidth="1"/>
    <col min="4" max="4" width="6.6328125" style="6" customWidth="1"/>
    <col min="5" max="16384" width="8.81640625" style="6"/>
  </cols>
  <sheetData>
    <row r="1" spans="1:7" ht="34.950000000000003" customHeight="1" thickBot="1">
      <c r="A1" s="109"/>
      <c r="B1" s="23"/>
      <c r="C1" s="23"/>
      <c r="D1" s="5"/>
    </row>
    <row r="2" spans="1:7" ht="18" thickBot="1">
      <c r="A2" s="187" t="str">
        <f>IFERROR(VLOOKUP(A1,Hidden!$A$16:$B$112,2,FALSE),"▲ Select from dropdown ▲")</f>
        <v>▲ Select from dropdown ▲</v>
      </c>
      <c r="B2" s="5"/>
      <c r="C2" s="5"/>
      <c r="D2" s="5"/>
    </row>
    <row r="3" spans="1:7" ht="15.6">
      <c r="A3" s="468" t="s">
        <v>601</v>
      </c>
      <c r="B3" s="468"/>
      <c r="C3" s="468"/>
      <c r="D3" s="5"/>
    </row>
    <row r="4" spans="1:7" s="10" customFormat="1" ht="15.6">
      <c r="A4" s="107"/>
      <c r="B4" s="107"/>
      <c r="C4" s="107"/>
      <c r="D4" s="5"/>
      <c r="E4" s="6"/>
    </row>
    <row r="5" spans="1:7" s="10" customFormat="1" ht="16.8">
      <c r="A5" s="107"/>
      <c r="B5" s="107"/>
      <c r="C5" s="107"/>
      <c r="D5" s="5"/>
      <c r="E5" s="6"/>
      <c r="G5" s="21"/>
    </row>
    <row r="6" spans="1:7" s="10" customFormat="1" ht="21">
      <c r="A6" s="478" t="s">
        <v>954</v>
      </c>
      <c r="B6" s="478"/>
      <c r="C6" s="478"/>
      <c r="D6" s="5"/>
      <c r="E6" s="6"/>
      <c r="F6" s="22"/>
      <c r="G6" s="22"/>
    </row>
    <row r="7" spans="1:7" s="189" customFormat="1" ht="27" customHeight="1">
      <c r="A7" s="469" t="s">
        <v>600</v>
      </c>
      <c r="B7" s="470"/>
      <c r="C7" s="296">
        <f>SUMIFS(InputResearch[SRECNP Res. Exp.],InputResearch[Institution Name],$A$1)</f>
        <v>0</v>
      </c>
      <c r="D7" s="188"/>
    </row>
    <row r="8" spans="1:7" s="189" customFormat="1" ht="27" customHeight="1">
      <c r="A8" s="465" t="s">
        <v>681</v>
      </c>
      <c r="B8" s="466"/>
      <c r="C8" s="274">
        <f>SUMIFS(InputResearch[Res. Not From Rest. Res. Fnd Group],InputResearch[Institution Name],$A$1)</f>
        <v>0</v>
      </c>
      <c r="D8" s="188"/>
    </row>
    <row r="9" spans="1:7" s="189" customFormat="1" ht="27" customHeight="1" thickBot="1">
      <c r="A9" s="465" t="s">
        <v>682</v>
      </c>
      <c r="B9" s="466"/>
      <c r="C9" s="297">
        <f>SUMIFS(InputResearch[Cap Outlay],InputResearch[Institution Name],$A$1)</f>
        <v>0</v>
      </c>
      <c r="D9" s="188"/>
    </row>
    <row r="10" spans="1:7" s="189" customFormat="1" ht="27" customHeight="1" thickTop="1">
      <c r="A10" s="416" t="s">
        <v>677</v>
      </c>
      <c r="B10" s="417"/>
      <c r="C10" s="277">
        <f>SUM(C7,C8,C9)</f>
        <v>0</v>
      </c>
      <c r="D10" s="188"/>
    </row>
    <row r="11" spans="1:7" s="189" customFormat="1" ht="27" customHeight="1">
      <c r="A11" s="477" t="s">
        <v>683</v>
      </c>
      <c r="B11" s="464"/>
      <c r="C11" s="298">
        <f>SUMIFS(InputResearch[Exp. Not SAM],InputResearch[Institution Name],$A$1)</f>
        <v>0</v>
      </c>
      <c r="D11" s="188"/>
    </row>
    <row r="12" spans="1:7" s="189" customFormat="1" ht="27" customHeight="1">
      <c r="A12" s="473" t="s">
        <v>684</v>
      </c>
      <c r="B12" s="474"/>
      <c r="C12" s="471">
        <f>SUMIFS(InputResearch[Hackerman],InputResearch[Institution Name],$A$1)</f>
        <v>0</v>
      </c>
      <c r="D12" s="188"/>
    </row>
    <row r="13" spans="1:7" s="189" customFormat="1" ht="27" customHeight="1">
      <c r="A13" s="473"/>
      <c r="B13" s="474"/>
      <c r="C13" s="472"/>
      <c r="D13" s="188"/>
    </row>
    <row r="14" spans="1:7" s="189" customFormat="1" ht="27" customHeight="1">
      <c r="A14" s="473" t="s">
        <v>744</v>
      </c>
      <c r="B14" s="474"/>
      <c r="C14" s="475"/>
      <c r="D14" s="188"/>
    </row>
    <row r="15" spans="1:7" s="189" customFormat="1" ht="27" customHeight="1">
      <c r="A15" s="473"/>
      <c r="B15" s="474"/>
      <c r="C15" s="475"/>
      <c r="D15" s="188"/>
    </row>
    <row r="16" spans="1:7" s="189" customFormat="1" ht="27" customHeight="1">
      <c r="A16" s="473"/>
      <c r="B16" s="474"/>
      <c r="C16" s="476"/>
      <c r="D16" s="188"/>
    </row>
    <row r="17" spans="1:4" s="189" customFormat="1" ht="27" customHeight="1">
      <c r="A17" s="465" t="s">
        <v>685</v>
      </c>
      <c r="B17" s="466"/>
      <c r="C17" s="275">
        <f>SUMIFS(InputResearch[Federal PT],InputResearch[Institution Name],$A$1)</f>
        <v>0</v>
      </c>
      <c r="D17" s="188"/>
    </row>
    <row r="18" spans="1:4" s="189" customFormat="1" ht="27" customHeight="1">
      <c r="A18" s="465" t="s">
        <v>686</v>
      </c>
      <c r="B18" s="467"/>
      <c r="C18" s="293">
        <f>SUMIFS(InputResearch[State PT],InputResearch[Institution Name],$A$1)</f>
        <v>0</v>
      </c>
      <c r="D18" s="188"/>
    </row>
    <row r="19" spans="1:4" s="189" customFormat="1" ht="27" customHeight="1">
      <c r="A19" s="190"/>
      <c r="B19" s="191"/>
      <c r="C19" s="197"/>
      <c r="D19" s="188"/>
    </row>
    <row r="20" spans="1:4" s="189" customFormat="1" ht="27" customHeight="1">
      <c r="A20" s="193" t="s">
        <v>687</v>
      </c>
      <c r="B20" s="194" t="s">
        <v>688</v>
      </c>
      <c r="C20" s="211"/>
      <c r="D20" s="188"/>
    </row>
    <row r="21" spans="1:4" s="189" customFormat="1" ht="49.95" customHeight="1">
      <c r="A21" s="300" t="s">
        <v>678</v>
      </c>
      <c r="B21" s="301" t="e">
        <f>IF(VLOOKUP($A$1,InputResearch[],217,FALSE)=0,"",VLOOKUP($A$1,InputResearch[],217,FALSE))</f>
        <v>#N/A</v>
      </c>
      <c r="C21" s="293">
        <f>SUMIFS(InputResearch[Adj1],InputResearch[Institution Name],$A$1)</f>
        <v>0</v>
      </c>
      <c r="D21" s="188"/>
    </row>
    <row r="22" spans="1:4" s="189" customFormat="1" ht="49.95" customHeight="1">
      <c r="A22" s="300" t="s">
        <v>679</v>
      </c>
      <c r="B22" s="301" t="e">
        <f>IF(VLOOKUP($A$1,InputResearch[],218,FALSE)=0,"",VLOOKUP($A$1,InputResearch[],218,FALSE))</f>
        <v>#N/A</v>
      </c>
      <c r="C22" s="293">
        <f>SUMIFS(InputResearch[Adj2],InputResearch[Institution Name],$A$1)</f>
        <v>0</v>
      </c>
      <c r="D22" s="188"/>
    </row>
    <row r="23" spans="1:4" s="189" customFormat="1" ht="49.95" customHeight="1" thickBot="1">
      <c r="A23" s="300" t="s">
        <v>680</v>
      </c>
      <c r="B23" s="302" t="e">
        <f>IF(VLOOKUP($A$1,InputResearch[],219,FALSE)=0,"",VLOOKUP($A$1,InputResearch[],219,FALSE))</f>
        <v>#N/A</v>
      </c>
      <c r="C23" s="294">
        <f>SUMIFS(InputResearch[Adj2],InputResearch[Institution Name],$A$1)</f>
        <v>0</v>
      </c>
      <c r="D23" s="188"/>
    </row>
    <row r="24" spans="1:4" s="189" customFormat="1" ht="27" customHeight="1" thickTop="1">
      <c r="A24" s="192" t="s">
        <v>689</v>
      </c>
      <c r="B24" s="195"/>
      <c r="C24" s="295">
        <f>SUM(C10,C11,C12,C17,C18,C21,C22,C23)</f>
        <v>0</v>
      </c>
      <c r="D24" s="188"/>
    </row>
    <row r="25" spans="1:4" s="189" customFormat="1" ht="27" customHeight="1">
      <c r="A25" s="464" t="s">
        <v>904</v>
      </c>
      <c r="B25" s="464"/>
      <c r="C25" s="464"/>
      <c r="D25" s="196"/>
    </row>
    <row r="26" spans="1:4" s="2" customFormat="1" ht="15">
      <c r="A26" s="1"/>
      <c r="B26" s="1"/>
      <c r="C26" s="1"/>
      <c r="D26" s="1"/>
    </row>
    <row r="27" spans="1:4" s="2" customFormat="1" ht="15"/>
    <row r="28" spans="1:4" s="2" customFormat="1" ht="15"/>
    <row r="29" spans="1:4" s="2" customFormat="1" ht="15"/>
    <row r="30" spans="1:4" s="2" customFormat="1" ht="15"/>
    <row r="31" spans="1:4" s="2" customFormat="1" ht="15"/>
    <row r="32" spans="1:4" s="2" customFormat="1" ht="15"/>
    <row r="33" s="2" customFormat="1" ht="15"/>
    <row r="34" s="2" customFormat="1" ht="15"/>
    <row r="35" s="2" customFormat="1" ht="15"/>
    <row r="36" s="2" customFormat="1" ht="15"/>
    <row r="37" s="2" customFormat="1" ht="15"/>
    <row r="38" s="2" customFormat="1" ht="15"/>
    <row r="39" s="2" customFormat="1" ht="15"/>
    <row r="40" s="2" customFormat="1" ht="15"/>
    <row r="41" s="2" customFormat="1" ht="15"/>
  </sheetData>
  <sheetProtection algorithmName="SHA-512" hashValue="YpqDtbnf6GQcBie5FJBpm346NXff4quU+b4cUSHvmidVpIFZ1Fmw62Lz1/cRs15R3EwQTUYmDYB1W1p5DDiirg==" saltValue="xldOrp963N7r+i6oGaQz5A==" spinCount="100000" sheet="1" objects="1" scenarios="1" formatRows="0"/>
  <mergeCells count="14">
    <mergeCell ref="A25:C25"/>
    <mergeCell ref="A17:B17"/>
    <mergeCell ref="A18:B18"/>
    <mergeCell ref="A9:B9"/>
    <mergeCell ref="A3:C3"/>
    <mergeCell ref="A7:B7"/>
    <mergeCell ref="A8:B8"/>
    <mergeCell ref="C12:C13"/>
    <mergeCell ref="A14:B16"/>
    <mergeCell ref="C14:C16"/>
    <mergeCell ref="A10:B10"/>
    <mergeCell ref="A12:B13"/>
    <mergeCell ref="A11:B11"/>
    <mergeCell ref="A6:C6"/>
  </mergeCells>
  <conditionalFormatting sqref="A2">
    <cfRule type="cellIs" dxfId="1" priority="1" operator="equal">
      <formula>"▲ Select from dropdown ▲"</formula>
    </cfRule>
  </conditionalFormatting>
  <dataValidations count="1">
    <dataValidation type="list" allowBlank="1" showInputMessage="1" showErrorMessage="1" sqref="A1" xr:uid="{EF33E85D-7409-45BD-8338-E0C43CD77D1D}">
      <formula1>RestrictedResearchList</formula1>
    </dataValidation>
  </dataValidations>
  <printOptions horizontalCentered="1"/>
  <pageMargins left="0.5" right="0.5" top="1" bottom="1" header="0.5" footer="0.3"/>
  <pageSetup scale="56" orientation="portrait" r:id="rId1"/>
  <headerFooter>
    <oddHeader>&amp;C&amp;"-,Bold"&amp;18Restricted Research - Fiscal Year 2023</oddHeader>
    <oddFooter>&amp;RPrinted on: &amp;D</oddFooter>
  </headerFooter>
  <ignoredErrors>
    <ignoredError sqref="B21:B23" evalError="1"/>
  </ignoredError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BCF94-F0FA-417C-A658-7CC7AE0EA160}">
  <sheetPr codeName="Sheet15">
    <tabColor theme="5"/>
    <pageSetUpPr fitToPage="1"/>
  </sheetPr>
  <dimension ref="A1:S62"/>
  <sheetViews>
    <sheetView zoomScale="55" zoomScaleNormal="55" workbookViewId="0">
      <pane ySplit="1" topLeftCell="A2" activePane="bottomLeft" state="frozen"/>
      <selection pane="bottomLeft" sqref="A1:Q1"/>
    </sheetView>
  </sheetViews>
  <sheetFormatPr defaultColWidth="8.81640625" defaultRowHeight="13.8" outlineLevelCol="1"/>
  <cols>
    <col min="1" max="1" width="62.81640625" style="6" customWidth="1"/>
    <col min="2" max="2" width="8.81640625" style="215" hidden="1" customWidth="1" outlineLevel="1"/>
    <col min="3" max="3" width="10.81640625" style="6" hidden="1" customWidth="1" outlineLevel="1"/>
    <col min="4" max="4" width="22.1796875" style="6" bestFit="1" customWidth="1" collapsed="1"/>
    <col min="5" max="5" width="21.6328125" style="6" bestFit="1" customWidth="1"/>
    <col min="6" max="6" width="25.81640625" style="6" customWidth="1"/>
    <col min="7" max="7" width="19.54296875" style="6" bestFit="1" customWidth="1"/>
    <col min="8" max="8" width="20.90625" style="6" bestFit="1" customWidth="1"/>
    <col min="9" max="9" width="25.81640625" style="6" hidden="1" customWidth="1" outlineLevel="1" collapsed="1"/>
    <col min="10" max="10" width="14.453125" style="6" bestFit="1" customWidth="1" collapsed="1"/>
    <col min="11" max="11" width="14.453125" style="6" bestFit="1" customWidth="1"/>
    <col min="12" max="12" width="25.81640625" style="6" hidden="1" customWidth="1" outlineLevel="1" collapsed="1"/>
    <col min="13" max="13" width="14.90625" style="6" customWidth="1" collapsed="1"/>
    <col min="14" max="14" width="25.81640625" style="6" hidden="1" customWidth="1" outlineLevel="1" collapsed="1"/>
    <col min="15" max="15" width="14.90625" style="6" bestFit="1" customWidth="1" collapsed="1"/>
    <col min="16" max="16" width="25.81640625" style="6" hidden="1" customWidth="1" outlineLevel="1" collapsed="1"/>
    <col min="17" max="17" width="14.90625" style="6" bestFit="1" customWidth="1" collapsed="1"/>
    <col min="18" max="18" width="21.6328125" style="6" bestFit="1" customWidth="1"/>
    <col min="19" max="19" width="5.81640625" style="6" customWidth="1"/>
    <col min="20" max="16384" width="8.81640625" style="6"/>
  </cols>
  <sheetData>
    <row r="1" spans="1:19" ht="45" customHeight="1">
      <c r="A1" s="390" t="s">
        <v>857</v>
      </c>
      <c r="B1" s="390"/>
      <c r="C1" s="390"/>
      <c r="D1" s="390"/>
      <c r="E1" s="390"/>
      <c r="F1" s="390"/>
      <c r="G1" s="390"/>
      <c r="H1" s="390"/>
      <c r="I1" s="390"/>
      <c r="J1" s="390"/>
      <c r="K1" s="390"/>
      <c r="L1" s="390"/>
      <c r="M1" s="390"/>
      <c r="N1" s="390"/>
      <c r="O1" s="390"/>
      <c r="P1" s="390"/>
      <c r="Q1" s="390"/>
      <c r="R1" s="5"/>
      <c r="S1" s="5"/>
    </row>
    <row r="2" spans="1:19" ht="33" customHeight="1">
      <c r="A2" s="439" t="s">
        <v>0</v>
      </c>
      <c r="B2" s="440"/>
      <c r="C2" s="440"/>
      <c r="D2" s="440"/>
      <c r="E2" s="440"/>
      <c r="F2" s="440"/>
      <c r="G2" s="440"/>
      <c r="H2" s="440"/>
      <c r="I2" s="440"/>
      <c r="J2" s="440"/>
      <c r="K2" s="440"/>
      <c r="L2" s="440"/>
      <c r="M2" s="440"/>
      <c r="N2" s="440"/>
      <c r="O2" s="440"/>
      <c r="P2" s="440"/>
      <c r="Q2" s="440"/>
      <c r="R2" s="440"/>
      <c r="S2" s="5"/>
    </row>
    <row r="3" spans="1:19" ht="17.399999999999999">
      <c r="A3" s="438">
        <f>Hidden!$A$4</f>
        <v>45412</v>
      </c>
      <c r="B3" s="438"/>
      <c r="C3" s="438"/>
      <c r="D3" s="438"/>
      <c r="E3" s="438"/>
      <c r="F3" s="438"/>
      <c r="G3" s="438"/>
      <c r="H3" s="438"/>
      <c r="I3" s="438"/>
      <c r="J3" s="438"/>
      <c r="K3" s="438"/>
      <c r="L3" s="438"/>
      <c r="M3" s="438"/>
      <c r="N3" s="438"/>
      <c r="O3" s="438"/>
      <c r="P3" s="438"/>
      <c r="Q3" s="438"/>
      <c r="R3" s="438"/>
      <c r="S3" s="5"/>
    </row>
    <row r="4" spans="1:19">
      <c r="A4" s="5"/>
      <c r="B4" s="213"/>
      <c r="C4" s="5"/>
      <c r="D4" s="5"/>
      <c r="E4" s="5"/>
      <c r="F4" s="5"/>
      <c r="G4" s="5"/>
      <c r="H4" s="5"/>
      <c r="I4" s="5"/>
      <c r="J4" s="5"/>
      <c r="K4" s="5"/>
      <c r="L4" s="5"/>
      <c r="M4" s="5"/>
      <c r="N4" s="5"/>
      <c r="O4" s="5"/>
      <c r="P4" s="5"/>
      <c r="Q4" s="5"/>
      <c r="R4" s="5"/>
      <c r="S4" s="5"/>
    </row>
    <row r="5" spans="1:19" s="65" customFormat="1" ht="41.4">
      <c r="A5" s="79" t="s">
        <v>1</v>
      </c>
      <c r="B5" s="80" t="s">
        <v>889</v>
      </c>
      <c r="C5" s="64" t="s">
        <v>2</v>
      </c>
      <c r="D5" s="216" t="s">
        <v>901</v>
      </c>
      <c r="E5" s="216" t="s">
        <v>896</v>
      </c>
      <c r="F5" s="216" t="s">
        <v>897</v>
      </c>
      <c r="G5" s="216" t="s">
        <v>898</v>
      </c>
      <c r="H5" s="216" t="s">
        <v>899</v>
      </c>
      <c r="I5" s="216" t="s">
        <v>900</v>
      </c>
      <c r="J5" s="64" t="s">
        <v>730</v>
      </c>
      <c r="K5" s="64" t="s">
        <v>731</v>
      </c>
      <c r="L5" s="64" t="s">
        <v>729</v>
      </c>
      <c r="M5" s="64" t="s">
        <v>698</v>
      </c>
      <c r="N5" s="64" t="s">
        <v>728</v>
      </c>
      <c r="O5" s="64" t="s">
        <v>700</v>
      </c>
      <c r="P5" s="64" t="s">
        <v>727</v>
      </c>
      <c r="Q5" s="64" t="s">
        <v>699</v>
      </c>
      <c r="R5" s="64" t="s">
        <v>726</v>
      </c>
      <c r="S5" s="219"/>
    </row>
    <row r="6" spans="1:19" s="67" customFormat="1" ht="15">
      <c r="A6" s="67" t="s">
        <v>20</v>
      </c>
      <c r="B6" s="68">
        <f>VLOOKUP(RestResearch[[#This Row],[Institution Name]],InputResearch[],3,FALSE)</f>
        <v>40</v>
      </c>
      <c r="C6" s="69">
        <v>3656</v>
      </c>
      <c r="D6" s="112">
        <f>SUMIFS(InputResearch[SRECNP Res. Exp.],InputResearch[Institution Name],RestResearch[[#This Row],[Institution Name]])</f>
        <v>112969711</v>
      </c>
      <c r="E6" s="112">
        <f>SUMIFS(InputResearch[Res. Not From Rest. Res. Fnd Group],InputResearch[Institution Name],RestResearch[[#This Row],[Institution Name]])</f>
        <v>-56429330</v>
      </c>
      <c r="F6" s="112">
        <f>SUMIFS(InputResearch[Cap Outlay],InputResearch[Institution Name],RestResearch[[#This Row],[Institution Name]])</f>
        <v>2443777</v>
      </c>
      <c r="G6" s="112">
        <f>SUM(RestResearch[[#This Row],[Total R&amp;D as Reported 
on SRECNP]:[Capital Outlay for 
Restricted Funds 
Programs Coded Research]])</f>
        <v>58984158</v>
      </c>
      <c r="H6" s="112">
        <f>SUMIFS(InputResearch[Exp. Not SAM],InputResearch[Institution Name],RestResearch[[#This Row],[Institution Name]])</f>
        <v>-4591864</v>
      </c>
      <c r="I6" s="112">
        <f>SUMIFS(InputResearch[Hackerman],InputResearch[Institution Name],RestResearch[[#This Row],[Institution Name]])</f>
        <v>0</v>
      </c>
      <c r="J6" s="112">
        <f>SUMIFS(InputResearch[Federal PT],InputResearch[Institution Name],RestResearch[[#This Row],[Institution Name]])</f>
        <v>-1270898</v>
      </c>
      <c r="K6" s="112">
        <f>SUMIFS(InputResearch[State PT],InputResearch[Institution Name],RestResearch[[#This Row],[Institution Name]])</f>
        <v>0</v>
      </c>
      <c r="L6" s="217" t="str">
        <f>IF(VLOOKUP(RestResearch[[#This Row],[Institution Name]],InputResearch[],217,FALSE)=0,"",VLOOKUP(RestResearch[[#This Row],[Institution Name]],InputResearch[],217,FALSE))</f>
        <v>N/A</v>
      </c>
      <c r="M6" s="112">
        <f>SUMIFS(InputResearch[Adj1],InputResearch[Institution Name],RestResearch[[#This Row],[Institution Name]])</f>
        <v>0</v>
      </c>
      <c r="N6" s="218" t="str">
        <f>IF(VLOOKUP(RestResearch[[#This Row],[Institution Name]],InputResearch[],218,FALSE)=0,"",VLOOKUP(RestResearch[[#This Row],[Institution Name]],InputResearch[],218,FALSE))</f>
        <v>N/A</v>
      </c>
      <c r="O6" s="112">
        <f>SUMIFS(InputResearch[Adj2],InputResearch[Institution Name],RestResearch[[#This Row],[Institution Name]])</f>
        <v>0</v>
      </c>
      <c r="P6" s="218" t="str">
        <f>IF(VLOOKUP(RestResearch[[#This Row],[Institution Name]],InputResearch[],219,FALSE)=0,"",VLOOKUP(RestResearch[[#This Row],[Institution Name]],InputResearch[],219,FALSE))</f>
        <v>N/A</v>
      </c>
      <c r="Q6" s="112">
        <f>SUMIFS(InputResearch[Adj3],InputResearch[Institution Name],RestResearch[[#This Row],[Institution Name]])</f>
        <v>0</v>
      </c>
      <c r="R6"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53121396</v>
      </c>
      <c r="S6" s="220"/>
    </row>
    <row r="7" spans="1:19" s="67" customFormat="1" ht="15">
      <c r="A7" s="67" t="s">
        <v>714</v>
      </c>
      <c r="B7" s="68">
        <f>VLOOKUP(RestResearch[[#This Row],[Institution Name]],InputResearch[],3,FALSE)</f>
        <v>51</v>
      </c>
      <c r="C7" s="69">
        <v>3658</v>
      </c>
      <c r="D7" s="112">
        <f>SUMIFS(InputResearch[SRECNP Res. Exp.],InputResearch[Institution Name],RestResearch[[#This Row],[Institution Name]])</f>
        <v>809739316</v>
      </c>
      <c r="E7" s="112">
        <f>SUMIFS(InputResearch[Res. Not From Rest. Res. Fnd Group],InputResearch[Institution Name],RestResearch[[#This Row],[Institution Name]])</f>
        <v>-107415388</v>
      </c>
      <c r="F7" s="112">
        <f>SUMIFS(InputResearch[Cap Outlay],InputResearch[Institution Name],RestResearch[[#This Row],[Institution Name]])</f>
        <v>-57512474</v>
      </c>
      <c r="G7" s="112">
        <f>SUM(RestResearch[[#This Row],[Total R&amp;D as Reported 
on SRECNP]:[Capital Outlay for 
Restricted Funds 
Programs Coded Research]])</f>
        <v>644811454</v>
      </c>
      <c r="H7" s="112">
        <f>SUMIFS(InputResearch[Exp. Not SAM],InputResearch[Institution Name],RestResearch[[#This Row],[Institution Name]])</f>
        <v>0</v>
      </c>
      <c r="I7" s="112">
        <f>SUMIFS(InputResearch[Hackerman],InputResearch[Institution Name],RestResearch[[#This Row],[Institution Name]])</f>
        <v>0</v>
      </c>
      <c r="J7" s="112">
        <f>SUMIFS(InputResearch[Federal PT],InputResearch[Institution Name],RestResearch[[#This Row],[Institution Name]])</f>
        <v>0</v>
      </c>
      <c r="K7" s="112">
        <f>SUMIFS(InputResearch[State PT],InputResearch[Institution Name],RestResearch[[#This Row],[Institution Name]])</f>
        <v>0</v>
      </c>
      <c r="L7" s="217" t="str">
        <f>IF(VLOOKUP(RestResearch[[#This Row],[Institution Name]],InputResearch[],217,FALSE)=0,"",VLOOKUP(RestResearch[[#This Row],[Institution Name]],InputResearch[],217,FALSE))</f>
        <v>N/A</v>
      </c>
      <c r="M7" s="112">
        <f>SUMIFS(InputResearch[Adj1],InputResearch[Institution Name],RestResearch[[#This Row],[Institution Name]])</f>
        <v>0</v>
      </c>
      <c r="N7" s="218" t="str">
        <f>IF(VLOOKUP(RestResearch[[#This Row],[Institution Name]],InputResearch[],218,FALSE)=0,"",VLOOKUP(RestResearch[[#This Row],[Institution Name]],InputResearch[],218,FALSE))</f>
        <v>N/A</v>
      </c>
      <c r="O7" s="112">
        <f>SUMIFS(InputResearch[Adj2],InputResearch[Institution Name],RestResearch[[#This Row],[Institution Name]])</f>
        <v>0</v>
      </c>
      <c r="P7" s="218" t="str">
        <f>IF(VLOOKUP(RestResearch[[#This Row],[Institution Name]],InputResearch[],219,FALSE)=0,"",VLOOKUP(RestResearch[[#This Row],[Institution Name]],InputResearch[],219,FALSE))</f>
        <v>N/A</v>
      </c>
      <c r="Q7" s="112">
        <f>SUMIFS(InputResearch[Adj3],InputResearch[Institution Name],RestResearch[[#This Row],[Institution Name]])</f>
        <v>0</v>
      </c>
      <c r="R7"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644811454</v>
      </c>
      <c r="S7" s="220"/>
    </row>
    <row r="8" spans="1:19" s="67" customFormat="1" ht="15">
      <c r="A8" s="67" t="s">
        <v>21</v>
      </c>
      <c r="B8" s="68">
        <f>VLOOKUP(RestResearch[[#This Row],[Institution Name]],InputResearch[],3,FALSE)</f>
        <v>60</v>
      </c>
      <c r="C8" s="69">
        <v>9741</v>
      </c>
      <c r="D8" s="112">
        <f>SUMIFS(InputResearch[SRECNP Res. Exp.],InputResearch[Institution Name],RestResearch[[#This Row],[Institution Name]])</f>
        <v>114572375</v>
      </c>
      <c r="E8" s="112">
        <f>SUMIFS(InputResearch[Res. Not From Rest. Res. Fnd Group],InputResearch[Institution Name],RestResearch[[#This Row],[Institution Name]])</f>
        <v>-43017455</v>
      </c>
      <c r="F8" s="112">
        <f>SUMIFS(InputResearch[Cap Outlay],InputResearch[Institution Name],RestResearch[[#This Row],[Institution Name]])</f>
        <v>2745119</v>
      </c>
      <c r="G8" s="112">
        <f>SUM(RestResearch[[#This Row],[Total R&amp;D as Reported 
on SRECNP]:[Capital Outlay for 
Restricted Funds 
Programs Coded Research]])</f>
        <v>74300039</v>
      </c>
      <c r="H8" s="112">
        <f>SUMIFS(InputResearch[Exp. Not SAM],InputResearch[Institution Name],RestResearch[[#This Row],[Institution Name]])</f>
        <v>0</v>
      </c>
      <c r="I8" s="112">
        <f>SUMIFS(InputResearch[Hackerman],InputResearch[Institution Name],RestResearch[[#This Row],[Institution Name]])</f>
        <v>0</v>
      </c>
      <c r="J8" s="112">
        <f>SUMIFS(InputResearch[Federal PT],InputResearch[Institution Name],RestResearch[[#This Row],[Institution Name]])</f>
        <v>-1545503</v>
      </c>
      <c r="K8" s="112">
        <f>SUMIFS(InputResearch[State PT],InputResearch[Institution Name],RestResearch[[#This Row],[Institution Name]])</f>
        <v>-189799</v>
      </c>
      <c r="L8" s="217" t="str">
        <f>IF(VLOOKUP(RestResearch[[#This Row],[Institution Name]],InputResearch[],217,FALSE)=0,"",VLOOKUP(RestResearch[[#This Row],[Institution Name]],InputResearch[],217,FALSE))</f>
        <v>Remove business meals per NRUF audit</v>
      </c>
      <c r="M8" s="112">
        <f>SUMIFS(InputResearch[Adj1],InputResearch[Institution Name],RestResearch[[#This Row],[Institution Name]])</f>
        <v>-251143</v>
      </c>
      <c r="N8" s="218" t="str">
        <f>IF(VLOOKUP(RestResearch[[#This Row],[Institution Name]],InputResearch[],218,FALSE)=0,"",VLOOKUP(RestResearch[[#This Row],[Institution Name]],InputResearch[],218,FALSE))</f>
        <v/>
      </c>
      <c r="O8" s="112">
        <f>SUMIFS(InputResearch[Adj2],InputResearch[Institution Name],RestResearch[[#This Row],[Institution Name]])</f>
        <v>0</v>
      </c>
      <c r="P8" s="218" t="str">
        <f>IF(VLOOKUP(RestResearch[[#This Row],[Institution Name]],InputResearch[],219,FALSE)=0,"",VLOOKUP(RestResearch[[#This Row],[Institution Name]],InputResearch[],219,FALSE))</f>
        <v/>
      </c>
      <c r="Q8" s="112">
        <f>SUMIFS(InputResearch[Adj3],InputResearch[Institution Name],RestResearch[[#This Row],[Institution Name]])</f>
        <v>0</v>
      </c>
      <c r="R8"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72313594</v>
      </c>
      <c r="S8" s="220"/>
    </row>
    <row r="9" spans="1:19" s="67" customFormat="1" ht="15">
      <c r="A9" s="67" t="s">
        <v>22</v>
      </c>
      <c r="B9" s="68">
        <f>VLOOKUP(RestResearch[[#This Row],[Institution Name]],InputResearch[],3,FALSE)</f>
        <v>70</v>
      </c>
      <c r="C9" s="69">
        <v>3661</v>
      </c>
      <c r="D9" s="112">
        <f>SUMIFS(InputResearch[SRECNP Res. Exp.],InputResearch[Institution Name],RestResearch[[#This Row],[Institution Name]])</f>
        <v>116964966</v>
      </c>
      <c r="E9" s="112">
        <f>SUMIFS(InputResearch[Res. Not From Rest. Res. Fnd Group],InputResearch[Institution Name],RestResearch[[#This Row],[Institution Name]])</f>
        <v>-45688989</v>
      </c>
      <c r="F9" s="112">
        <f>SUMIFS(InputResearch[Cap Outlay],InputResearch[Institution Name],RestResearch[[#This Row],[Institution Name]])</f>
        <v>4386405</v>
      </c>
      <c r="G9" s="112">
        <f>SUM(RestResearch[[#This Row],[Total R&amp;D as Reported 
on SRECNP]:[Capital Outlay for 
Restricted Funds 
Programs Coded Research]])</f>
        <v>75662382</v>
      </c>
      <c r="H9" s="112">
        <f>SUMIFS(InputResearch[Exp. Not SAM],InputResearch[Institution Name],RestResearch[[#This Row],[Institution Name]])</f>
        <v>-2469279</v>
      </c>
      <c r="I9" s="112">
        <f>SUMIFS(InputResearch[Hackerman],InputResearch[Institution Name],RestResearch[[#This Row],[Institution Name]])</f>
        <v>0</v>
      </c>
      <c r="J9" s="112">
        <f>SUMIFS(InputResearch[Federal PT],InputResearch[Institution Name],RestResearch[[#This Row],[Institution Name]])</f>
        <v>-1232576</v>
      </c>
      <c r="K9" s="112">
        <f>SUMIFS(InputResearch[State PT],InputResearch[Institution Name],RestResearch[[#This Row],[Institution Name]])</f>
        <v>0</v>
      </c>
      <c r="L9" s="217" t="str">
        <f>IF(VLOOKUP(RestResearch[[#This Row],[Institution Name]],InputResearch[],217,FALSE)=0,"",VLOOKUP(RestResearch[[#This Row],[Institution Name]],InputResearch[],217,FALSE))</f>
        <v>N/A</v>
      </c>
      <c r="M9" s="112">
        <f>SUMIFS(InputResearch[Adj1],InputResearch[Institution Name],RestResearch[[#This Row],[Institution Name]])</f>
        <v>0</v>
      </c>
      <c r="N9" s="218" t="str">
        <f>IF(VLOOKUP(RestResearch[[#This Row],[Institution Name]],InputResearch[],218,FALSE)=0,"",VLOOKUP(RestResearch[[#This Row],[Institution Name]],InputResearch[],218,FALSE))</f>
        <v>N/A</v>
      </c>
      <c r="O9" s="112">
        <f>SUMIFS(InputResearch[Adj2],InputResearch[Institution Name],RestResearch[[#This Row],[Institution Name]])</f>
        <v>0</v>
      </c>
      <c r="P9" s="218" t="str">
        <f>IF(VLOOKUP(RestResearch[[#This Row],[Institution Name]],InputResearch[],219,FALSE)=0,"",VLOOKUP(RestResearch[[#This Row],[Institution Name]],InputResearch[],219,FALSE))</f>
        <v>N/A</v>
      </c>
      <c r="Q9" s="112">
        <f>SUMIFS(InputResearch[Adj3],InputResearch[Institution Name],RestResearch[[#This Row],[Institution Name]])</f>
        <v>0</v>
      </c>
      <c r="R9"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71960527</v>
      </c>
      <c r="S9" s="220"/>
    </row>
    <row r="10" spans="1:19" s="67" customFormat="1" ht="15">
      <c r="A10" s="67" t="s">
        <v>715</v>
      </c>
      <c r="B10" s="68">
        <f>VLOOKUP(RestResearch[[#This Row],[Institution Name]],InputResearch[],3,FALSE)</f>
        <v>91</v>
      </c>
      <c r="C10" s="69">
        <v>3599</v>
      </c>
      <c r="D10" s="112">
        <f>SUMIFS(InputResearch[SRECNP Res. Exp.],InputResearch[Institution Name],RestResearch[[#This Row],[Institution Name]])</f>
        <v>57764191</v>
      </c>
      <c r="E10" s="112">
        <f>SUMIFS(InputResearch[Res. Not From Rest. Res. Fnd Group],InputResearch[Institution Name],RestResearch[[#This Row],[Institution Name]])</f>
        <v>-33106704</v>
      </c>
      <c r="F10" s="112">
        <f>SUMIFS(InputResearch[Cap Outlay],InputResearch[Institution Name],RestResearch[[#This Row],[Institution Name]])</f>
        <v>11684788</v>
      </c>
      <c r="G10" s="112">
        <f>SUM(RestResearch[[#This Row],[Total R&amp;D as Reported 
on SRECNP]:[Capital Outlay for 
Restricted Funds 
Programs Coded Research]])</f>
        <v>36342275</v>
      </c>
      <c r="H10" s="112">
        <f>SUMIFS(InputResearch[Exp. Not SAM],InputResearch[Institution Name],RestResearch[[#This Row],[Institution Name]])</f>
        <v>-1362</v>
      </c>
      <c r="I10" s="112">
        <f>SUMIFS(InputResearch[Hackerman],InputResearch[Institution Name],RestResearch[[#This Row],[Institution Name]])</f>
        <v>0</v>
      </c>
      <c r="J10" s="112">
        <f>SUMIFS(InputResearch[Federal PT],InputResearch[Institution Name],RestResearch[[#This Row],[Institution Name]])</f>
        <v>-655608</v>
      </c>
      <c r="K10" s="112">
        <f>SUMIFS(InputResearch[State PT],InputResearch[Institution Name],RestResearch[[#This Row],[Institution Name]])</f>
        <v>0</v>
      </c>
      <c r="L10" s="217" t="str">
        <f>IF(VLOOKUP(RestResearch[[#This Row],[Institution Name]],InputResearch[],217,FALSE)=0,"",VLOOKUP(RestResearch[[#This Row],[Institution Name]],InputResearch[],217,FALSE))</f>
        <v>Construction</v>
      </c>
      <c r="M10" s="112">
        <f>SUMIFS(InputResearch[Adj1],InputResearch[Institution Name],RestResearch[[#This Row],[Institution Name]])</f>
        <v>-3737039</v>
      </c>
      <c r="N10" s="218" t="str">
        <f>IF(VLOOKUP(RestResearch[[#This Row],[Institution Name]],InputResearch[],218,FALSE)=0,"",VLOOKUP(RestResearch[[#This Row],[Institution Name]],InputResearch[],218,FALSE))</f>
        <v>Pass Throughs</v>
      </c>
      <c r="O10" s="112">
        <f>SUMIFS(InputResearch[Adj2],InputResearch[Institution Name],RestResearch[[#This Row],[Institution Name]])</f>
        <v>-507535</v>
      </c>
      <c r="P10" s="218" t="str">
        <f>IF(VLOOKUP(RestResearch[[#This Row],[Institution Name]],InputResearch[],219,FALSE)=0,"",VLOOKUP(RestResearch[[#This Row],[Institution Name]],InputResearch[],219,FALSE))</f>
        <v/>
      </c>
      <c r="Q10" s="112">
        <f>SUMIFS(InputResearch[Adj3],InputResearch[Institution Name],RestResearch[[#This Row],[Institution Name]])</f>
        <v>0</v>
      </c>
      <c r="R10"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31440731</v>
      </c>
      <c r="S10" s="220"/>
    </row>
    <row r="11" spans="1:19" s="67" customFormat="1" ht="15">
      <c r="A11" s="67" t="s">
        <v>23</v>
      </c>
      <c r="B11" s="68">
        <f>VLOOKUP(RestResearch[[#This Row],[Institution Name]],InputResearch[],3,FALSE)</f>
        <v>100</v>
      </c>
      <c r="C11" s="69">
        <v>9930</v>
      </c>
      <c r="D11" s="112">
        <f>SUMIFS(InputResearch[SRECNP Res. Exp.],InputResearch[Institution Name],RestResearch[[#This Row],[Institution Name]])</f>
        <v>3339375</v>
      </c>
      <c r="E11" s="112">
        <f>SUMIFS(InputResearch[Res. Not From Rest. Res. Fnd Group],InputResearch[Institution Name],RestResearch[[#This Row],[Institution Name]])</f>
        <v>-1055644</v>
      </c>
      <c r="F11" s="112">
        <f>SUMIFS(InputResearch[Cap Outlay],InputResearch[Institution Name],RestResearch[[#This Row],[Institution Name]])</f>
        <v>0</v>
      </c>
      <c r="G11" s="112">
        <f>SUM(RestResearch[[#This Row],[Total R&amp;D as Reported 
on SRECNP]:[Capital Outlay for 
Restricted Funds 
Programs Coded Research]])</f>
        <v>2283731</v>
      </c>
      <c r="H11" s="112">
        <f>SUMIFS(InputResearch[Exp. Not SAM],InputResearch[Institution Name],RestResearch[[#This Row],[Institution Name]])</f>
        <v>0</v>
      </c>
      <c r="I11" s="112">
        <f>SUMIFS(InputResearch[Hackerman],InputResearch[Institution Name],RestResearch[[#This Row],[Institution Name]])</f>
        <v>0</v>
      </c>
      <c r="J11" s="112">
        <f>SUMIFS(InputResearch[Federal PT],InputResearch[Institution Name],RestResearch[[#This Row],[Institution Name]])</f>
        <v>0</v>
      </c>
      <c r="K11" s="112">
        <f>SUMIFS(InputResearch[State PT],InputResearch[Institution Name],RestResearch[[#This Row],[Institution Name]])</f>
        <v>0</v>
      </c>
      <c r="L11" s="217" t="str">
        <f>IF(VLOOKUP(RestResearch[[#This Row],[Institution Name]],InputResearch[],217,FALSE)=0,"",VLOOKUP(RestResearch[[#This Row],[Institution Name]],InputResearch[],217,FALSE))</f>
        <v>N/A</v>
      </c>
      <c r="M11" s="112">
        <f>SUMIFS(InputResearch[Adj1],InputResearch[Institution Name],RestResearch[[#This Row],[Institution Name]])</f>
        <v>0</v>
      </c>
      <c r="N11" s="218" t="str">
        <f>IF(VLOOKUP(RestResearch[[#This Row],[Institution Name]],InputResearch[],218,FALSE)=0,"",VLOOKUP(RestResearch[[#This Row],[Institution Name]],InputResearch[],218,FALSE))</f>
        <v>N/A</v>
      </c>
      <c r="O11" s="112">
        <f>SUMIFS(InputResearch[Adj2],InputResearch[Institution Name],RestResearch[[#This Row],[Institution Name]])</f>
        <v>0</v>
      </c>
      <c r="P11" s="218" t="str">
        <f>IF(VLOOKUP(RestResearch[[#This Row],[Institution Name]],InputResearch[],219,FALSE)=0,"",VLOOKUP(RestResearch[[#This Row],[Institution Name]],InputResearch[],219,FALSE))</f>
        <v>N/A</v>
      </c>
      <c r="Q11" s="112">
        <f>SUMIFS(InputResearch[Adj3],InputResearch[Institution Name],RestResearch[[#This Row],[Institution Name]])</f>
        <v>0</v>
      </c>
      <c r="R11"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2283731</v>
      </c>
      <c r="S11" s="220"/>
    </row>
    <row r="12" spans="1:19" s="67" customFormat="1" ht="15">
      <c r="A12" s="67" t="s">
        <v>24</v>
      </c>
      <c r="B12" s="68">
        <f>VLOOKUP(RestResearch[[#This Row],[Institution Name]],InputResearch[],3,FALSE)</f>
        <v>110</v>
      </c>
      <c r="C12" s="69">
        <v>10115</v>
      </c>
      <c r="D12" s="112">
        <f>SUMIFS(InputResearch[SRECNP Res. Exp.],InputResearch[Institution Name],RestResearch[[#This Row],[Institution Name]])</f>
        <v>134882766</v>
      </c>
      <c r="E12" s="112">
        <f>SUMIFS(InputResearch[Res. Not From Rest. Res. Fnd Group],InputResearch[Institution Name],RestResearch[[#This Row],[Institution Name]])</f>
        <v>-74312932</v>
      </c>
      <c r="F12" s="112">
        <f>SUMIFS(InputResearch[Cap Outlay],InputResearch[Institution Name],RestResearch[[#This Row],[Institution Name]])</f>
        <v>1383828</v>
      </c>
      <c r="G12" s="112">
        <f>SUM(RestResearch[[#This Row],[Total R&amp;D as Reported 
on SRECNP]:[Capital Outlay for 
Restricted Funds 
Programs Coded Research]])</f>
        <v>61953662</v>
      </c>
      <c r="H12" s="112">
        <f>SUMIFS(InputResearch[Exp. Not SAM],InputResearch[Institution Name],RestResearch[[#This Row],[Institution Name]])</f>
        <v>-4795702</v>
      </c>
      <c r="I12" s="112">
        <f>SUMIFS(InputResearch[Hackerman],InputResearch[Institution Name],RestResearch[[#This Row],[Institution Name]])</f>
        <v>0</v>
      </c>
      <c r="J12" s="112">
        <f>SUMIFS(InputResearch[Federal PT],InputResearch[Institution Name],RestResearch[[#This Row],[Institution Name]])</f>
        <v>-205710</v>
      </c>
      <c r="K12" s="112">
        <f>SUMIFS(InputResearch[State PT],InputResearch[Institution Name],RestResearch[[#This Row],[Institution Name]])</f>
        <v>0</v>
      </c>
      <c r="L12" s="217" t="str">
        <f>IF(VLOOKUP(RestResearch[[#This Row],[Institution Name]],InputResearch[],217,FALSE)=0,"",VLOOKUP(RestResearch[[#This Row],[Institution Name]],InputResearch[],217,FALSE))</f>
        <v>Competitively awarded grants and contracts funded by state appropriations specifically identified by the legislature as for research.</v>
      </c>
      <c r="M12" s="112">
        <f>SUMIFS(InputResearch[Adj1],InputResearch[Institution Name],RestResearch[[#This Row],[Institution Name]])</f>
        <v>39421</v>
      </c>
      <c r="N12" s="218" t="str">
        <f>IF(VLOOKUP(RestResearch[[#This Row],[Institution Name]],InputResearch[],218,FALSE)=0,"",VLOOKUP(RestResearch[[#This Row],[Institution Name]],InputResearch[],218,FALSE))</f>
        <v>Expenditures with service dates not in FY 23</v>
      </c>
      <c r="O12" s="112">
        <f>SUMIFS(InputResearch[Adj2],InputResearch[Institution Name],RestResearch[[#This Row],[Institution Name]])</f>
        <v>-338394</v>
      </c>
      <c r="P12" s="218" t="str">
        <f>IF(VLOOKUP(RestResearch[[#This Row],[Institution Name]],InputResearch[],219,FALSE)=0,"",VLOOKUP(RestResearch[[#This Row],[Institution Name]],InputResearch[],219,FALSE))</f>
        <v/>
      </c>
      <c r="Q12" s="112">
        <f>SUMIFS(InputResearch[Adj3],InputResearch[Institution Name],RestResearch[[#This Row],[Institution Name]])</f>
        <v>0</v>
      </c>
      <c r="R12"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56653277</v>
      </c>
      <c r="S12" s="220"/>
    </row>
    <row r="13" spans="1:19" s="67" customFormat="1" ht="15">
      <c r="A13" s="67" t="s">
        <v>25</v>
      </c>
      <c r="B13" s="68">
        <f>VLOOKUP(RestResearch[[#This Row],[Institution Name]],InputResearch[],3,FALSE)</f>
        <v>120</v>
      </c>
      <c r="C13" s="69">
        <v>11163</v>
      </c>
      <c r="D13" s="112">
        <f>SUMIFS(InputResearch[SRECNP Res. Exp.],InputResearch[Institution Name],RestResearch[[#This Row],[Institution Name]])</f>
        <v>3881427</v>
      </c>
      <c r="E13" s="112">
        <f>SUMIFS(InputResearch[Res. Not From Rest. Res. Fnd Group],InputResearch[Institution Name],RestResearch[[#This Row],[Institution Name]])</f>
        <v>-1544275</v>
      </c>
      <c r="F13" s="112">
        <f>SUMIFS(InputResearch[Cap Outlay],InputResearch[Institution Name],RestResearch[[#This Row],[Institution Name]])</f>
        <v>0</v>
      </c>
      <c r="G13" s="112">
        <f>SUM(RestResearch[[#This Row],[Total R&amp;D as Reported 
on SRECNP]:[Capital Outlay for 
Restricted Funds 
Programs Coded Research]])</f>
        <v>2337152</v>
      </c>
      <c r="H13" s="112">
        <f>SUMIFS(InputResearch[Exp. Not SAM],InputResearch[Institution Name],RestResearch[[#This Row],[Institution Name]])</f>
        <v>0</v>
      </c>
      <c r="I13" s="112">
        <f>SUMIFS(InputResearch[Hackerman],InputResearch[Institution Name],RestResearch[[#This Row],[Institution Name]])</f>
        <v>0</v>
      </c>
      <c r="J13" s="112">
        <f>SUMIFS(InputResearch[Federal PT],InputResearch[Institution Name],RestResearch[[#This Row],[Institution Name]])</f>
        <v>0</v>
      </c>
      <c r="K13" s="112">
        <f>SUMIFS(InputResearch[State PT],InputResearch[Institution Name],RestResearch[[#This Row],[Institution Name]])</f>
        <v>0</v>
      </c>
      <c r="L13" s="217" t="str">
        <f>IF(VLOOKUP(RestResearch[[#This Row],[Institution Name]],InputResearch[],217,FALSE)=0,"",VLOOKUP(RestResearch[[#This Row],[Institution Name]],InputResearch[],217,FALSE))</f>
        <v>N/A</v>
      </c>
      <c r="M13" s="112">
        <f>SUMIFS(InputResearch[Adj1],InputResearch[Institution Name],RestResearch[[#This Row],[Institution Name]])</f>
        <v>0</v>
      </c>
      <c r="N13" s="218" t="str">
        <f>IF(VLOOKUP(RestResearch[[#This Row],[Institution Name]],InputResearch[],218,FALSE)=0,"",VLOOKUP(RestResearch[[#This Row],[Institution Name]],InputResearch[],218,FALSE))</f>
        <v>N/A</v>
      </c>
      <c r="O13" s="112">
        <f>SUMIFS(InputResearch[Adj2],InputResearch[Institution Name],RestResearch[[#This Row],[Institution Name]])</f>
        <v>0</v>
      </c>
      <c r="P13" s="218" t="str">
        <f>IF(VLOOKUP(RestResearch[[#This Row],[Institution Name]],InputResearch[],219,FALSE)=0,"",VLOOKUP(RestResearch[[#This Row],[Institution Name]],InputResearch[],219,FALSE))</f>
        <v>N/A</v>
      </c>
      <c r="Q13" s="112">
        <f>SUMIFS(InputResearch[Adj3],InputResearch[Institution Name],RestResearch[[#This Row],[Institution Name]])</f>
        <v>0</v>
      </c>
      <c r="R13"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2337152</v>
      </c>
      <c r="S13" s="220"/>
    </row>
    <row r="14" spans="1:19" s="67" customFormat="1" ht="15">
      <c r="A14" s="371" t="s">
        <v>999</v>
      </c>
      <c r="B14" s="68" t="e">
        <f>VLOOKUP(RestResearch[[#This Row],[Institution Name]],InputResearch[],3,FALSE)</f>
        <v>#N/A</v>
      </c>
      <c r="C14" s="69">
        <v>3632</v>
      </c>
      <c r="D14" s="112">
        <v>842361874</v>
      </c>
      <c r="E14" s="112">
        <v>0</v>
      </c>
      <c r="F14" s="112">
        <v>0</v>
      </c>
      <c r="G14" s="112">
        <v>842361874</v>
      </c>
      <c r="H14" s="112">
        <v>0</v>
      </c>
      <c r="I14" s="112">
        <v>0</v>
      </c>
      <c r="J14" s="112">
        <v>0</v>
      </c>
      <c r="K14" s="112">
        <v>0</v>
      </c>
      <c r="L14" s="217"/>
      <c r="M14" s="112">
        <v>0</v>
      </c>
      <c r="N14" s="218"/>
      <c r="O14" s="112">
        <v>0</v>
      </c>
      <c r="P14" s="218"/>
      <c r="Q14" s="112">
        <v>0</v>
      </c>
      <c r="R14" s="306">
        <v>842361874</v>
      </c>
      <c r="S14" s="220"/>
    </row>
    <row r="15" spans="1:19" s="67" customFormat="1" ht="15">
      <c r="A15" s="67" t="s">
        <v>28</v>
      </c>
      <c r="B15" s="68">
        <f>VLOOKUP(RestResearch[[#This Row],[Institution Name]],InputResearch[],3,FALSE)</f>
        <v>140</v>
      </c>
      <c r="C15" s="69">
        <v>10298</v>
      </c>
      <c r="D15" s="112">
        <f>SUMIFS(InputResearch[SRECNP Res. Exp.],InputResearch[Institution Name],RestResearch[[#This Row],[Institution Name]])</f>
        <v>13541023</v>
      </c>
      <c r="E15" s="112">
        <f>SUMIFS(InputResearch[Res. Not From Rest. Res. Fnd Group],InputResearch[Institution Name],RestResearch[[#This Row],[Institution Name]])</f>
        <v>-3623638</v>
      </c>
      <c r="F15" s="112">
        <f>SUMIFS(InputResearch[Cap Outlay],InputResearch[Institution Name],RestResearch[[#This Row],[Institution Name]])</f>
        <v>0</v>
      </c>
      <c r="G15" s="112">
        <f>SUM(RestResearch[[#This Row],[Total R&amp;D as Reported 
on SRECNP]:[Capital Outlay for 
Restricted Funds 
Programs Coded Research]])</f>
        <v>9917385</v>
      </c>
      <c r="H15" s="112">
        <f>SUMIFS(InputResearch[Exp. Not SAM],InputResearch[Institution Name],RestResearch[[#This Row],[Institution Name]])</f>
        <v>-1043995</v>
      </c>
      <c r="I15" s="112">
        <f>SUMIFS(InputResearch[Hackerman],InputResearch[Institution Name],RestResearch[[#This Row],[Institution Name]])</f>
        <v>0</v>
      </c>
      <c r="J15" s="112">
        <f>SUMIFS(InputResearch[Federal PT],InputResearch[Institution Name],RestResearch[[#This Row],[Institution Name]])</f>
        <v>0</v>
      </c>
      <c r="K15" s="112">
        <f>SUMIFS(InputResearch[State PT],InputResearch[Institution Name],RestResearch[[#This Row],[Institution Name]])</f>
        <v>0</v>
      </c>
      <c r="L15" s="217" t="str">
        <f>IF(VLOOKUP(RestResearch[[#This Row],[Institution Name]],InputResearch[],217,FALSE)=0,"",VLOOKUP(RestResearch[[#This Row],[Institution Name]],InputResearch[],217,FALSE))</f>
        <v>N/A</v>
      </c>
      <c r="M15" s="112">
        <f>SUMIFS(InputResearch[Adj1],InputResearch[Institution Name],RestResearch[[#This Row],[Institution Name]])</f>
        <v>0</v>
      </c>
      <c r="N15" s="218" t="str">
        <f>IF(VLOOKUP(RestResearch[[#This Row],[Institution Name]],InputResearch[],218,FALSE)=0,"",VLOOKUP(RestResearch[[#This Row],[Institution Name]],InputResearch[],218,FALSE))</f>
        <v>N/A</v>
      </c>
      <c r="O15" s="112">
        <f>SUMIFS(InputResearch[Adj2],InputResearch[Institution Name],RestResearch[[#This Row],[Institution Name]])</f>
        <v>0</v>
      </c>
      <c r="P15" s="218" t="str">
        <f>IF(VLOOKUP(RestResearch[[#This Row],[Institution Name]],InputResearch[],219,FALSE)=0,"",VLOOKUP(RestResearch[[#This Row],[Institution Name]],InputResearch[],219,FALSE))</f>
        <v>N/A</v>
      </c>
      <c r="Q15" s="112">
        <f>SUMIFS(InputResearch[Adj3],InputResearch[Institution Name],RestResearch[[#This Row],[Institution Name]])</f>
        <v>0</v>
      </c>
      <c r="R15"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8873390</v>
      </c>
      <c r="S15" s="220"/>
    </row>
    <row r="16" spans="1:19" s="67" customFormat="1" ht="15">
      <c r="A16" s="67" t="s">
        <v>29</v>
      </c>
      <c r="B16" s="68">
        <f>VLOOKUP(RestResearch[[#This Row],[Institution Name]],InputResearch[],3,FALSE)</f>
        <v>150</v>
      </c>
      <c r="C16" s="69">
        <v>3630</v>
      </c>
      <c r="D16" s="112">
        <f>SUMIFS(InputResearch[SRECNP Res. Exp.],InputResearch[Institution Name],RestResearch[[#This Row],[Institution Name]])</f>
        <v>21394771</v>
      </c>
      <c r="E16" s="112">
        <f>SUMIFS(InputResearch[Res. Not From Rest. Res. Fnd Group],InputResearch[Institution Name],RestResearch[[#This Row],[Institution Name]])</f>
        <v>-10060893</v>
      </c>
      <c r="F16" s="112">
        <f>SUMIFS(InputResearch[Cap Outlay],InputResearch[Institution Name],RestResearch[[#This Row],[Institution Name]])</f>
        <v>1170747</v>
      </c>
      <c r="G16" s="112">
        <f>SUM(RestResearch[[#This Row],[Total R&amp;D as Reported 
on SRECNP]:[Capital Outlay for 
Restricted Funds 
Programs Coded Research]])</f>
        <v>12504625</v>
      </c>
      <c r="H16" s="112">
        <f>SUMIFS(InputResearch[Exp. Not SAM],InputResearch[Institution Name],RestResearch[[#This Row],[Institution Name]])</f>
        <v>-11826</v>
      </c>
      <c r="I16" s="112">
        <f>SUMIFS(InputResearch[Hackerman],InputResearch[Institution Name],RestResearch[[#This Row],[Institution Name]])</f>
        <v>0</v>
      </c>
      <c r="J16" s="112">
        <f>SUMIFS(InputResearch[Federal PT],InputResearch[Institution Name],RestResearch[[#This Row],[Institution Name]])</f>
        <v>-236221</v>
      </c>
      <c r="K16" s="112">
        <f>SUMIFS(InputResearch[State PT],InputResearch[Institution Name],RestResearch[[#This Row],[Institution Name]])</f>
        <v>0</v>
      </c>
      <c r="L16" s="217" t="str">
        <f>IF(VLOOKUP(RestResearch[[#This Row],[Institution Name]],InputResearch[],217,FALSE)=0,"",VLOOKUP(RestResearch[[#This Row],[Institution Name]],InputResearch[],217,FALSE))</f>
        <v>TEES</v>
      </c>
      <c r="M16" s="112">
        <f>SUMIFS(InputResearch[Adj1],InputResearch[Institution Name],RestResearch[[#This Row],[Institution Name]])</f>
        <v>20393</v>
      </c>
      <c r="N16" s="218" t="str">
        <f>IF(VLOOKUP(RestResearch[[#This Row],[Institution Name]],InputResearch[],218,FALSE)=0,"",VLOOKUP(RestResearch[[#This Row],[Institution Name]],InputResearch[],218,FALSE))</f>
        <v/>
      </c>
      <c r="O16" s="112">
        <f>SUMIFS(InputResearch[Adj2],InputResearch[Institution Name],RestResearch[[#This Row],[Institution Name]])</f>
        <v>0</v>
      </c>
      <c r="P16" s="218" t="str">
        <f>IF(VLOOKUP(RestResearch[[#This Row],[Institution Name]],InputResearch[],219,FALSE)=0,"",VLOOKUP(RestResearch[[#This Row],[Institution Name]],InputResearch[],219,FALSE))</f>
        <v/>
      </c>
      <c r="Q16" s="112">
        <f>SUMIFS(InputResearch[Adj3],InputResearch[Institution Name],RestResearch[[#This Row],[Institution Name]])</f>
        <v>0</v>
      </c>
      <c r="R16"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12276971</v>
      </c>
      <c r="S16" s="220"/>
    </row>
    <row r="17" spans="1:19" s="67" customFormat="1" ht="15">
      <c r="A17" s="67" t="s">
        <v>30</v>
      </c>
      <c r="B17" s="68">
        <f>VLOOKUP(RestResearch[[#This Row],[Institution Name]],InputResearch[],3,FALSE)</f>
        <v>160</v>
      </c>
      <c r="C17" s="69">
        <v>3631</v>
      </c>
      <c r="D17" s="112">
        <f>SUMIFS(InputResearch[SRECNP Res. Exp.],InputResearch[Institution Name],RestResearch[[#This Row],[Institution Name]])</f>
        <v>20375286</v>
      </c>
      <c r="E17" s="112">
        <f>SUMIFS(InputResearch[Res. Not From Rest. Res. Fnd Group],InputResearch[Institution Name],RestResearch[[#This Row],[Institution Name]])</f>
        <v>-12996443</v>
      </c>
      <c r="F17" s="112">
        <f>SUMIFS(InputResearch[Cap Outlay],InputResearch[Institution Name],RestResearch[[#This Row],[Institution Name]])</f>
        <v>173798</v>
      </c>
      <c r="G17" s="112">
        <f>SUM(RestResearch[[#This Row],[Total R&amp;D as Reported 
on SRECNP]:[Capital Outlay for 
Restricted Funds 
Programs Coded Research]])</f>
        <v>7552641</v>
      </c>
      <c r="H17" s="112">
        <f>SUMIFS(InputResearch[Exp. Not SAM],InputResearch[Institution Name],RestResearch[[#This Row],[Institution Name]])</f>
        <v>0</v>
      </c>
      <c r="I17" s="112">
        <f>SUMIFS(InputResearch[Hackerman],InputResearch[Institution Name],RestResearch[[#This Row],[Institution Name]])</f>
        <v>0</v>
      </c>
      <c r="J17" s="112">
        <f>SUMIFS(InputResearch[Federal PT],InputResearch[Institution Name],RestResearch[[#This Row],[Institution Name]])</f>
        <v>-391036</v>
      </c>
      <c r="K17" s="112">
        <f>SUMIFS(InputResearch[State PT],InputResearch[Institution Name],RestResearch[[#This Row],[Institution Name]])</f>
        <v>0</v>
      </c>
      <c r="L17" s="217" t="str">
        <f>IF(VLOOKUP(RestResearch[[#This Row],[Institution Name]],InputResearch[],217,FALSE)=0,"",VLOOKUP(RestResearch[[#This Row],[Institution Name]],InputResearch[],217,FALSE))</f>
        <v>N/A</v>
      </c>
      <c r="M17" s="112">
        <f>SUMIFS(InputResearch[Adj1],InputResearch[Institution Name],RestResearch[[#This Row],[Institution Name]])</f>
        <v>0</v>
      </c>
      <c r="N17" s="218" t="str">
        <f>IF(VLOOKUP(RestResearch[[#This Row],[Institution Name]],InputResearch[],218,FALSE)=0,"",VLOOKUP(RestResearch[[#This Row],[Institution Name]],InputResearch[],218,FALSE))</f>
        <v>N/A</v>
      </c>
      <c r="O17" s="112">
        <f>SUMIFS(InputResearch[Adj2],InputResearch[Institution Name],RestResearch[[#This Row],[Institution Name]])</f>
        <v>0</v>
      </c>
      <c r="P17" s="218" t="str">
        <f>IF(VLOOKUP(RestResearch[[#This Row],[Institution Name]],InputResearch[],219,FALSE)=0,"",VLOOKUP(RestResearch[[#This Row],[Institution Name]],InputResearch[],219,FALSE))</f>
        <v>N/A</v>
      </c>
      <c r="Q17" s="112">
        <f>SUMIFS(InputResearch[Adj3],InputResearch[Institution Name],RestResearch[[#This Row],[Institution Name]])</f>
        <v>0</v>
      </c>
      <c r="R17"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7161605</v>
      </c>
      <c r="S17" s="220"/>
    </row>
    <row r="18" spans="1:19" s="67" customFormat="1" ht="15">
      <c r="A18" s="67" t="s">
        <v>31</v>
      </c>
      <c r="B18" s="68">
        <f>VLOOKUP(RestResearch[[#This Row],[Institution Name]],InputResearch[],3,FALSE)</f>
        <v>170</v>
      </c>
      <c r="C18" s="69">
        <v>11161</v>
      </c>
      <c r="D18" s="112">
        <f>SUMIFS(InputResearch[SRECNP Res. Exp.],InputResearch[Institution Name],RestResearch[[#This Row],[Institution Name]])</f>
        <v>33636340</v>
      </c>
      <c r="E18" s="112">
        <f>SUMIFS(InputResearch[Res. Not From Rest. Res. Fnd Group],InputResearch[Institution Name],RestResearch[[#This Row],[Institution Name]])</f>
        <v>-10400397</v>
      </c>
      <c r="F18" s="112">
        <f>SUMIFS(InputResearch[Cap Outlay],InputResearch[Institution Name],RestResearch[[#This Row],[Institution Name]])</f>
        <v>619057</v>
      </c>
      <c r="G18" s="112">
        <f>SUM(RestResearch[[#This Row],[Total R&amp;D as Reported 
on SRECNP]:[Capital Outlay for 
Restricted Funds 
Programs Coded Research]])</f>
        <v>23855000</v>
      </c>
      <c r="H18" s="112">
        <f>SUMIFS(InputResearch[Exp. Not SAM],InputResearch[Institution Name],RestResearch[[#This Row],[Institution Name]])</f>
        <v>-16709</v>
      </c>
      <c r="I18" s="112">
        <f>SUMIFS(InputResearch[Hackerman],InputResearch[Institution Name],RestResearch[[#This Row],[Institution Name]])</f>
        <v>0</v>
      </c>
      <c r="J18" s="112">
        <f>SUMIFS(InputResearch[Federal PT],InputResearch[Institution Name],RestResearch[[#This Row],[Institution Name]])</f>
        <v>-681568</v>
      </c>
      <c r="K18" s="112">
        <f>SUMIFS(InputResearch[State PT],InputResearch[Institution Name],RestResearch[[#This Row],[Institution Name]])</f>
        <v>0</v>
      </c>
      <c r="L18" s="217" t="str">
        <f>IF(VLOOKUP(RestResearch[[#This Row],[Institution Name]],InputResearch[],217,FALSE)=0,"",VLOOKUP(RestResearch[[#This Row],[Institution Name]],InputResearch[],217,FALSE))</f>
        <v>TEES</v>
      </c>
      <c r="M18" s="112">
        <f>SUMIFS(InputResearch[Adj1],InputResearch[Institution Name],RestResearch[[#This Row],[Institution Name]])</f>
        <v>121724</v>
      </c>
      <c r="N18" s="218" t="str">
        <f>IF(VLOOKUP(RestResearch[[#This Row],[Institution Name]],InputResearch[],218,FALSE)=0,"",VLOOKUP(RestResearch[[#This Row],[Institution Name]],InputResearch[],218,FALSE))</f>
        <v/>
      </c>
      <c r="O18" s="112">
        <f>SUMIFS(InputResearch[Adj2],InputResearch[Institution Name],RestResearch[[#This Row],[Institution Name]])</f>
        <v>0</v>
      </c>
      <c r="P18" s="218" t="str">
        <f>IF(VLOOKUP(RestResearch[[#This Row],[Institution Name]],InputResearch[],219,FALSE)=0,"",VLOOKUP(RestResearch[[#This Row],[Institution Name]],InputResearch[],219,FALSE))</f>
        <v/>
      </c>
      <c r="Q18" s="112">
        <f>SUMIFS(InputResearch[Adj3],InputResearch[Institution Name],RestResearch[[#This Row],[Institution Name]])</f>
        <v>0</v>
      </c>
      <c r="R18"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23278447</v>
      </c>
      <c r="S18" s="220"/>
    </row>
    <row r="19" spans="1:19" s="67" customFormat="1" ht="15">
      <c r="A19" s="67" t="s">
        <v>32</v>
      </c>
      <c r="B19" s="68">
        <f>VLOOKUP(RestResearch[[#This Row],[Institution Name]],InputResearch[],3,FALSE)</f>
        <v>180</v>
      </c>
      <c r="C19" s="69">
        <v>3639</v>
      </c>
      <c r="D19" s="112">
        <f>SUMIFS(InputResearch[SRECNP Res. Exp.],InputResearch[Institution Name],RestResearch[[#This Row],[Institution Name]])</f>
        <v>20760760</v>
      </c>
      <c r="E19" s="112">
        <f>SUMIFS(InputResearch[Res. Not From Rest. Res. Fnd Group],InputResearch[Institution Name],RestResearch[[#This Row],[Institution Name]])</f>
        <v>-4533357</v>
      </c>
      <c r="F19" s="112">
        <f>SUMIFS(InputResearch[Cap Outlay],InputResearch[Institution Name],RestResearch[[#This Row],[Institution Name]])</f>
        <v>1512222</v>
      </c>
      <c r="G19" s="112">
        <f>SUM(RestResearch[[#This Row],[Total R&amp;D as Reported 
on SRECNP]:[Capital Outlay for 
Restricted Funds 
Programs Coded Research]])</f>
        <v>17739625</v>
      </c>
      <c r="H19" s="112">
        <f>SUMIFS(InputResearch[Exp. Not SAM],InputResearch[Institution Name],RestResearch[[#This Row],[Institution Name]])</f>
        <v>0</v>
      </c>
      <c r="I19" s="112">
        <f>SUMIFS(InputResearch[Hackerman],InputResearch[Institution Name],RestResearch[[#This Row],[Institution Name]])</f>
        <v>0</v>
      </c>
      <c r="J19" s="112">
        <f>SUMIFS(InputResearch[Federal PT],InputResearch[Institution Name],RestResearch[[#This Row],[Institution Name]])</f>
        <v>0</v>
      </c>
      <c r="K19" s="112">
        <f>SUMIFS(InputResearch[State PT],InputResearch[Institution Name],RestResearch[[#This Row],[Institution Name]])</f>
        <v>0</v>
      </c>
      <c r="L19" s="217" t="str">
        <f>IF(VLOOKUP(RestResearch[[#This Row],[Institution Name]],InputResearch[],217,FALSE)=0,"",VLOOKUP(RestResearch[[#This Row],[Institution Name]],InputResearch[],217,FALSE))</f>
        <v>TEES</v>
      </c>
      <c r="M19" s="112">
        <f>SUMIFS(InputResearch[Adj1],InputResearch[Institution Name],RestResearch[[#This Row],[Institution Name]])</f>
        <v>22433</v>
      </c>
      <c r="N19" s="218" t="str">
        <f>IF(VLOOKUP(RestResearch[[#This Row],[Institution Name]],InputResearch[],218,FALSE)=0,"",VLOOKUP(RestResearch[[#This Row],[Institution Name]],InputResearch[],218,FALSE))</f>
        <v/>
      </c>
      <c r="O19" s="112">
        <f>SUMIFS(InputResearch[Adj2],InputResearch[Institution Name],RestResearch[[#This Row],[Institution Name]])</f>
        <v>0</v>
      </c>
      <c r="P19" s="218" t="str">
        <f>IF(VLOOKUP(RestResearch[[#This Row],[Institution Name]],InputResearch[],219,FALSE)=0,"",VLOOKUP(RestResearch[[#This Row],[Institution Name]],InputResearch[],219,FALSE))</f>
        <v/>
      </c>
      <c r="Q19" s="112">
        <f>SUMIFS(InputResearch[Adj3],InputResearch[Institution Name],RestResearch[[#This Row],[Institution Name]])</f>
        <v>0</v>
      </c>
      <c r="R19"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17762058</v>
      </c>
      <c r="S19" s="220"/>
    </row>
    <row r="20" spans="1:19" s="67" customFormat="1" ht="15">
      <c r="A20" s="67" t="s">
        <v>33</v>
      </c>
      <c r="B20" s="68">
        <f>VLOOKUP(RestResearch[[#This Row],[Institution Name]],InputResearch[],3,FALSE)</f>
        <v>190</v>
      </c>
      <c r="C20" s="69">
        <v>9651</v>
      </c>
      <c r="D20" s="112">
        <f>SUMIFS(InputResearch[SRECNP Res. Exp.],InputResearch[Institution Name],RestResearch[[#This Row],[Institution Name]])</f>
        <v>4302986</v>
      </c>
      <c r="E20" s="112">
        <f>SUMIFS(InputResearch[Res. Not From Rest. Res. Fnd Group],InputResearch[Institution Name],RestResearch[[#This Row],[Institution Name]])</f>
        <v>-1437532</v>
      </c>
      <c r="F20" s="112">
        <f>SUMIFS(InputResearch[Cap Outlay],InputResearch[Institution Name],RestResearch[[#This Row],[Institution Name]])</f>
        <v>0</v>
      </c>
      <c r="G20" s="112">
        <f>SUM(RestResearch[[#This Row],[Total R&amp;D as Reported 
on SRECNP]:[Capital Outlay for 
Restricted Funds 
Programs Coded Research]])</f>
        <v>2865454</v>
      </c>
      <c r="H20" s="112">
        <f>SUMIFS(InputResearch[Exp. Not SAM],InputResearch[Institution Name],RestResearch[[#This Row],[Institution Name]])</f>
        <v>0</v>
      </c>
      <c r="I20" s="112">
        <f>SUMIFS(InputResearch[Hackerman],InputResearch[Institution Name],RestResearch[[#This Row],[Institution Name]])</f>
        <v>0</v>
      </c>
      <c r="J20" s="112">
        <f>SUMIFS(InputResearch[Federal PT],InputResearch[Institution Name],RestResearch[[#This Row],[Institution Name]])</f>
        <v>0</v>
      </c>
      <c r="K20" s="112">
        <f>SUMIFS(InputResearch[State PT],InputResearch[Institution Name],RestResearch[[#This Row],[Institution Name]])</f>
        <v>0</v>
      </c>
      <c r="L20" s="217" t="str">
        <f>IF(VLOOKUP(RestResearch[[#This Row],[Institution Name]],InputResearch[],217,FALSE)=0,"",VLOOKUP(RestResearch[[#This Row],[Institution Name]],InputResearch[],217,FALSE))</f>
        <v>N/A</v>
      </c>
      <c r="M20" s="112">
        <f>SUMIFS(InputResearch[Adj1],InputResearch[Institution Name],RestResearch[[#This Row],[Institution Name]])</f>
        <v>0</v>
      </c>
      <c r="N20" s="218" t="str">
        <f>IF(VLOOKUP(RestResearch[[#This Row],[Institution Name]],InputResearch[],218,FALSE)=0,"",VLOOKUP(RestResearch[[#This Row],[Institution Name]],InputResearch[],218,FALSE))</f>
        <v>N/A</v>
      </c>
      <c r="O20" s="112">
        <f>SUMIFS(InputResearch[Adj2],InputResearch[Institution Name],RestResearch[[#This Row],[Institution Name]])</f>
        <v>0</v>
      </c>
      <c r="P20" s="218" t="str">
        <f>IF(VLOOKUP(RestResearch[[#This Row],[Institution Name]],InputResearch[],219,FALSE)=0,"",VLOOKUP(RestResearch[[#This Row],[Institution Name]],InputResearch[],219,FALSE))</f>
        <v>N/A</v>
      </c>
      <c r="Q20" s="112">
        <f>SUMIFS(InputResearch[Adj3],InputResearch[Institution Name],RestResearch[[#This Row],[Institution Name]])</f>
        <v>0</v>
      </c>
      <c r="R20"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2865454</v>
      </c>
      <c r="S20" s="220"/>
    </row>
    <row r="21" spans="1:19" s="67" customFormat="1" ht="15">
      <c r="A21" s="67" t="s">
        <v>34</v>
      </c>
      <c r="B21" s="68">
        <f>VLOOKUP(RestResearch[[#This Row],[Institution Name]],InputResearch[],3,FALSE)</f>
        <v>200</v>
      </c>
      <c r="C21" s="69">
        <v>3665</v>
      </c>
      <c r="D21" s="112">
        <f>SUMIFS(InputResearch[SRECNP Res. Exp.],InputResearch[Institution Name],RestResearch[[#This Row],[Institution Name]])</f>
        <v>8899507</v>
      </c>
      <c r="E21" s="112">
        <f>SUMIFS(InputResearch[Res. Not From Rest. Res. Fnd Group],InputResearch[Institution Name],RestResearch[[#This Row],[Institution Name]])</f>
        <v>-5835664</v>
      </c>
      <c r="F21" s="112">
        <f>SUMIFS(InputResearch[Cap Outlay],InputResearch[Institution Name],RestResearch[[#This Row],[Institution Name]])</f>
        <v>193396</v>
      </c>
      <c r="G21" s="112">
        <f>SUM(RestResearch[[#This Row],[Total R&amp;D as Reported 
on SRECNP]:[Capital Outlay for 
Restricted Funds 
Programs Coded Research]])</f>
        <v>3257239</v>
      </c>
      <c r="H21" s="112">
        <f>SUMIFS(InputResearch[Exp. Not SAM],InputResearch[Institution Name],RestResearch[[#This Row],[Institution Name]])</f>
        <v>0</v>
      </c>
      <c r="I21" s="112">
        <f>SUMIFS(InputResearch[Hackerman],InputResearch[Institution Name],RestResearch[[#This Row],[Institution Name]])</f>
        <v>0</v>
      </c>
      <c r="J21" s="112">
        <f>SUMIFS(InputResearch[Federal PT],InputResearch[Institution Name],RestResearch[[#This Row],[Institution Name]])</f>
        <v>0</v>
      </c>
      <c r="K21" s="112">
        <f>SUMIFS(InputResearch[State PT],InputResearch[Institution Name],RestResearch[[#This Row],[Institution Name]])</f>
        <v>0</v>
      </c>
      <c r="L21" s="217" t="str">
        <f>IF(VLOOKUP(RestResearch[[#This Row],[Institution Name]],InputResearch[],217,FALSE)=0,"",VLOOKUP(RestResearch[[#This Row],[Institution Name]],InputResearch[],217,FALSE))</f>
        <v>N/A</v>
      </c>
      <c r="M21" s="112">
        <f>SUMIFS(InputResearch[Adj1],InputResearch[Institution Name],RestResearch[[#This Row],[Institution Name]])</f>
        <v>0</v>
      </c>
      <c r="N21" s="218" t="str">
        <f>IF(VLOOKUP(RestResearch[[#This Row],[Institution Name]],InputResearch[],218,FALSE)=0,"",VLOOKUP(RestResearch[[#This Row],[Institution Name]],InputResearch[],218,FALSE))</f>
        <v>N/A</v>
      </c>
      <c r="O21" s="112">
        <f>SUMIFS(InputResearch[Adj2],InputResearch[Institution Name],RestResearch[[#This Row],[Institution Name]])</f>
        <v>0</v>
      </c>
      <c r="P21" s="218" t="str">
        <f>IF(VLOOKUP(RestResearch[[#This Row],[Institution Name]],InputResearch[],219,FALSE)=0,"",VLOOKUP(RestResearch[[#This Row],[Institution Name]],InputResearch[],219,FALSE))</f>
        <v>N/A</v>
      </c>
      <c r="Q21" s="112">
        <f>SUMIFS(InputResearch[Adj3],InputResearch[Institution Name],RestResearch[[#This Row],[Institution Name]])</f>
        <v>0</v>
      </c>
      <c r="R21"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3257239</v>
      </c>
      <c r="S21" s="220"/>
    </row>
    <row r="22" spans="1:19" s="67" customFormat="1" ht="15">
      <c r="A22" s="67" t="s">
        <v>35</v>
      </c>
      <c r="B22" s="68">
        <f>VLOOKUP(RestResearch[[#This Row],[Institution Name]],InputResearch[],3,FALSE)</f>
        <v>210</v>
      </c>
      <c r="C22" s="69">
        <v>3565</v>
      </c>
      <c r="D22" s="112">
        <f>SUMIFS(InputResearch[SRECNP Res. Exp.],InputResearch[Institution Name],RestResearch[[#This Row],[Institution Name]])</f>
        <v>5836544</v>
      </c>
      <c r="E22" s="112">
        <f>SUMIFS(InputResearch[Res. Not From Rest. Res. Fnd Group],InputResearch[Institution Name],RestResearch[[#This Row],[Institution Name]])</f>
        <v>-3667267</v>
      </c>
      <c r="F22" s="112">
        <f>SUMIFS(InputResearch[Cap Outlay],InputResearch[Institution Name],RestResearch[[#This Row],[Institution Name]])</f>
        <v>619057</v>
      </c>
      <c r="G22" s="112">
        <f>SUM(RestResearch[[#This Row],[Total R&amp;D as Reported 
on SRECNP]:[Capital Outlay for 
Restricted Funds 
Programs Coded Research]])</f>
        <v>2788334</v>
      </c>
      <c r="H22" s="112">
        <f>SUMIFS(InputResearch[Exp. Not SAM],InputResearch[Institution Name],RestResearch[[#This Row],[Institution Name]])</f>
        <v>0</v>
      </c>
      <c r="I22" s="112">
        <f>SUMIFS(InputResearch[Hackerman],InputResearch[Institution Name],RestResearch[[#This Row],[Institution Name]])</f>
        <v>0</v>
      </c>
      <c r="J22" s="112">
        <f>SUMIFS(InputResearch[Federal PT],InputResearch[Institution Name],RestResearch[[#This Row],[Institution Name]])</f>
        <v>0</v>
      </c>
      <c r="K22" s="112">
        <f>SUMIFS(InputResearch[State PT],InputResearch[Institution Name],RestResearch[[#This Row],[Institution Name]])</f>
        <v>0</v>
      </c>
      <c r="L22" s="217" t="str">
        <f>IF(VLOOKUP(RestResearch[[#This Row],[Institution Name]],InputResearch[],217,FALSE)=0,"",VLOOKUP(RestResearch[[#This Row],[Institution Name]],InputResearch[],217,FALSE))</f>
        <v>N/A</v>
      </c>
      <c r="M22" s="112">
        <f>SUMIFS(InputResearch[Adj1],InputResearch[Institution Name],RestResearch[[#This Row],[Institution Name]])</f>
        <v>0</v>
      </c>
      <c r="N22" s="218" t="str">
        <f>IF(VLOOKUP(RestResearch[[#This Row],[Institution Name]],InputResearch[],218,FALSE)=0,"",VLOOKUP(RestResearch[[#This Row],[Institution Name]],InputResearch[],218,FALSE))</f>
        <v>N/A</v>
      </c>
      <c r="O22" s="112">
        <f>SUMIFS(InputResearch[Adj2],InputResearch[Institution Name],RestResearch[[#This Row],[Institution Name]])</f>
        <v>0</v>
      </c>
      <c r="P22" s="218" t="str">
        <f>IF(VLOOKUP(RestResearch[[#This Row],[Institution Name]],InputResearch[],219,FALSE)=0,"",VLOOKUP(RestResearch[[#This Row],[Institution Name]],InputResearch[],219,FALSE))</f>
        <v>N/A</v>
      </c>
      <c r="Q22" s="112">
        <f>SUMIFS(InputResearch[Adj3],InputResearch[Institution Name],RestResearch[[#This Row],[Institution Name]])</f>
        <v>0</v>
      </c>
      <c r="R22"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2788334</v>
      </c>
      <c r="S22" s="220"/>
    </row>
    <row r="23" spans="1:19" s="67" customFormat="1" ht="15">
      <c r="A23" s="67" t="s">
        <v>36</v>
      </c>
      <c r="B23" s="68">
        <f>VLOOKUP(RestResearch[[#This Row],[Institution Name]],InputResearch[],3,FALSE)</f>
        <v>220</v>
      </c>
      <c r="C23" s="69">
        <v>29269</v>
      </c>
      <c r="D23" s="112">
        <f>SUMIFS(InputResearch[SRECNP Res. Exp.],InputResearch[Institution Name],RestResearch[[#This Row],[Institution Name]])</f>
        <v>13323</v>
      </c>
      <c r="E23" s="112">
        <f>SUMIFS(InputResearch[Res. Not From Rest. Res. Fnd Group],InputResearch[Institution Name],RestResearch[[#This Row],[Institution Name]])</f>
        <v>-7591</v>
      </c>
      <c r="F23" s="112">
        <f>SUMIFS(InputResearch[Cap Outlay],InputResearch[Institution Name],RestResearch[[#This Row],[Institution Name]])</f>
        <v>0</v>
      </c>
      <c r="G23" s="112">
        <f>SUM(RestResearch[[#This Row],[Total R&amp;D as Reported 
on SRECNP]:[Capital Outlay for 
Restricted Funds 
Programs Coded Research]])</f>
        <v>5732</v>
      </c>
      <c r="H23" s="112">
        <f>SUMIFS(InputResearch[Exp. Not SAM],InputResearch[Institution Name],RestResearch[[#This Row],[Institution Name]])</f>
        <v>0</v>
      </c>
      <c r="I23" s="112">
        <f>SUMIFS(InputResearch[Hackerman],InputResearch[Institution Name],RestResearch[[#This Row],[Institution Name]])</f>
        <v>0</v>
      </c>
      <c r="J23" s="112">
        <f>SUMIFS(InputResearch[Federal PT],InputResearch[Institution Name],RestResearch[[#This Row],[Institution Name]])</f>
        <v>0</v>
      </c>
      <c r="K23" s="112">
        <f>SUMIFS(InputResearch[State PT],InputResearch[Institution Name],RestResearch[[#This Row],[Institution Name]])</f>
        <v>0</v>
      </c>
      <c r="L23" s="217" t="str">
        <f>IF(VLOOKUP(RestResearch[[#This Row],[Institution Name]],InputResearch[],217,FALSE)=0,"",VLOOKUP(RestResearch[[#This Row],[Institution Name]],InputResearch[],217,FALSE))</f>
        <v>N/A</v>
      </c>
      <c r="M23" s="112">
        <f>SUMIFS(InputResearch[Adj1],InputResearch[Institution Name],RestResearch[[#This Row],[Institution Name]])</f>
        <v>0</v>
      </c>
      <c r="N23" s="218" t="str">
        <f>IF(VLOOKUP(RestResearch[[#This Row],[Institution Name]],InputResearch[],218,FALSE)=0,"",VLOOKUP(RestResearch[[#This Row],[Institution Name]],InputResearch[],218,FALSE))</f>
        <v>N/A</v>
      </c>
      <c r="O23" s="112">
        <f>SUMIFS(InputResearch[Adj2],InputResearch[Institution Name],RestResearch[[#This Row],[Institution Name]])</f>
        <v>0</v>
      </c>
      <c r="P23" s="218" t="str">
        <f>IF(VLOOKUP(RestResearch[[#This Row],[Institution Name]],InputResearch[],219,FALSE)=0,"",VLOOKUP(RestResearch[[#This Row],[Institution Name]],InputResearch[],219,FALSE))</f>
        <v>N/A</v>
      </c>
      <c r="Q23" s="112">
        <f>SUMIFS(InputResearch[Adj3],InputResearch[Institution Name],RestResearch[[#This Row],[Institution Name]])</f>
        <v>0</v>
      </c>
      <c r="R23"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5732</v>
      </c>
      <c r="S23" s="220"/>
    </row>
    <row r="24" spans="1:19" s="67" customFormat="1" ht="15">
      <c r="A24" s="67" t="s">
        <v>37</v>
      </c>
      <c r="B24" s="68">
        <f>VLOOKUP(RestResearch[[#This Row],[Institution Name]],InputResearch[],3,FALSE)</f>
        <v>223</v>
      </c>
      <c r="C24" s="69">
        <v>42295</v>
      </c>
      <c r="D24" s="112">
        <f>SUMIFS(InputResearch[SRECNP Res. Exp.],InputResearch[Institution Name],RestResearch[[#This Row],[Institution Name]])</f>
        <v>1599710</v>
      </c>
      <c r="E24" s="112">
        <f>SUMIFS(InputResearch[Res. Not From Rest. Res. Fnd Group],InputResearch[Institution Name],RestResearch[[#This Row],[Institution Name]])</f>
        <v>-636810</v>
      </c>
      <c r="F24" s="112">
        <f>SUMIFS(InputResearch[Cap Outlay],InputResearch[Institution Name],RestResearch[[#This Row],[Institution Name]])</f>
        <v>0</v>
      </c>
      <c r="G24" s="112">
        <f>SUM(RestResearch[[#This Row],[Total R&amp;D as Reported 
on SRECNP]:[Capital Outlay for 
Restricted Funds 
Programs Coded Research]])</f>
        <v>962900</v>
      </c>
      <c r="H24" s="112">
        <f>SUMIFS(InputResearch[Exp. Not SAM],InputResearch[Institution Name],RestResearch[[#This Row],[Institution Name]])</f>
        <v>-118991</v>
      </c>
      <c r="I24" s="112">
        <f>SUMIFS(InputResearch[Hackerman],InputResearch[Institution Name],RestResearch[[#This Row],[Institution Name]])</f>
        <v>0</v>
      </c>
      <c r="J24" s="112">
        <f>SUMIFS(InputResearch[Federal PT],InputResearch[Institution Name],RestResearch[[#This Row],[Institution Name]])</f>
        <v>-266097</v>
      </c>
      <c r="K24" s="112">
        <f>SUMIFS(InputResearch[State PT],InputResearch[Institution Name],RestResearch[[#This Row],[Institution Name]])</f>
        <v>0</v>
      </c>
      <c r="L24" s="217" t="str">
        <f>IF(VLOOKUP(RestResearch[[#This Row],[Institution Name]],InputResearch[],217,FALSE)=0,"",VLOOKUP(RestResearch[[#This Row],[Institution Name]],InputResearch[],217,FALSE))</f>
        <v>N/A</v>
      </c>
      <c r="M24" s="112">
        <f>SUMIFS(InputResearch[Adj1],InputResearch[Institution Name],RestResearch[[#This Row],[Institution Name]])</f>
        <v>0</v>
      </c>
      <c r="N24" s="218" t="str">
        <f>IF(VLOOKUP(RestResearch[[#This Row],[Institution Name]],InputResearch[],218,FALSE)=0,"",VLOOKUP(RestResearch[[#This Row],[Institution Name]],InputResearch[],218,FALSE))</f>
        <v>N/A</v>
      </c>
      <c r="O24" s="112">
        <f>SUMIFS(InputResearch[Adj2],InputResearch[Institution Name],RestResearch[[#This Row],[Institution Name]])</f>
        <v>0</v>
      </c>
      <c r="P24" s="218" t="str">
        <f>IF(VLOOKUP(RestResearch[[#This Row],[Institution Name]],InputResearch[],219,FALSE)=0,"",VLOOKUP(RestResearch[[#This Row],[Institution Name]],InputResearch[],219,FALSE))</f>
        <v>N/A</v>
      </c>
      <c r="Q24" s="112">
        <f>SUMIFS(InputResearch[Adj3],InputResearch[Institution Name],RestResearch[[#This Row],[Institution Name]])</f>
        <v>0</v>
      </c>
      <c r="R24"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577812</v>
      </c>
      <c r="S24" s="220"/>
    </row>
    <row r="25" spans="1:19" s="67" customFormat="1" ht="15">
      <c r="A25" s="67" t="s">
        <v>38</v>
      </c>
      <c r="B25" s="68">
        <f>VLOOKUP(RestResearch[[#This Row],[Institution Name]],InputResearch[],3,FALSE)</f>
        <v>226</v>
      </c>
      <c r="C25" s="69">
        <v>42485</v>
      </c>
      <c r="D25" s="112">
        <f>SUMIFS(InputResearch[SRECNP Res. Exp.],InputResearch[Institution Name],RestResearch[[#This Row],[Institution Name]])</f>
        <v>3110671</v>
      </c>
      <c r="E25" s="112">
        <f>SUMIFS(InputResearch[Res. Not From Rest. Res. Fnd Group],InputResearch[Institution Name],RestResearch[[#This Row],[Institution Name]])</f>
        <v>-1571077</v>
      </c>
      <c r="F25" s="112">
        <f>SUMIFS(InputResearch[Cap Outlay],InputResearch[Institution Name],RestResearch[[#This Row],[Institution Name]])</f>
        <v>0</v>
      </c>
      <c r="G25" s="112">
        <f>SUM(RestResearch[[#This Row],[Total R&amp;D as Reported 
on SRECNP]:[Capital Outlay for 
Restricted Funds 
Programs Coded Research]])</f>
        <v>1539594</v>
      </c>
      <c r="H25" s="112">
        <f>SUMIFS(InputResearch[Exp. Not SAM],InputResearch[Institution Name],RestResearch[[#This Row],[Institution Name]])</f>
        <v>-38192</v>
      </c>
      <c r="I25" s="112">
        <f>SUMIFS(InputResearch[Hackerman],InputResearch[Institution Name],RestResearch[[#This Row],[Institution Name]])</f>
        <v>0</v>
      </c>
      <c r="J25" s="112">
        <f>SUMIFS(InputResearch[Federal PT],InputResearch[Institution Name],RestResearch[[#This Row],[Institution Name]])</f>
        <v>0</v>
      </c>
      <c r="K25" s="112">
        <f>SUMIFS(InputResearch[State PT],InputResearch[Institution Name],RestResearch[[#This Row],[Institution Name]])</f>
        <v>0</v>
      </c>
      <c r="L25" s="217" t="str">
        <f>IF(VLOOKUP(RestResearch[[#This Row],[Institution Name]],InputResearch[],217,FALSE)=0,"",VLOOKUP(RestResearch[[#This Row],[Institution Name]],InputResearch[],217,FALSE))</f>
        <v>N/A</v>
      </c>
      <c r="M25" s="112">
        <f>SUMIFS(InputResearch[Adj1],InputResearch[Institution Name],RestResearch[[#This Row],[Institution Name]])</f>
        <v>0</v>
      </c>
      <c r="N25" s="218" t="str">
        <f>IF(VLOOKUP(RestResearch[[#This Row],[Institution Name]],InputResearch[],218,FALSE)=0,"",VLOOKUP(RestResearch[[#This Row],[Institution Name]],InputResearch[],218,FALSE))</f>
        <v>N/A</v>
      </c>
      <c r="O25" s="112">
        <f>SUMIFS(InputResearch[Adj2],InputResearch[Institution Name],RestResearch[[#This Row],[Institution Name]])</f>
        <v>0</v>
      </c>
      <c r="P25" s="218" t="str">
        <f>IF(VLOOKUP(RestResearch[[#This Row],[Institution Name]],InputResearch[],219,FALSE)=0,"",VLOOKUP(RestResearch[[#This Row],[Institution Name]],InputResearch[],219,FALSE))</f>
        <v>N/A</v>
      </c>
      <c r="Q25" s="112">
        <f>SUMIFS(InputResearch[Adj3],InputResearch[Institution Name],RestResearch[[#This Row],[Institution Name]])</f>
        <v>0</v>
      </c>
      <c r="R25"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1501402</v>
      </c>
      <c r="S25" s="220"/>
    </row>
    <row r="26" spans="1:19" s="67" customFormat="1" ht="15">
      <c r="A26" s="67" t="s">
        <v>716</v>
      </c>
      <c r="B26" s="68">
        <f>VLOOKUP(RestResearch[[#This Row],[Institution Name]],InputResearch[],3,FALSE)</f>
        <v>231</v>
      </c>
      <c r="C26" s="69">
        <v>3652</v>
      </c>
      <c r="D26" s="112">
        <f>SUMIFS(InputResearch[SRECNP Res. Exp.],InputResearch[Institution Name],RestResearch[[#This Row],[Institution Name]])</f>
        <v>161356803</v>
      </c>
      <c r="E26" s="112">
        <f>SUMIFS(InputResearch[Res. Not From Rest. Res. Fnd Group],InputResearch[Institution Name],RestResearch[[#This Row],[Institution Name]])</f>
        <v>-40122746</v>
      </c>
      <c r="F26" s="112">
        <f>SUMIFS(InputResearch[Cap Outlay],InputResearch[Institution Name],RestResearch[[#This Row],[Institution Name]])</f>
        <v>10512449</v>
      </c>
      <c r="G26" s="112">
        <f>SUM(RestResearch[[#This Row],[Total R&amp;D as Reported 
on SRECNP]:[Capital Outlay for 
Restricted Funds 
Programs Coded Research]])</f>
        <v>131746506</v>
      </c>
      <c r="H26" s="112">
        <f>SUMIFS(InputResearch[Exp. Not SAM],InputResearch[Institution Name],RestResearch[[#This Row],[Institution Name]])</f>
        <v>-29560795</v>
      </c>
      <c r="I26" s="112">
        <f>SUMIFS(InputResearch[Hackerman],InputResearch[Institution Name],RestResearch[[#This Row],[Institution Name]])</f>
        <v>0</v>
      </c>
      <c r="J26" s="112">
        <f>SUMIFS(InputResearch[Federal PT],InputResearch[Institution Name],RestResearch[[#This Row],[Institution Name]])</f>
        <v>-94635</v>
      </c>
      <c r="K26" s="112">
        <f>SUMIFS(InputResearch[State PT],InputResearch[Institution Name],RestResearch[[#This Row],[Institution Name]])</f>
        <v>-571844</v>
      </c>
      <c r="L26" s="217" t="str">
        <f>IF(VLOOKUP(RestResearch[[#This Row],[Institution Name]],InputResearch[],217,FALSE)=0,"",VLOOKUP(RestResearch[[#This Row],[Institution Name]],InputResearch[],217,FALSE))</f>
        <v>Expenditures from TRIP eligible gifts.</v>
      </c>
      <c r="M26" s="112">
        <f>SUMIFS(InputResearch[Adj1],InputResearch[Institution Name],RestResearch[[#This Row],[Institution Name]])</f>
        <v>294032</v>
      </c>
      <c r="N26" s="218" t="str">
        <f>IF(VLOOKUP(RestResearch[[#This Row],[Institution Name]],InputResearch[],218,FALSE)=0,"",VLOOKUP(RestResearch[[#This Row],[Institution Name]],InputResearch[],218,FALSE))</f>
        <v/>
      </c>
      <c r="O26" s="112">
        <f>SUMIFS(InputResearch[Adj2],InputResearch[Institution Name],RestResearch[[#This Row],[Institution Name]])</f>
        <v>0</v>
      </c>
      <c r="P26" s="218" t="str">
        <f>IF(VLOOKUP(RestResearch[[#This Row],[Institution Name]],InputResearch[],219,FALSE)=0,"",VLOOKUP(RestResearch[[#This Row],[Institution Name]],InputResearch[],219,FALSE))</f>
        <v/>
      </c>
      <c r="Q26" s="112">
        <f>SUMIFS(InputResearch[Adj3],InputResearch[Institution Name],RestResearch[[#This Row],[Institution Name]])</f>
        <v>0</v>
      </c>
      <c r="R26"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101813264</v>
      </c>
      <c r="S26" s="220"/>
    </row>
    <row r="27" spans="1:19" s="67" customFormat="1" ht="15">
      <c r="A27" s="67" t="s">
        <v>39</v>
      </c>
      <c r="B27" s="68">
        <f>VLOOKUP(RestResearch[[#This Row],[Institution Name]],InputResearch[],3,FALSE)</f>
        <v>240</v>
      </c>
      <c r="C27" s="69">
        <v>11711</v>
      </c>
      <c r="D27" s="112">
        <f>SUMIFS(InputResearch[SRECNP Res. Exp.],InputResearch[Institution Name],RestResearch[[#This Row],[Institution Name]])</f>
        <v>2127032</v>
      </c>
      <c r="E27" s="112">
        <f>SUMIFS(InputResearch[Res. Not From Rest. Res. Fnd Group],InputResearch[Institution Name],RestResearch[[#This Row],[Institution Name]])</f>
        <v>-83283</v>
      </c>
      <c r="F27" s="112">
        <f>SUMIFS(InputResearch[Cap Outlay],InputResearch[Institution Name],RestResearch[[#This Row],[Institution Name]])</f>
        <v>57914</v>
      </c>
      <c r="G27" s="112">
        <f>SUM(RestResearch[[#This Row],[Total R&amp;D as Reported 
on SRECNP]:[Capital Outlay for 
Restricted Funds 
Programs Coded Research]])</f>
        <v>2101663</v>
      </c>
      <c r="H27" s="112">
        <f>SUMIFS(InputResearch[Exp. Not SAM],InputResearch[Institution Name],RestResearch[[#This Row],[Institution Name]])</f>
        <v>0</v>
      </c>
      <c r="I27" s="112">
        <f>SUMIFS(InputResearch[Hackerman],InputResearch[Institution Name],RestResearch[[#This Row],[Institution Name]])</f>
        <v>0</v>
      </c>
      <c r="J27" s="112">
        <f>SUMIFS(InputResearch[Federal PT],InputResearch[Institution Name],RestResearch[[#This Row],[Institution Name]])</f>
        <v>0</v>
      </c>
      <c r="K27" s="112">
        <f>SUMIFS(InputResearch[State PT],InputResearch[Institution Name],RestResearch[[#This Row],[Institution Name]])</f>
        <v>0</v>
      </c>
      <c r="L27" s="217" t="str">
        <f>IF(VLOOKUP(RestResearch[[#This Row],[Institution Name]],InputResearch[],217,FALSE)=0,"",VLOOKUP(RestResearch[[#This Row],[Institution Name]],InputResearch[],217,FALSE))</f>
        <v>N/A</v>
      </c>
      <c r="M27" s="112">
        <f>SUMIFS(InputResearch[Adj1],InputResearch[Institution Name],RestResearch[[#This Row],[Institution Name]])</f>
        <v>0</v>
      </c>
      <c r="N27" s="218" t="str">
        <f>IF(VLOOKUP(RestResearch[[#This Row],[Institution Name]],InputResearch[],218,FALSE)=0,"",VLOOKUP(RestResearch[[#This Row],[Institution Name]],InputResearch[],218,FALSE))</f>
        <v>N/A</v>
      </c>
      <c r="O27" s="112">
        <f>SUMIFS(InputResearch[Adj2],InputResearch[Institution Name],RestResearch[[#This Row],[Institution Name]])</f>
        <v>0</v>
      </c>
      <c r="P27" s="218" t="str">
        <f>IF(VLOOKUP(RestResearch[[#This Row],[Institution Name]],InputResearch[],219,FALSE)=0,"",VLOOKUP(RestResearch[[#This Row],[Institution Name]],InputResearch[],219,FALSE))</f>
        <v>N/A</v>
      </c>
      <c r="Q27" s="112">
        <f>SUMIFS(InputResearch[Adj3],InputResearch[Institution Name],RestResearch[[#This Row],[Institution Name]])</f>
        <v>0</v>
      </c>
      <c r="R27"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2101663</v>
      </c>
      <c r="S27" s="220"/>
    </row>
    <row r="28" spans="1:19" s="67" customFormat="1" ht="15">
      <c r="A28" s="67" t="s">
        <v>40</v>
      </c>
      <c r="B28" s="68">
        <f>VLOOKUP(RestResearch[[#This Row],[Institution Name]],InputResearch[],3,FALSE)</f>
        <v>250</v>
      </c>
      <c r="C28" s="69">
        <v>12826</v>
      </c>
      <c r="D28" s="112">
        <f>SUMIFS(InputResearch[SRECNP Res. Exp.],InputResearch[Institution Name],RestResearch[[#This Row],[Institution Name]])</f>
        <v>1977947</v>
      </c>
      <c r="E28" s="112">
        <f>SUMIFS(InputResearch[Res. Not From Rest. Res. Fnd Group],InputResearch[Institution Name],RestResearch[[#This Row],[Institution Name]])</f>
        <v>-395991</v>
      </c>
      <c r="F28" s="112">
        <f>SUMIFS(InputResearch[Cap Outlay],InputResearch[Institution Name],RestResearch[[#This Row],[Institution Name]])</f>
        <v>12845</v>
      </c>
      <c r="G28" s="112">
        <f>SUM(RestResearch[[#This Row],[Total R&amp;D as Reported 
on SRECNP]:[Capital Outlay for 
Restricted Funds 
Programs Coded Research]])</f>
        <v>1594801</v>
      </c>
      <c r="H28" s="112">
        <f>SUMIFS(InputResearch[Exp. Not SAM],InputResearch[Institution Name],RestResearch[[#This Row],[Institution Name]])</f>
        <v>0</v>
      </c>
      <c r="I28" s="112">
        <f>SUMIFS(InputResearch[Hackerman],InputResearch[Institution Name],RestResearch[[#This Row],[Institution Name]])</f>
        <v>0</v>
      </c>
      <c r="J28" s="112">
        <f>SUMIFS(InputResearch[Federal PT],InputResearch[Institution Name],RestResearch[[#This Row],[Institution Name]])</f>
        <v>0</v>
      </c>
      <c r="K28" s="112">
        <f>SUMIFS(InputResearch[State PT],InputResearch[Institution Name],RestResearch[[#This Row],[Institution Name]])</f>
        <v>0</v>
      </c>
      <c r="L28" s="217" t="str">
        <f>IF(VLOOKUP(RestResearch[[#This Row],[Institution Name]],InputResearch[],217,FALSE)=0,"",VLOOKUP(RestResearch[[#This Row],[Institution Name]],InputResearch[],217,FALSE))</f>
        <v>N/A</v>
      </c>
      <c r="M28" s="112">
        <f>SUMIFS(InputResearch[Adj1],InputResearch[Institution Name],RestResearch[[#This Row],[Institution Name]])</f>
        <v>0</v>
      </c>
      <c r="N28" s="218" t="str">
        <f>IF(VLOOKUP(RestResearch[[#This Row],[Institution Name]],InputResearch[],218,FALSE)=0,"",VLOOKUP(RestResearch[[#This Row],[Institution Name]],InputResearch[],218,FALSE))</f>
        <v>N/A</v>
      </c>
      <c r="O28" s="112">
        <f>SUMIFS(InputResearch[Adj2],InputResearch[Institution Name],RestResearch[[#This Row],[Institution Name]])</f>
        <v>0</v>
      </c>
      <c r="P28" s="218" t="str">
        <f>IF(VLOOKUP(RestResearch[[#This Row],[Institution Name]],InputResearch[],219,FALSE)=0,"",VLOOKUP(RestResearch[[#This Row],[Institution Name]],InputResearch[],219,FALSE))</f>
        <v>N/A</v>
      </c>
      <c r="Q28" s="112">
        <f>SUMIFS(InputResearch[Adj3],InputResearch[Institution Name],RestResearch[[#This Row],[Institution Name]])</f>
        <v>0</v>
      </c>
      <c r="R28"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1594801</v>
      </c>
      <c r="S28" s="220"/>
    </row>
    <row r="29" spans="1:19" s="67" customFormat="1" ht="15">
      <c r="A29" s="67" t="s">
        <v>41</v>
      </c>
      <c r="B29" s="68">
        <f>VLOOKUP(RestResearch[[#This Row],[Institution Name]],InputResearch[],3,FALSE)</f>
        <v>260</v>
      </c>
      <c r="C29" s="69">
        <v>13231</v>
      </c>
      <c r="D29" s="112">
        <f>SUMIFS(InputResearch[SRECNP Res. Exp.],InputResearch[Institution Name],RestResearch[[#This Row],[Institution Name]])</f>
        <v>765515</v>
      </c>
      <c r="E29" s="112">
        <f>SUMIFS(InputResearch[Res. Not From Rest. Res. Fnd Group],InputResearch[Institution Name],RestResearch[[#This Row],[Institution Name]])</f>
        <v>-295618</v>
      </c>
      <c r="F29" s="112">
        <f>SUMIFS(InputResearch[Cap Outlay],InputResearch[Institution Name],RestResearch[[#This Row],[Institution Name]])</f>
        <v>0</v>
      </c>
      <c r="G29" s="112">
        <f>SUM(RestResearch[[#This Row],[Total R&amp;D as Reported 
on SRECNP]:[Capital Outlay for 
Restricted Funds 
Programs Coded Research]])</f>
        <v>469897</v>
      </c>
      <c r="H29" s="112">
        <f>SUMIFS(InputResearch[Exp. Not SAM],InputResearch[Institution Name],RestResearch[[#This Row],[Institution Name]])</f>
        <v>-6096</v>
      </c>
      <c r="I29" s="112">
        <f>SUMIFS(InputResearch[Hackerman],InputResearch[Institution Name],RestResearch[[#This Row],[Institution Name]])</f>
        <v>0</v>
      </c>
      <c r="J29" s="112">
        <f>SUMIFS(InputResearch[Federal PT],InputResearch[Institution Name],RestResearch[[#This Row],[Institution Name]])</f>
        <v>0</v>
      </c>
      <c r="K29" s="112">
        <f>SUMIFS(InputResearch[State PT],InputResearch[Institution Name],RestResearch[[#This Row],[Institution Name]])</f>
        <v>0</v>
      </c>
      <c r="L29" s="217" t="str">
        <f>IF(VLOOKUP(RestResearch[[#This Row],[Institution Name]],InputResearch[],217,FALSE)=0,"",VLOOKUP(RestResearch[[#This Row],[Institution Name]],InputResearch[],217,FALSE))</f>
        <v>N/A</v>
      </c>
      <c r="M29" s="112">
        <f>SUMIFS(InputResearch[Adj1],InputResearch[Institution Name],RestResearch[[#This Row],[Institution Name]])</f>
        <v>0</v>
      </c>
      <c r="N29" s="218" t="str">
        <f>IF(VLOOKUP(RestResearch[[#This Row],[Institution Name]],InputResearch[],218,FALSE)=0,"",VLOOKUP(RestResearch[[#This Row],[Institution Name]],InputResearch[],218,FALSE))</f>
        <v>N/A</v>
      </c>
      <c r="O29" s="112">
        <f>SUMIFS(InputResearch[Adj2],InputResearch[Institution Name],RestResearch[[#This Row],[Institution Name]])</f>
        <v>0</v>
      </c>
      <c r="P29" s="218" t="str">
        <f>IF(VLOOKUP(RestResearch[[#This Row],[Institution Name]],InputResearch[],219,FALSE)=0,"",VLOOKUP(RestResearch[[#This Row],[Institution Name]],InputResearch[],219,FALSE))</f>
        <v>N/A</v>
      </c>
      <c r="Q29" s="112">
        <f>SUMIFS(InputResearch[Adj3],InputResearch[Institution Name],RestResearch[[#This Row],[Institution Name]])</f>
        <v>0</v>
      </c>
      <c r="R29"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463801</v>
      </c>
      <c r="S29" s="220"/>
    </row>
    <row r="30" spans="1:19" s="67" customFormat="1" ht="15">
      <c r="A30" s="67" t="s">
        <v>42</v>
      </c>
      <c r="B30" s="68">
        <f>VLOOKUP(RestResearch[[#This Row],[Institution Name]],InputResearch[],3,FALSE)</f>
        <v>270</v>
      </c>
      <c r="C30" s="69">
        <v>3581</v>
      </c>
      <c r="D30" s="112">
        <f>SUMIFS(InputResearch[SRECNP Res. Exp.],InputResearch[Institution Name],RestResearch[[#This Row],[Institution Name]])</f>
        <v>7776732</v>
      </c>
      <c r="E30" s="112">
        <f>SUMIFS(InputResearch[Res. Not From Rest. Res. Fnd Group],InputResearch[Institution Name],RestResearch[[#This Row],[Institution Name]])</f>
        <v>-5102913</v>
      </c>
      <c r="F30" s="112">
        <f>SUMIFS(InputResearch[Cap Outlay],InputResearch[Institution Name],RestResearch[[#This Row],[Institution Name]])</f>
        <v>0</v>
      </c>
      <c r="G30" s="112">
        <f>SUM(RestResearch[[#This Row],[Total R&amp;D as Reported 
on SRECNP]:[Capital Outlay for 
Restricted Funds 
Programs Coded Research]])</f>
        <v>2673819</v>
      </c>
      <c r="H30" s="112">
        <f>SUMIFS(InputResearch[Exp. Not SAM],InputResearch[Institution Name],RestResearch[[#This Row],[Institution Name]])</f>
        <v>-576638</v>
      </c>
      <c r="I30" s="112">
        <f>SUMIFS(InputResearch[Hackerman],InputResearch[Institution Name],RestResearch[[#This Row],[Institution Name]])</f>
        <v>0</v>
      </c>
      <c r="J30" s="112">
        <f>SUMIFS(InputResearch[Federal PT],InputResearch[Institution Name],RestResearch[[#This Row],[Institution Name]])</f>
        <v>0</v>
      </c>
      <c r="K30" s="112">
        <f>SUMIFS(InputResearch[State PT],InputResearch[Institution Name],RestResearch[[#This Row],[Institution Name]])</f>
        <v>0</v>
      </c>
      <c r="L30" s="217" t="str">
        <f>IF(VLOOKUP(RestResearch[[#This Row],[Institution Name]],InputResearch[],217,FALSE)=0,"",VLOOKUP(RestResearch[[#This Row],[Institution Name]],InputResearch[],217,FALSE))</f>
        <v>Restricted research participant support listed as scholarships on matrix</v>
      </c>
      <c r="M30" s="112">
        <f>SUMIFS(InputResearch[Adj1],InputResearch[Institution Name],RestResearch[[#This Row],[Institution Name]])</f>
        <v>10000</v>
      </c>
      <c r="N30" s="218" t="str">
        <f>IF(VLOOKUP(RestResearch[[#This Row],[Institution Name]],InputResearch[],218,FALSE)=0,"",VLOOKUP(RestResearch[[#This Row],[Institution Name]],InputResearch[],218,FALSE))</f>
        <v>Restricted research financial aid listed as scholarships on matrix</v>
      </c>
      <c r="O30" s="112">
        <f>SUMIFS(InputResearch[Adj2],InputResearch[Institution Name],RestResearch[[#This Row],[Institution Name]])</f>
        <v>33950</v>
      </c>
      <c r="P30" s="218" t="str">
        <f>IF(VLOOKUP(RestResearch[[#This Row],[Institution Name]],InputResearch[],219,FALSE)=0,"",VLOOKUP(RestResearch[[#This Row],[Institution Name]],InputResearch[],219,FALSE))</f>
        <v>Competitively awarded THWRC &amp; TARC grants funded from state appropriations</v>
      </c>
      <c r="Q30" s="112">
        <f>SUMIFS(InputResearch[Adj3],InputResearch[Institution Name],RestResearch[[#This Row],[Institution Name]])</f>
        <v>69729</v>
      </c>
      <c r="R30"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2210860</v>
      </c>
      <c r="S30" s="220"/>
    </row>
    <row r="31" spans="1:19" s="67" customFormat="1" ht="15">
      <c r="A31" s="67" t="s">
        <v>717</v>
      </c>
      <c r="B31" s="68">
        <f>VLOOKUP(RestResearch[[#This Row],[Institution Name]],InputResearch[],3,FALSE)</f>
        <v>281</v>
      </c>
      <c r="C31" s="69">
        <v>3606</v>
      </c>
      <c r="D31" s="112">
        <f>SUMIFS(InputResearch[SRECNP Res. Exp.],InputResearch[Institution Name],RestResearch[[#This Row],[Institution Name]])</f>
        <v>11081205</v>
      </c>
      <c r="E31" s="112">
        <f>SUMIFS(InputResearch[Res. Not From Rest. Res. Fnd Group],InputResearch[Institution Name],RestResearch[[#This Row],[Institution Name]])</f>
        <v>-6237558</v>
      </c>
      <c r="F31" s="112">
        <f>SUMIFS(InputResearch[Cap Outlay],InputResearch[Institution Name],RestResearch[[#This Row],[Institution Name]])</f>
        <v>287296</v>
      </c>
      <c r="G31" s="112">
        <f>SUM(RestResearch[[#This Row],[Total R&amp;D as Reported 
on SRECNP]:[Capital Outlay for 
Restricted Funds 
Programs Coded Research]])</f>
        <v>5130943</v>
      </c>
      <c r="H31" s="112">
        <f>SUMIFS(InputResearch[Exp. Not SAM],InputResearch[Institution Name],RestResearch[[#This Row],[Institution Name]])</f>
        <v>574560</v>
      </c>
      <c r="I31" s="112">
        <f>SUMIFS(InputResearch[Hackerman],InputResearch[Institution Name],RestResearch[[#This Row],[Institution Name]])</f>
        <v>0</v>
      </c>
      <c r="J31" s="112">
        <f>SUMIFS(InputResearch[Federal PT],InputResearch[Institution Name],RestResearch[[#This Row],[Institution Name]])</f>
        <v>97966</v>
      </c>
      <c r="K31" s="112">
        <f>SUMIFS(InputResearch[State PT],InputResearch[Institution Name],RestResearch[[#This Row],[Institution Name]])</f>
        <v>19667</v>
      </c>
      <c r="L31" s="217" t="str">
        <f>IF(VLOOKUP(RestResearch[[#This Row],[Institution Name]],InputResearch[],217,FALSE)=0,"",VLOOKUP(RestResearch[[#This Row],[Institution Name]],InputResearch[],217,FALSE))</f>
        <v>N/A</v>
      </c>
      <c r="M31" s="112">
        <f>SUMIFS(InputResearch[Adj1],InputResearch[Institution Name],RestResearch[[#This Row],[Institution Name]])</f>
        <v>0</v>
      </c>
      <c r="N31" s="218" t="str">
        <f>IF(VLOOKUP(RestResearch[[#This Row],[Institution Name]],InputResearch[],218,FALSE)=0,"",VLOOKUP(RestResearch[[#This Row],[Institution Name]],InputResearch[],218,FALSE))</f>
        <v>N/A</v>
      </c>
      <c r="O31" s="112">
        <f>SUMIFS(InputResearch[Adj2],InputResearch[Institution Name],RestResearch[[#This Row],[Institution Name]])</f>
        <v>0</v>
      </c>
      <c r="P31" s="218" t="str">
        <f>IF(VLOOKUP(RestResearch[[#This Row],[Institution Name]],InputResearch[],219,FALSE)=0,"",VLOOKUP(RestResearch[[#This Row],[Institution Name]],InputResearch[],219,FALSE))</f>
        <v>N/A</v>
      </c>
      <c r="Q31" s="112">
        <f>SUMIFS(InputResearch[Adj3],InputResearch[Institution Name],RestResearch[[#This Row],[Institution Name]])</f>
        <v>0</v>
      </c>
      <c r="R31"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5823136</v>
      </c>
      <c r="S31" s="220"/>
    </row>
    <row r="32" spans="1:19" s="67" customFormat="1" ht="15">
      <c r="A32" s="67" t="s">
        <v>44</v>
      </c>
      <c r="B32" s="68">
        <f>VLOOKUP(RestResearch[[#This Row],[Institution Name]],InputResearch[],3,FALSE)</f>
        <v>290</v>
      </c>
      <c r="C32" s="69">
        <v>3615</v>
      </c>
      <c r="D32" s="112">
        <f>SUMIFS(InputResearch[SRECNP Res. Exp.],InputResearch[Institution Name],RestResearch[[#This Row],[Institution Name]])</f>
        <v>126839858</v>
      </c>
      <c r="E32" s="112">
        <f>SUMIFS(InputResearch[Res. Not From Rest. Res. Fnd Group],InputResearch[Institution Name],RestResearch[[#This Row],[Institution Name]])</f>
        <v>-79788081</v>
      </c>
      <c r="F32" s="112">
        <f>SUMIFS(InputResearch[Cap Outlay],InputResearch[Institution Name],RestResearch[[#This Row],[Institution Name]])</f>
        <v>0</v>
      </c>
      <c r="G32" s="112">
        <f>SUM(RestResearch[[#This Row],[Total R&amp;D as Reported 
on SRECNP]:[Capital Outlay for 
Restricted Funds 
Programs Coded Research]])</f>
        <v>47051777</v>
      </c>
      <c r="H32" s="112">
        <f>SUMIFS(InputResearch[Exp. Not SAM],InputResearch[Institution Name],RestResearch[[#This Row],[Institution Name]])</f>
        <v>0</v>
      </c>
      <c r="I32" s="112">
        <f>SUMIFS(InputResearch[Hackerman],InputResearch[Institution Name],RestResearch[[#This Row],[Institution Name]])</f>
        <v>0</v>
      </c>
      <c r="J32" s="112">
        <f>SUMIFS(InputResearch[Federal PT],InputResearch[Institution Name],RestResearch[[#This Row],[Institution Name]])</f>
        <v>0</v>
      </c>
      <c r="K32" s="112">
        <f>SUMIFS(InputResearch[State PT],InputResearch[Institution Name],RestResearch[[#This Row],[Institution Name]])</f>
        <v>0</v>
      </c>
      <c r="L32" s="217" t="str">
        <f>IF(VLOOKUP(RestResearch[[#This Row],[Institution Name]],InputResearch[],217,FALSE)=0,"",VLOOKUP(RestResearch[[#This Row],[Institution Name]],InputResearch[],217,FALSE))</f>
        <v>N/A</v>
      </c>
      <c r="M32" s="112">
        <f>SUMIFS(InputResearch[Adj1],InputResearch[Institution Name],RestResearch[[#This Row],[Institution Name]])</f>
        <v>0</v>
      </c>
      <c r="N32" s="218" t="str">
        <f>IF(VLOOKUP(RestResearch[[#This Row],[Institution Name]],InputResearch[],218,FALSE)=0,"",VLOOKUP(RestResearch[[#This Row],[Institution Name]],InputResearch[],218,FALSE))</f>
        <v>N/A</v>
      </c>
      <c r="O32" s="112">
        <f>SUMIFS(InputResearch[Adj2],InputResearch[Institution Name],RestResearch[[#This Row],[Institution Name]])</f>
        <v>0</v>
      </c>
      <c r="P32" s="218" t="str">
        <f>IF(VLOOKUP(RestResearch[[#This Row],[Institution Name]],InputResearch[],219,FALSE)=0,"",VLOOKUP(RestResearch[[#This Row],[Institution Name]],InputResearch[],219,FALSE))</f>
        <v>N/A</v>
      </c>
      <c r="Q32" s="112">
        <f>SUMIFS(InputResearch[Adj3],InputResearch[Institution Name],RestResearch[[#This Row],[Institution Name]])</f>
        <v>0</v>
      </c>
      <c r="R32"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47051777</v>
      </c>
      <c r="S32" s="220"/>
    </row>
    <row r="33" spans="1:19" s="67" customFormat="1" ht="15">
      <c r="A33" s="67" t="s">
        <v>45</v>
      </c>
      <c r="B33" s="68">
        <f>VLOOKUP(RestResearch[[#This Row],[Institution Name]],InputResearch[],3,FALSE)</f>
        <v>300</v>
      </c>
      <c r="C33" s="69">
        <v>3625</v>
      </c>
      <c r="D33" s="112">
        <f>SUMIFS(InputResearch[SRECNP Res. Exp.],InputResearch[Institution Name],RestResearch[[#This Row],[Institution Name]])</f>
        <v>4481347</v>
      </c>
      <c r="E33" s="112">
        <f>SUMIFS(InputResearch[Res. Not From Rest. Res. Fnd Group],InputResearch[Institution Name],RestResearch[[#This Row],[Institution Name]])</f>
        <v>-1573689</v>
      </c>
      <c r="F33" s="112">
        <f>SUMIFS(InputResearch[Cap Outlay],InputResearch[Institution Name],RestResearch[[#This Row],[Institution Name]])</f>
        <v>180643</v>
      </c>
      <c r="G33" s="112">
        <f>SUM(RestResearch[[#This Row],[Total R&amp;D as Reported 
on SRECNP]:[Capital Outlay for 
Restricted Funds 
Programs Coded Research]])</f>
        <v>3088301</v>
      </c>
      <c r="H33" s="112">
        <f>SUMIFS(InputResearch[Exp. Not SAM],InputResearch[Institution Name],RestResearch[[#This Row],[Institution Name]])</f>
        <v>-216446</v>
      </c>
      <c r="I33" s="112">
        <f>SUMIFS(InputResearch[Hackerman],InputResearch[Institution Name],RestResearch[[#This Row],[Institution Name]])</f>
        <v>0</v>
      </c>
      <c r="J33" s="112">
        <f>SUMIFS(InputResearch[Federal PT],InputResearch[Institution Name],RestResearch[[#This Row],[Institution Name]])</f>
        <v>0</v>
      </c>
      <c r="K33" s="112">
        <f>SUMIFS(InputResearch[State PT],InputResearch[Institution Name],RestResearch[[#This Row],[Institution Name]])</f>
        <v>0</v>
      </c>
      <c r="L33" s="217" t="str">
        <f>IF(VLOOKUP(RestResearch[[#This Row],[Institution Name]],InputResearch[],217,FALSE)=0,"",VLOOKUP(RestResearch[[#This Row],[Institution Name]],InputResearch[],217,FALSE))</f>
        <v>N/A</v>
      </c>
      <c r="M33" s="112">
        <f>SUMIFS(InputResearch[Adj1],InputResearch[Institution Name],RestResearch[[#This Row],[Institution Name]])</f>
        <v>0</v>
      </c>
      <c r="N33" s="218" t="str">
        <f>IF(VLOOKUP(RestResearch[[#This Row],[Institution Name]],InputResearch[],218,FALSE)=0,"",VLOOKUP(RestResearch[[#This Row],[Institution Name]],InputResearch[],218,FALSE))</f>
        <v>N/A</v>
      </c>
      <c r="O33" s="112">
        <f>SUMIFS(InputResearch[Adj2],InputResearch[Institution Name],RestResearch[[#This Row],[Institution Name]])</f>
        <v>0</v>
      </c>
      <c r="P33" s="218" t="str">
        <f>IF(VLOOKUP(RestResearch[[#This Row],[Institution Name]],InputResearch[],219,FALSE)=0,"",VLOOKUP(RestResearch[[#This Row],[Institution Name]],InputResearch[],219,FALSE))</f>
        <v>N/A</v>
      </c>
      <c r="Q33" s="112">
        <f>SUMIFS(InputResearch[Adj3],InputResearch[Institution Name],RestResearch[[#This Row],[Institution Name]])</f>
        <v>0</v>
      </c>
      <c r="R33"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2871855</v>
      </c>
      <c r="S33" s="220"/>
    </row>
    <row r="34" spans="1:19" s="67" customFormat="1" ht="15">
      <c r="A34" s="67" t="s">
        <v>46</v>
      </c>
      <c r="B34" s="68">
        <f>VLOOKUP(RestResearch[[#This Row],[Institution Name]],InputResearch[],3,FALSE)</f>
        <v>310</v>
      </c>
      <c r="C34" s="69">
        <v>3644</v>
      </c>
      <c r="D34" s="112">
        <f>SUMIFS(InputResearch[SRECNP Res. Exp.],InputResearch[Institution Name],RestResearch[[#This Row],[Institution Name]])</f>
        <v>193610269</v>
      </c>
      <c r="E34" s="112">
        <f>SUMIFS(InputResearch[Res. Not From Rest. Res. Fnd Group],InputResearch[Institution Name],RestResearch[[#This Row],[Institution Name]])</f>
        <v>-118612963</v>
      </c>
      <c r="F34" s="112">
        <f>SUMIFS(InputResearch[Cap Outlay],InputResearch[Institution Name],RestResearch[[#This Row],[Institution Name]])</f>
        <v>7211134</v>
      </c>
      <c r="G34" s="112">
        <f>SUM(RestResearch[[#This Row],[Total R&amp;D as Reported 
on SRECNP]:[Capital Outlay for 
Restricted Funds 
Programs Coded Research]])</f>
        <v>82208440</v>
      </c>
      <c r="H34" s="112">
        <f>SUMIFS(InputResearch[Exp. Not SAM],InputResearch[Institution Name],RestResearch[[#This Row],[Institution Name]])</f>
        <v>-12961519</v>
      </c>
      <c r="I34" s="112">
        <f>SUMIFS(InputResearch[Hackerman],InputResearch[Institution Name],RestResearch[[#This Row],[Institution Name]])</f>
        <v>0</v>
      </c>
      <c r="J34" s="112">
        <f>SUMIFS(InputResearch[Federal PT],InputResearch[Institution Name],RestResearch[[#This Row],[Institution Name]])</f>
        <v>-303838</v>
      </c>
      <c r="K34" s="112">
        <f>SUMIFS(InputResearch[State PT],InputResearch[Institution Name],RestResearch[[#This Row],[Institution Name]])</f>
        <v>0</v>
      </c>
      <c r="L34" s="217" t="str">
        <f>IF(VLOOKUP(RestResearch[[#This Row],[Institution Name]],InputResearch[],217,FALSE)=0,"",VLOOKUP(RestResearch[[#This Row],[Institution Name]],InputResearch[],217,FALSE))</f>
        <v>Competitively awarded state appropriated grants</v>
      </c>
      <c r="M34" s="112">
        <f>SUMIFS(InputResearch[Adj1],InputResearch[Institution Name],RestResearch[[#This Row],[Institution Name]])</f>
        <v>204945</v>
      </c>
      <c r="N34" s="218" t="str">
        <f>IF(VLOOKUP(RestResearch[[#This Row],[Institution Name]],InputResearch[],218,FALSE)=0,"",VLOOKUP(RestResearch[[#This Row],[Institution Name]],InputResearch[],218,FALSE))</f>
        <v/>
      </c>
      <c r="O34" s="112">
        <f>SUMIFS(InputResearch[Adj2],InputResearch[Institution Name],RestResearch[[#This Row],[Institution Name]])</f>
        <v>0</v>
      </c>
      <c r="P34" s="218" t="str">
        <f>IF(VLOOKUP(RestResearch[[#This Row],[Institution Name]],InputResearch[],219,FALSE)=0,"",VLOOKUP(RestResearch[[#This Row],[Institution Name]],InputResearch[],219,FALSE))</f>
        <v/>
      </c>
      <c r="Q34" s="112">
        <f>SUMIFS(InputResearch[Adj3],InputResearch[Institution Name],RestResearch[[#This Row],[Institution Name]])</f>
        <v>0</v>
      </c>
      <c r="R34"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69148028</v>
      </c>
      <c r="S34" s="220"/>
    </row>
    <row r="35" spans="1:19" s="67" customFormat="1" ht="15">
      <c r="A35" s="67" t="s">
        <v>47</v>
      </c>
      <c r="B35" s="68">
        <f>VLOOKUP(RestResearch[[#This Row],[Institution Name]],InputResearch[],3,FALSE)</f>
        <v>320</v>
      </c>
      <c r="C35" s="69">
        <v>3541</v>
      </c>
      <c r="D35" s="112">
        <f>SUMIFS(InputResearch[SRECNP Res. Exp.],InputResearch[Institution Name],RestResearch[[#This Row],[Institution Name]])</f>
        <v>878102</v>
      </c>
      <c r="E35" s="112">
        <f>SUMIFS(InputResearch[Res. Not From Rest. Res. Fnd Group],InputResearch[Institution Name],RestResearch[[#This Row],[Institution Name]])</f>
        <v>-534219</v>
      </c>
      <c r="F35" s="112">
        <f>SUMIFS(InputResearch[Cap Outlay],InputResearch[Institution Name],RestResearch[[#This Row],[Institution Name]])</f>
        <v>96690</v>
      </c>
      <c r="G35" s="112">
        <f>SUM(RestResearch[[#This Row],[Total R&amp;D as Reported 
on SRECNP]:[Capital Outlay for 
Restricted Funds 
Programs Coded Research]])</f>
        <v>440573</v>
      </c>
      <c r="H35" s="112">
        <f>SUMIFS(InputResearch[Exp. Not SAM],InputResearch[Institution Name],RestResearch[[#This Row],[Institution Name]])</f>
        <v>-122999</v>
      </c>
      <c r="I35" s="112">
        <f>SUMIFS(InputResearch[Hackerman],InputResearch[Institution Name],RestResearch[[#This Row],[Institution Name]])</f>
        <v>0</v>
      </c>
      <c r="J35" s="112">
        <f>SUMIFS(InputResearch[Federal PT],InputResearch[Institution Name],RestResearch[[#This Row],[Institution Name]])</f>
        <v>0</v>
      </c>
      <c r="K35" s="112">
        <f>SUMIFS(InputResearch[State PT],InputResearch[Institution Name],RestResearch[[#This Row],[Institution Name]])</f>
        <v>0</v>
      </c>
      <c r="L35" s="217" t="str">
        <f>IF(VLOOKUP(RestResearch[[#This Row],[Institution Name]],InputResearch[],217,FALSE)=0,"",VLOOKUP(RestResearch[[#This Row],[Institution Name]],InputResearch[],217,FALSE))</f>
        <v>N/A</v>
      </c>
      <c r="M35" s="112">
        <f>SUMIFS(InputResearch[Adj1],InputResearch[Institution Name],RestResearch[[#This Row],[Institution Name]])</f>
        <v>0</v>
      </c>
      <c r="N35" s="218" t="str">
        <f>IF(VLOOKUP(RestResearch[[#This Row],[Institution Name]],InputResearch[],218,FALSE)=0,"",VLOOKUP(RestResearch[[#This Row],[Institution Name]],InputResearch[],218,FALSE))</f>
        <v>N/A</v>
      </c>
      <c r="O35" s="112">
        <f>SUMIFS(InputResearch[Adj2],InputResearch[Institution Name],RestResearch[[#This Row],[Institution Name]])</f>
        <v>0</v>
      </c>
      <c r="P35" s="218" t="str">
        <f>IF(VLOOKUP(RestResearch[[#This Row],[Institution Name]],InputResearch[],219,FALSE)=0,"",VLOOKUP(RestResearch[[#This Row],[Institution Name]],InputResearch[],219,FALSE))</f>
        <v>N/A</v>
      </c>
      <c r="Q35" s="112">
        <f>SUMIFS(InputResearch[Adj3],InputResearch[Institution Name],RestResearch[[#This Row],[Institution Name]])</f>
        <v>0</v>
      </c>
      <c r="R35"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317574</v>
      </c>
      <c r="S35" s="220"/>
    </row>
    <row r="36" spans="1:19" s="67" customFormat="1" ht="15">
      <c r="A36" s="67" t="s">
        <v>48</v>
      </c>
      <c r="B36" s="68">
        <f>VLOOKUP(RestResearch[[#This Row],[Institution Name]],InputResearch[],3,FALSE)</f>
        <v>330</v>
      </c>
      <c r="C36" s="69">
        <v>3594</v>
      </c>
      <c r="D36" s="112">
        <f>SUMIFS(InputResearch[SRECNP Res. Exp.],InputResearch[Institution Name],RestResearch[[#This Row],[Institution Name]])</f>
        <v>89180220</v>
      </c>
      <c r="E36" s="112">
        <f>SUMIFS(InputResearch[Res. Not From Rest. Res. Fnd Group],InputResearch[Institution Name],RestResearch[[#This Row],[Institution Name]])</f>
        <v>-60909012</v>
      </c>
      <c r="F36" s="112">
        <f>SUMIFS(InputResearch[Cap Outlay],InputResearch[Institution Name],RestResearch[[#This Row],[Institution Name]])</f>
        <v>3209361</v>
      </c>
      <c r="G36" s="112">
        <f>SUM(RestResearch[[#This Row],[Total R&amp;D as Reported 
on SRECNP]:[Capital Outlay for 
Restricted Funds 
Programs Coded Research]])</f>
        <v>31480569</v>
      </c>
      <c r="H36" s="112">
        <f>SUMIFS(InputResearch[Exp. Not SAM],InputResearch[Institution Name],RestResearch[[#This Row],[Institution Name]])</f>
        <v>0</v>
      </c>
      <c r="I36" s="112">
        <f>SUMIFS(InputResearch[Hackerman],InputResearch[Institution Name],RestResearch[[#This Row],[Institution Name]])</f>
        <v>0</v>
      </c>
      <c r="J36" s="112">
        <f>SUMIFS(InputResearch[Federal PT],InputResearch[Institution Name],RestResearch[[#This Row],[Institution Name]])</f>
        <v>-165322</v>
      </c>
      <c r="K36" s="112">
        <f>SUMIFS(InputResearch[State PT],InputResearch[Institution Name],RestResearch[[#This Row],[Institution Name]])</f>
        <v>-26657</v>
      </c>
      <c r="L36" s="217" t="str">
        <f>IF(VLOOKUP(RestResearch[[#This Row],[Institution Name]],InputResearch[],217,FALSE)=0,"",VLOOKUP(RestResearch[[#This Row],[Institution Name]],InputResearch[],217,FALSE))</f>
        <v>N/A</v>
      </c>
      <c r="M36" s="112">
        <f>SUMIFS(InputResearch[Adj1],InputResearch[Institution Name],RestResearch[[#This Row],[Institution Name]])</f>
        <v>0</v>
      </c>
      <c r="N36" s="218" t="str">
        <f>IF(VLOOKUP(RestResearch[[#This Row],[Institution Name]],InputResearch[],218,FALSE)=0,"",VLOOKUP(RestResearch[[#This Row],[Institution Name]],InputResearch[],218,FALSE))</f>
        <v>N/A</v>
      </c>
      <c r="O36" s="112">
        <f>SUMIFS(InputResearch[Adj2],InputResearch[Institution Name],RestResearch[[#This Row],[Institution Name]])</f>
        <v>0</v>
      </c>
      <c r="P36" s="218" t="str">
        <f>IF(VLOOKUP(RestResearch[[#This Row],[Institution Name]],InputResearch[],219,FALSE)=0,"",VLOOKUP(RestResearch[[#This Row],[Institution Name]],InputResearch[],219,FALSE))</f>
        <v>N/A</v>
      </c>
      <c r="Q36" s="112">
        <f>SUMIFS(InputResearch[Adj3],InputResearch[Institution Name],RestResearch[[#This Row],[Institution Name]])</f>
        <v>0</v>
      </c>
      <c r="R36"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31288590</v>
      </c>
      <c r="S36" s="220"/>
    </row>
    <row r="37" spans="1:19" s="67" customFormat="1" ht="15">
      <c r="A37" s="67" t="s">
        <v>49</v>
      </c>
      <c r="B37" s="68">
        <f>VLOOKUP(RestResearch[[#This Row],[Institution Name]],InputResearch[],3,FALSE)</f>
        <v>333</v>
      </c>
      <c r="C37" s="69">
        <v>42421</v>
      </c>
      <c r="D37" s="112">
        <f>SUMIFS(InputResearch[SRECNP Res. Exp.],InputResearch[Institution Name],RestResearch[[#This Row],[Institution Name]])</f>
        <v>1465778</v>
      </c>
      <c r="E37" s="112">
        <f>SUMIFS(InputResearch[Res. Not From Rest. Res. Fnd Group],InputResearch[Institution Name],RestResearch[[#This Row],[Institution Name]])</f>
        <v>-1124303</v>
      </c>
      <c r="F37" s="112">
        <f>SUMIFS(InputResearch[Cap Outlay],InputResearch[Institution Name],RestResearch[[#This Row],[Institution Name]])</f>
        <v>171474</v>
      </c>
      <c r="G37" s="112">
        <f>SUM(RestResearch[[#This Row],[Total R&amp;D as Reported 
on SRECNP]:[Capital Outlay for 
Restricted Funds 
Programs Coded Research]])</f>
        <v>512949</v>
      </c>
      <c r="H37" s="112">
        <f>SUMIFS(InputResearch[Exp. Not SAM],InputResearch[Institution Name],RestResearch[[#This Row],[Institution Name]])</f>
        <v>0</v>
      </c>
      <c r="I37" s="112">
        <f>SUMIFS(InputResearch[Hackerman],InputResearch[Institution Name],RestResearch[[#This Row],[Institution Name]])</f>
        <v>0</v>
      </c>
      <c r="J37" s="112">
        <f>SUMIFS(InputResearch[Federal PT],InputResearch[Institution Name],RestResearch[[#This Row],[Institution Name]])</f>
        <v>0</v>
      </c>
      <c r="K37" s="112">
        <f>SUMIFS(InputResearch[State PT],InputResearch[Institution Name],RestResearch[[#This Row],[Institution Name]])</f>
        <v>0</v>
      </c>
      <c r="L37" s="217" t="str">
        <f>IF(VLOOKUP(RestResearch[[#This Row],[Institution Name]],InputResearch[],217,FALSE)=0,"",VLOOKUP(RestResearch[[#This Row],[Institution Name]],InputResearch[],217,FALSE))</f>
        <v>N/A</v>
      </c>
      <c r="M37" s="112">
        <f>SUMIFS(InputResearch[Adj1],InputResearch[Institution Name],RestResearch[[#This Row],[Institution Name]])</f>
        <v>0</v>
      </c>
      <c r="N37" s="218" t="str">
        <f>IF(VLOOKUP(RestResearch[[#This Row],[Institution Name]],InputResearch[],218,FALSE)=0,"",VLOOKUP(RestResearch[[#This Row],[Institution Name]],InputResearch[],218,FALSE))</f>
        <v>N/A</v>
      </c>
      <c r="O37" s="112">
        <f>SUMIFS(InputResearch[Adj2],InputResearch[Institution Name],RestResearch[[#This Row],[Institution Name]])</f>
        <v>0</v>
      </c>
      <c r="P37" s="218" t="str">
        <f>IF(VLOOKUP(RestResearch[[#This Row],[Institution Name]],InputResearch[],219,FALSE)=0,"",VLOOKUP(RestResearch[[#This Row],[Institution Name]],InputResearch[],219,FALSE))</f>
        <v>N/A</v>
      </c>
      <c r="Q37" s="112">
        <f>SUMIFS(InputResearch[Adj3],InputResearch[Institution Name],RestResearch[[#This Row],[Institution Name]])</f>
        <v>0</v>
      </c>
      <c r="R37"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512949</v>
      </c>
      <c r="S37" s="220"/>
    </row>
    <row r="38" spans="1:19" s="67" customFormat="1" ht="15">
      <c r="A38" s="67" t="s">
        <v>50</v>
      </c>
      <c r="B38" s="68">
        <f>VLOOKUP(RestResearch[[#This Row],[Institution Name]],InputResearch[],3,FALSE)</f>
        <v>340</v>
      </c>
      <c r="C38" s="69">
        <v>3592</v>
      </c>
      <c r="D38" s="112">
        <f>SUMIFS(InputResearch[SRECNP Res. Exp.],InputResearch[Institution Name],RestResearch[[#This Row],[Institution Name]])</f>
        <v>829920</v>
      </c>
      <c r="E38" s="112">
        <f>SUMIFS(InputResearch[Res. Not From Rest. Res. Fnd Group],InputResearch[Institution Name],RestResearch[[#This Row],[Institution Name]])</f>
        <v>-329083</v>
      </c>
      <c r="F38" s="112">
        <f>SUMIFS(InputResearch[Cap Outlay],InputResearch[Institution Name],RestResearch[[#This Row],[Institution Name]])</f>
        <v>7960</v>
      </c>
      <c r="G38" s="112">
        <f>SUM(RestResearch[[#This Row],[Total R&amp;D as Reported 
on SRECNP]:[Capital Outlay for 
Restricted Funds 
Programs Coded Research]])</f>
        <v>508797</v>
      </c>
      <c r="H38" s="112">
        <f>SUMIFS(InputResearch[Exp. Not SAM],InputResearch[Institution Name],RestResearch[[#This Row],[Institution Name]])</f>
        <v>0</v>
      </c>
      <c r="I38" s="112">
        <f>SUMIFS(InputResearch[Hackerman],InputResearch[Institution Name],RestResearch[[#This Row],[Institution Name]])</f>
        <v>0</v>
      </c>
      <c r="J38" s="112">
        <f>SUMIFS(InputResearch[Federal PT],InputResearch[Institution Name],RestResearch[[#This Row],[Institution Name]])</f>
        <v>0</v>
      </c>
      <c r="K38" s="112">
        <f>SUMIFS(InputResearch[State PT],InputResearch[Institution Name],RestResearch[[#This Row],[Institution Name]])</f>
        <v>0</v>
      </c>
      <c r="L38" s="217" t="str">
        <f>IF(VLOOKUP(RestResearch[[#This Row],[Institution Name]],InputResearch[],217,FALSE)=0,"",VLOOKUP(RestResearch[[#This Row],[Institution Name]],InputResearch[],217,FALSE))</f>
        <v>N/A</v>
      </c>
      <c r="M38" s="112">
        <f>SUMIFS(InputResearch[Adj1],InputResearch[Institution Name],RestResearch[[#This Row],[Institution Name]])</f>
        <v>0</v>
      </c>
      <c r="N38" s="218" t="str">
        <f>IF(VLOOKUP(RestResearch[[#This Row],[Institution Name]],InputResearch[],218,FALSE)=0,"",VLOOKUP(RestResearch[[#This Row],[Institution Name]],InputResearch[],218,FALSE))</f>
        <v>N/A</v>
      </c>
      <c r="O38" s="112">
        <f>SUMIFS(InputResearch[Adj2],InputResearch[Institution Name],RestResearch[[#This Row],[Institution Name]])</f>
        <v>0</v>
      </c>
      <c r="P38" s="218" t="str">
        <f>IF(VLOOKUP(RestResearch[[#This Row],[Institution Name]],InputResearch[],219,FALSE)=0,"",VLOOKUP(RestResearch[[#This Row],[Institution Name]],InputResearch[],219,FALSE))</f>
        <v>N/A</v>
      </c>
      <c r="Q38" s="112">
        <f>SUMIFS(InputResearch[Adj3],InputResearch[Institution Name],RestResearch[[#This Row],[Institution Name]])</f>
        <v>0</v>
      </c>
      <c r="R38"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508797</v>
      </c>
      <c r="S38" s="220"/>
    </row>
    <row r="39" spans="1:19" s="67" customFormat="1" ht="15">
      <c r="A39" s="67" t="s">
        <v>26</v>
      </c>
      <c r="B39" s="68">
        <f>VLOOKUP(RestResearch[[#This Row],[Institution Name]],InputResearch[],3,FALSE)</f>
        <v>350</v>
      </c>
      <c r="C39" s="69">
        <v>3624</v>
      </c>
      <c r="D39" s="112">
        <f>SUMIFS(InputResearch[SRECNP Res. Exp.],InputResearch[Institution Name],RestResearch[[#This Row],[Institution Name]])</f>
        <v>3260992</v>
      </c>
      <c r="E39" s="112">
        <f>SUMIFS(InputResearch[Res. Not From Rest. Res. Fnd Group],InputResearch[Institution Name],RestResearch[[#This Row],[Institution Name]])</f>
        <v>-1464851</v>
      </c>
      <c r="F39" s="112">
        <f>SUMIFS(InputResearch[Cap Outlay],InputResearch[Institution Name],RestResearch[[#This Row],[Institution Name]])</f>
        <v>0</v>
      </c>
      <c r="G39" s="112">
        <f>SUM(RestResearch[[#This Row],[Total R&amp;D as Reported 
on SRECNP]:[Capital Outlay for 
Restricted Funds 
Programs Coded Research]])</f>
        <v>1796141</v>
      </c>
      <c r="H39" s="112">
        <f>SUMIFS(InputResearch[Exp. Not SAM],InputResearch[Institution Name],RestResearch[[#This Row],[Institution Name]])</f>
        <v>0</v>
      </c>
      <c r="I39" s="112">
        <f>SUMIFS(InputResearch[Hackerman],InputResearch[Institution Name],RestResearch[[#This Row],[Institution Name]])</f>
        <v>0</v>
      </c>
      <c r="J39" s="112">
        <f>SUMIFS(InputResearch[Federal PT],InputResearch[Institution Name],RestResearch[[#This Row],[Institution Name]])</f>
        <v>0</v>
      </c>
      <c r="K39" s="112">
        <f>SUMIFS(InputResearch[State PT],InputResearch[Institution Name],RestResearch[[#This Row],[Institution Name]])</f>
        <v>0</v>
      </c>
      <c r="L39" s="217" t="str">
        <f>IF(VLOOKUP(RestResearch[[#This Row],[Institution Name]],InputResearch[],217,FALSE)=0,"",VLOOKUP(RestResearch[[#This Row],[Institution Name]],InputResearch[],217,FALSE))</f>
        <v>Research Scholarships</v>
      </c>
      <c r="M39" s="112">
        <f>SUMIFS(InputResearch[Adj1],InputResearch[Institution Name],RestResearch[[#This Row],[Institution Name]])</f>
        <v>314831</v>
      </c>
      <c r="N39" s="218" t="str">
        <f>IF(VLOOKUP(RestResearch[[#This Row],[Institution Name]],InputResearch[],218,FALSE)=0,"",VLOOKUP(RestResearch[[#This Row],[Institution Name]],InputResearch[],218,FALSE))</f>
        <v/>
      </c>
      <c r="O39" s="112">
        <f>SUMIFS(InputResearch[Adj2],InputResearch[Institution Name],RestResearch[[#This Row],[Institution Name]])</f>
        <v>0</v>
      </c>
      <c r="P39" s="218" t="str">
        <f>IF(VLOOKUP(RestResearch[[#This Row],[Institution Name]],InputResearch[],219,FALSE)=0,"",VLOOKUP(RestResearch[[#This Row],[Institution Name]],InputResearch[],219,FALSE))</f>
        <v/>
      </c>
      <c r="Q39" s="112">
        <f>SUMIFS(InputResearch[Adj3],InputResearch[Institution Name],RestResearch[[#This Row],[Institution Name]])</f>
        <v>0</v>
      </c>
      <c r="R39"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2110972</v>
      </c>
      <c r="S39" s="220"/>
    </row>
    <row r="40" spans="1:19" s="67" customFormat="1" ht="15">
      <c r="A40" s="67" t="s">
        <v>51</v>
      </c>
      <c r="B40" s="68">
        <f>VLOOKUP(RestResearch[[#This Row],[Institution Name]],InputResearch[],3,FALSE)</f>
        <v>360</v>
      </c>
      <c r="C40" s="69">
        <v>3642</v>
      </c>
      <c r="D40" s="112">
        <f>SUMIFS(InputResearch[SRECNP Res. Exp.],InputResearch[Institution Name],RestResearch[[#This Row],[Institution Name]])</f>
        <v>8389416</v>
      </c>
      <c r="E40" s="112">
        <f>SUMIFS(InputResearch[Res. Not From Rest. Res. Fnd Group],InputResearch[Institution Name],RestResearch[[#This Row],[Institution Name]])</f>
        <v>-1915994</v>
      </c>
      <c r="F40" s="112">
        <f>SUMIFS(InputResearch[Cap Outlay],InputResearch[Institution Name],RestResearch[[#This Row],[Institution Name]])</f>
        <v>0</v>
      </c>
      <c r="G40" s="112">
        <f>SUM(RestResearch[[#This Row],[Total R&amp;D as Reported 
on SRECNP]:[Capital Outlay for 
Restricted Funds 
Programs Coded Research]])</f>
        <v>6473422</v>
      </c>
      <c r="H40" s="112">
        <f>SUMIFS(InputResearch[Exp. Not SAM],InputResearch[Institution Name],RestResearch[[#This Row],[Institution Name]])</f>
        <v>0</v>
      </c>
      <c r="I40" s="112">
        <f>SUMIFS(InputResearch[Hackerman],InputResearch[Institution Name],RestResearch[[#This Row],[Institution Name]])</f>
        <v>0</v>
      </c>
      <c r="J40" s="112">
        <f>SUMIFS(InputResearch[Federal PT],InputResearch[Institution Name],RestResearch[[#This Row],[Institution Name]])</f>
        <v>0</v>
      </c>
      <c r="K40" s="112">
        <f>SUMIFS(InputResearch[State PT],InputResearch[Institution Name],RestResearch[[#This Row],[Institution Name]])</f>
        <v>0</v>
      </c>
      <c r="L40" s="217" t="str">
        <f>IF(VLOOKUP(RestResearch[[#This Row],[Institution Name]],InputResearch[],217,FALSE)=0,"",VLOOKUP(RestResearch[[#This Row],[Institution Name]],InputResearch[],217,FALSE))</f>
        <v>N/A</v>
      </c>
      <c r="M40" s="112">
        <f>SUMIFS(InputResearch[Adj1],InputResearch[Institution Name],RestResearch[[#This Row],[Institution Name]])</f>
        <v>0</v>
      </c>
      <c r="N40" s="218" t="str">
        <f>IF(VLOOKUP(RestResearch[[#This Row],[Institution Name]],InputResearch[],218,FALSE)=0,"",VLOOKUP(RestResearch[[#This Row],[Institution Name]],InputResearch[],218,FALSE))</f>
        <v>N/A</v>
      </c>
      <c r="O40" s="112">
        <f>SUMIFS(InputResearch[Adj2],InputResearch[Institution Name],RestResearch[[#This Row],[Institution Name]])</f>
        <v>0</v>
      </c>
      <c r="P40" s="218" t="str">
        <f>IF(VLOOKUP(RestResearch[[#This Row],[Institution Name]],InputResearch[],219,FALSE)=0,"",VLOOKUP(RestResearch[[#This Row],[Institution Name]],InputResearch[],219,FALSE))</f>
        <v>N/A</v>
      </c>
      <c r="Q40" s="112">
        <f>SUMIFS(InputResearch[Adj3],InputResearch[Institution Name],RestResearch[[#This Row],[Institution Name]])</f>
        <v>0</v>
      </c>
      <c r="R40"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6473422</v>
      </c>
      <c r="S40" s="220"/>
    </row>
    <row r="41" spans="1:19" s="67" customFormat="1" ht="15">
      <c r="A41" s="67" t="s">
        <v>52</v>
      </c>
      <c r="B41" s="68">
        <f>VLOOKUP(RestResearch[[#This Row],[Institution Name]],InputResearch[],3,FALSE)</f>
        <v>370</v>
      </c>
      <c r="C41" s="69">
        <v>3646</v>
      </c>
      <c r="D41" s="112">
        <f>SUMIFS(InputResearch[SRECNP Res. Exp.],InputResearch[Institution Name],RestResearch[[#This Row],[Institution Name]])</f>
        <v>6557064</v>
      </c>
      <c r="E41" s="112">
        <f>SUMIFS(InputResearch[Res. Not From Rest. Res. Fnd Group],InputResearch[Institution Name],RestResearch[[#This Row],[Institution Name]])</f>
        <v>-2281537</v>
      </c>
      <c r="F41" s="112">
        <f>SUMIFS(InputResearch[Cap Outlay],InputResearch[Institution Name],RestResearch[[#This Row],[Institution Name]])</f>
        <v>130334</v>
      </c>
      <c r="G41" s="112">
        <f>SUM(RestResearch[[#This Row],[Total R&amp;D as Reported 
on SRECNP]:[Capital Outlay for 
Restricted Funds 
Programs Coded Research]])</f>
        <v>4405861</v>
      </c>
      <c r="H41" s="112">
        <f>SUMIFS(InputResearch[Exp. Not SAM],InputResearch[Institution Name],RestResearch[[#This Row],[Institution Name]])</f>
        <v>0</v>
      </c>
      <c r="I41" s="112">
        <f>SUMIFS(InputResearch[Hackerman],InputResearch[Institution Name],RestResearch[[#This Row],[Institution Name]])</f>
        <v>0</v>
      </c>
      <c r="J41" s="112">
        <f>SUMIFS(InputResearch[Federal PT],InputResearch[Institution Name],RestResearch[[#This Row],[Institution Name]])</f>
        <v>0</v>
      </c>
      <c r="K41" s="112">
        <f>SUMIFS(InputResearch[State PT],InputResearch[Institution Name],RestResearch[[#This Row],[Institution Name]])</f>
        <v>0</v>
      </c>
      <c r="L41" s="217" t="str">
        <f>IF(VLOOKUP(RestResearch[[#This Row],[Institution Name]],InputResearch[],217,FALSE)=0,"",VLOOKUP(RestResearch[[#This Row],[Institution Name]],InputResearch[],217,FALSE))</f>
        <v>IDT's expense</v>
      </c>
      <c r="M41" s="112">
        <f>SUMIFS(InputResearch[Adj1],InputResearch[Institution Name],RestResearch[[#This Row],[Institution Name]])</f>
        <v>9448</v>
      </c>
      <c r="N41" s="218" t="str">
        <f>IF(VLOOKUP(RestResearch[[#This Row],[Institution Name]],InputResearch[],218,FALSE)=0,"",VLOOKUP(RestResearch[[#This Row],[Institution Name]],InputResearch[],218,FALSE))</f>
        <v/>
      </c>
      <c r="O41" s="112">
        <f>SUMIFS(InputResearch[Adj2],InputResearch[Institution Name],RestResearch[[#This Row],[Institution Name]])</f>
        <v>0</v>
      </c>
      <c r="P41" s="218" t="str">
        <f>IF(VLOOKUP(RestResearch[[#This Row],[Institution Name]],InputResearch[],219,FALSE)=0,"",VLOOKUP(RestResearch[[#This Row],[Institution Name]],InputResearch[],219,FALSE))</f>
        <v/>
      </c>
      <c r="Q41" s="112">
        <f>SUMIFS(InputResearch[Adj3],InputResearch[Institution Name],RestResearch[[#This Row],[Institution Name]])</f>
        <v>0</v>
      </c>
      <c r="R41" s="306">
        <f>SUM(RestResearch[[#This Row],[Total R&amp;D as Reported 
on SRECNP]],RestResearch[[#This Row],[Research Expenditures 
not from Restricted 
Funds Groups]],RestResearch[[#This Row],[Capital Outlay for 
Restricted Funds 
Programs Coded Research]],RestResearch[[#This Row],[Amounts Not Meeting 
Restricted Research 
Standards]],RestResearch[[#This Row],[Federal 
Pass-Throughs]],RestResearch[[#This Row],[State 
Pass-Throughs]],RestResearch[[#This Row],[Amount - Adj.1 ]],RestResearch[[#This Row],[Amount - Adj.2]],RestResearch[[#This Row],[Amount - Adj.3]])</f>
        <v>4415309</v>
      </c>
      <c r="S41" s="220"/>
    </row>
    <row r="42" spans="1:19" s="67" customFormat="1" ht="15">
      <c r="B42" s="68"/>
      <c r="C42" s="69"/>
      <c r="D42" s="307">
        <f>SUBTOTAL(109,RestResearch[Total R&amp;D as Reported 
on SRECNP])</f>
        <v>2950525122</v>
      </c>
      <c r="E42" s="307">
        <f>SUBTOTAL(109,RestResearch[Research Expenditures 
not from Restricted 
Funds Groups])</f>
        <v>-738113227</v>
      </c>
      <c r="F42" s="307">
        <f>SUBTOTAL(109,RestResearch[Capital Outlay for 
Restricted Funds 
Programs Coded Research])</f>
        <v>-8702180</v>
      </c>
      <c r="G42" s="307">
        <f>SUBTOTAL(109,RestResearch[Restricted Research 
including Capital 
Outlay from the AFR])</f>
        <v>2203709715</v>
      </c>
      <c r="H42" s="307">
        <f>SUBTOTAL(109,RestResearch[Amounts Not Meeting 
Restricted Research 
Standards])</f>
        <v>-55957853</v>
      </c>
      <c r="I42" s="307">
        <f>SUBTOTAL(109,RestResearch[Expenditures from the 
Norman Hackerman 
Advanced Research Program])</f>
        <v>0</v>
      </c>
      <c r="J42" s="307">
        <f>SUBTOTAL(109,RestResearch[Federal 
Pass-Throughs])</f>
        <v>-6951046</v>
      </c>
      <c r="K42" s="307">
        <f>SUBTOTAL(109,RestResearch[State 
Pass-Throughs])</f>
        <v>-768633</v>
      </c>
      <c r="L42" s="307"/>
      <c r="M42" s="307">
        <f>SUBTOTAL(109,RestResearch[Amount - Adj.1 ])</f>
        <v>-2950955</v>
      </c>
      <c r="N42" s="307"/>
      <c r="O42" s="307">
        <f>SUBTOTAL(109,RestResearch[Amount - Adj.2])</f>
        <v>-811979</v>
      </c>
      <c r="P42" s="307"/>
      <c r="Q42" s="307">
        <f>SUBTOTAL(109,RestResearch[Amount - Adj.3])</f>
        <v>69729</v>
      </c>
      <c r="R42" s="307">
        <f>SUBTOTAL(109,RestResearch[Total Restricted 
Research Expenditures])</f>
        <v>2136338978</v>
      </c>
      <c r="S42" s="220"/>
    </row>
    <row r="43" spans="1:19" s="66" customFormat="1" ht="15">
      <c r="A43" s="98"/>
      <c r="B43" s="214"/>
      <c r="C43" s="98"/>
      <c r="D43" s="98"/>
      <c r="E43" s="98"/>
      <c r="F43" s="98"/>
      <c r="G43" s="98"/>
      <c r="H43" s="98"/>
      <c r="I43" s="98"/>
      <c r="J43" s="98"/>
      <c r="K43" s="98"/>
      <c r="L43" s="98"/>
      <c r="M43" s="98"/>
      <c r="N43" s="98"/>
      <c r="O43" s="98"/>
      <c r="P43" s="98"/>
      <c r="Q43" s="98"/>
      <c r="R43" s="98"/>
      <c r="S43" s="220"/>
    </row>
    <row r="44" spans="1:19" s="66" customFormat="1" ht="15">
      <c r="A44" s="98"/>
      <c r="B44" s="214"/>
      <c r="C44" s="98"/>
      <c r="D44" s="98"/>
      <c r="E44" s="98"/>
      <c r="F44" s="98"/>
      <c r="G44" s="98"/>
      <c r="H44" s="98"/>
      <c r="I44" s="98"/>
      <c r="J44" s="98"/>
      <c r="K44" s="98"/>
      <c r="L44" s="98"/>
      <c r="M44" s="98"/>
      <c r="N44" s="98"/>
      <c r="O44" s="98"/>
      <c r="P44" s="98"/>
      <c r="Q44" s="98"/>
      <c r="R44" s="98"/>
      <c r="S44" s="220"/>
    </row>
    <row r="45" spans="1:19" s="66" customFormat="1" ht="33" customHeight="1">
      <c r="A45" s="439" t="s">
        <v>989</v>
      </c>
      <c r="B45" s="440"/>
      <c r="C45" s="440"/>
      <c r="D45" s="440"/>
      <c r="E45" s="440"/>
      <c r="F45" s="440"/>
      <c r="G45" s="440"/>
      <c r="H45" s="440"/>
      <c r="I45" s="440"/>
      <c r="J45" s="440"/>
      <c r="K45" s="440"/>
      <c r="L45" s="440"/>
      <c r="M45" s="440"/>
      <c r="N45" s="440"/>
      <c r="O45" s="440"/>
      <c r="P45" s="440"/>
      <c r="Q45" s="440"/>
      <c r="R45" s="440"/>
      <c r="S45" s="220"/>
    </row>
    <row r="46" spans="1:19" s="66" customFormat="1" ht="17.399999999999999">
      <c r="A46" s="438">
        <f>Hidden!$A$4</f>
        <v>45412</v>
      </c>
      <c r="B46" s="438"/>
      <c r="C46" s="438"/>
      <c r="D46" s="438"/>
      <c r="E46" s="438"/>
      <c r="F46" s="438"/>
      <c r="G46" s="438"/>
      <c r="H46" s="438"/>
      <c r="I46" s="438"/>
      <c r="J46" s="438"/>
      <c r="K46" s="438"/>
      <c r="L46" s="438"/>
      <c r="M46" s="438"/>
      <c r="N46" s="438"/>
      <c r="O46" s="438"/>
      <c r="P46" s="438"/>
      <c r="Q46" s="438"/>
      <c r="R46" s="438"/>
      <c r="S46" s="220"/>
    </row>
    <row r="47" spans="1:19" s="66" customFormat="1" ht="15">
      <c r="A47" s="98"/>
      <c r="B47" s="214"/>
      <c r="C47" s="98"/>
      <c r="D47" s="98"/>
      <c r="E47" s="98"/>
      <c r="F47" s="98"/>
      <c r="G47" s="98"/>
      <c r="H47" s="98"/>
      <c r="I47" s="98"/>
      <c r="J47" s="98"/>
      <c r="K47" s="98"/>
      <c r="L47" s="98"/>
      <c r="M47" s="98"/>
      <c r="N47" s="98"/>
      <c r="O47" s="98"/>
      <c r="P47" s="98"/>
      <c r="Q47" s="98"/>
      <c r="R47" s="98"/>
      <c r="S47" s="220"/>
    </row>
    <row r="48" spans="1:19" s="66" customFormat="1" ht="42">
      <c r="A48" s="346" t="s">
        <v>1</v>
      </c>
      <c r="B48" s="347" t="s">
        <v>889</v>
      </c>
      <c r="C48" s="348" t="s">
        <v>2</v>
      </c>
      <c r="D48" s="348" t="s">
        <v>901</v>
      </c>
      <c r="E48" s="348" t="s">
        <v>896</v>
      </c>
      <c r="F48" s="348" t="s">
        <v>897</v>
      </c>
      <c r="G48" s="348" t="s">
        <v>898</v>
      </c>
      <c r="H48" s="348" t="s">
        <v>899</v>
      </c>
      <c r="I48" s="348" t="s">
        <v>900</v>
      </c>
      <c r="J48" s="348" t="s">
        <v>730</v>
      </c>
      <c r="K48" s="348" t="s">
        <v>731</v>
      </c>
      <c r="L48" s="348" t="s">
        <v>729</v>
      </c>
      <c r="M48" s="348" t="s">
        <v>698</v>
      </c>
      <c r="N48" s="348" t="s">
        <v>728</v>
      </c>
      <c r="O48" s="348" t="s">
        <v>700</v>
      </c>
      <c r="P48" s="348" t="s">
        <v>727</v>
      </c>
      <c r="Q48" s="348" t="s">
        <v>699</v>
      </c>
      <c r="R48" s="348" t="s">
        <v>726</v>
      </c>
      <c r="S48" s="220"/>
    </row>
    <row r="49" spans="1:19" s="66" customFormat="1" ht="15">
      <c r="A49" s="93" t="s">
        <v>27</v>
      </c>
      <c r="B49" s="228">
        <v>130</v>
      </c>
      <c r="C49" s="284">
        <v>3632</v>
      </c>
      <c r="D49" s="112">
        <f>SUMIFS(InputResearch[SRECNP Res. Exp.],InputResearch[Institution Name],RestResearchTAMUSS[[#This Row],[Institution Name]])</f>
        <v>278099857</v>
      </c>
      <c r="E49" s="112">
        <f>SUMIFS(InputResearch[Res. Not From Rest. Res. Fnd Group],InputResearch[Institution Name],RestResearchTAMUSS[[#This Row],[Institution Name]])</f>
        <v>0</v>
      </c>
      <c r="F49" s="112">
        <f>SUMIFS(InputResearch[Cap Outlay],InputResearch[Institution Name],RestResearchTAMUSS[[#This Row],[Institution Name]])</f>
        <v>0</v>
      </c>
      <c r="G49" s="112">
        <f>SUM(RestResearchTAMUSS[[#This Row],[Total R&amp;D as Reported 
on SRECNP]:[Capital Outlay for 
Restricted Funds 
Programs Coded Research]])</f>
        <v>278099857</v>
      </c>
      <c r="H49" s="112">
        <f>SUMIFS(InputResearch[Exp. Not SAM],InputResearch[Institution Name],RestResearchTAMUSS[[#This Row],[Institution Name]])</f>
        <v>0</v>
      </c>
      <c r="I49" s="112">
        <f>SUMIFS(InputResearch[Hackerman],InputResearch[Institution Name],RestResearchTAMUSS[[#This Row],[Institution Name]])</f>
        <v>0</v>
      </c>
      <c r="J49" s="112">
        <f>SUMIFS(InputResearch[Federal PT],InputResearch[Institution Name],RestResearchTAMUSS[[#This Row],[Institution Name]])</f>
        <v>0</v>
      </c>
      <c r="K49" s="112">
        <f>SUMIFS(InputResearch[State PT],InputResearch[Institution Name],RestResearchTAMUSS[[#This Row],[Institution Name]])</f>
        <v>0</v>
      </c>
      <c r="L49" s="112" t="str">
        <f>IF(VLOOKUP(RestResearchTAMUSS[[#This Row],[Institution Name]],InputResearch[],217,FALSE)=0,"",VLOOKUP(RestResearchTAMUSS[[#This Row],[Institution Name]],InputResearch[],217,FALSE))</f>
        <v>N/A</v>
      </c>
      <c r="M49" s="112">
        <f>SUMIFS(InputResearch[Adj1],InputResearch[Institution Name],RestResearchTAMUSS[[#This Row],[Institution Name]])</f>
        <v>0</v>
      </c>
      <c r="N49" s="112" t="str">
        <f>IF(VLOOKUP(RestResearchTAMUSS[[#This Row],[Institution Name]],InputResearch[],218,FALSE)=0,"",VLOOKUP(RestResearchTAMUSS[[#This Row],[Institution Name]],InputResearch[],218,FALSE))</f>
        <v>N/A</v>
      </c>
      <c r="O49" s="112">
        <f>SUMIFS(InputResearch[Adj2],InputResearch[Institution Name],RestResearchTAMUSS[[#This Row],[Institution Name]])</f>
        <v>0</v>
      </c>
      <c r="P49" s="112" t="str">
        <f>IF(VLOOKUP(RestResearchTAMUSS[[#This Row],[Institution Name]],InputResearch[],219,FALSE)=0,"",VLOOKUP(RestResearchTAMUSS[[#This Row],[Institution Name]],InputResearch[],219,FALSE))</f>
        <v>N/A</v>
      </c>
      <c r="Q49" s="112">
        <f>SUMIFS(InputResearch[Adj3],InputResearch[Institution Name],RestResearchTAMUSS[[#This Row],[Institution Name]])</f>
        <v>0</v>
      </c>
      <c r="R49" s="112">
        <f>SUM(RestResearchTAMUSS[[#This Row],[Total R&amp;D as Reported 
on SRECNP]],RestResearchTAMUSS[[#This Row],[Research Expenditures 
not from Restricted 
Funds Groups]],RestResearchTAMUSS[[#This Row],[Capital Outlay for 
Restricted Funds 
Programs Coded Research]],RestResearchTAMUSS[[#This Row],[Amounts Not Meeting 
Restricted Research 
Standards]],RestResearchTAMUSS[[#This Row],[Federal 
Pass-Throughs]],RestResearchTAMUSS[[#This Row],[State 
Pass-Throughs]],RestResearchTAMUSS[[#This Row],[Amount - Adj.1 ]],RestResearchTAMUSS[[#This Row],[Amount - Adj.2]],RestResearchTAMUSS[[#This Row],[Amount - Adj.3]])</f>
        <v>278099857</v>
      </c>
      <c r="S49" s="220"/>
    </row>
    <row r="50" spans="1:19" s="66" customFormat="1" ht="15">
      <c r="A50" s="93" t="s">
        <v>54</v>
      </c>
      <c r="B50" s="228">
        <v>605</v>
      </c>
      <c r="C50" s="284">
        <v>555</v>
      </c>
      <c r="D50" s="112">
        <f>SUMIFS(InputResearch[SRECNP Res. Exp.],InputResearch[Institution Name],RestResearchTAMUSS[[#This Row],[Institution Name]])</f>
        <v>1622057</v>
      </c>
      <c r="E50" s="112">
        <f>SUMIFS(InputResearch[Res. Not From Rest. Res. Fnd Group],InputResearch[Institution Name],RestResearchTAMUSS[[#This Row],[Institution Name]])</f>
        <v>0</v>
      </c>
      <c r="F50" s="112">
        <f>SUMIFS(InputResearch[Cap Outlay],InputResearch[Institution Name],RestResearchTAMUSS[[#This Row],[Institution Name]])</f>
        <v>0</v>
      </c>
      <c r="G50" s="112">
        <f>SUM(RestResearchTAMUSS[[#This Row],[Total R&amp;D as Reported 
on SRECNP]:[Capital Outlay for 
Restricted Funds 
Programs Coded Research]])</f>
        <v>1622057</v>
      </c>
      <c r="H50" s="112">
        <f>SUMIFS(InputResearch[Exp. Not SAM],InputResearch[Institution Name],RestResearchTAMUSS[[#This Row],[Institution Name]])</f>
        <v>0</v>
      </c>
      <c r="I50" s="112">
        <f>SUMIFS(InputResearch[Hackerman],InputResearch[Institution Name],RestResearchTAMUSS[[#This Row],[Institution Name]])</f>
        <v>0</v>
      </c>
      <c r="J50" s="112">
        <f>SUMIFS(InputResearch[Federal PT],InputResearch[Institution Name],RestResearchTAMUSS[[#This Row],[Institution Name]])</f>
        <v>0</v>
      </c>
      <c r="K50" s="112">
        <f>SUMIFS(InputResearch[State PT],InputResearch[Institution Name],RestResearchTAMUSS[[#This Row],[Institution Name]])</f>
        <v>0</v>
      </c>
      <c r="L50" s="112" t="str">
        <f>IF(VLOOKUP(RestResearchTAMUSS[[#This Row],[Institution Name]],InputResearch[],217,FALSE)=0,"",VLOOKUP(RestResearchTAMUSS[[#This Row],[Institution Name]],InputResearch[],217,FALSE))</f>
        <v>N/A</v>
      </c>
      <c r="M50" s="112">
        <f>SUMIFS(InputResearch[Adj1],InputResearch[Institution Name],RestResearchTAMUSS[[#This Row],[Institution Name]])</f>
        <v>0</v>
      </c>
      <c r="N50" s="112" t="str">
        <f>IF(VLOOKUP(RestResearchTAMUSS[[#This Row],[Institution Name]],InputResearch[],218,FALSE)=0,"",VLOOKUP(RestResearchTAMUSS[[#This Row],[Institution Name]],InputResearch[],218,FALSE))</f>
        <v>N/A</v>
      </c>
      <c r="O50" s="112">
        <f>SUMIFS(InputResearch[Adj2],InputResearch[Institution Name],RestResearchTAMUSS[[#This Row],[Institution Name]])</f>
        <v>0</v>
      </c>
      <c r="P50" s="112" t="str">
        <f>IF(VLOOKUP(RestResearchTAMUSS[[#This Row],[Institution Name]],InputResearch[],219,FALSE)=0,"",VLOOKUP(RestResearchTAMUSS[[#This Row],[Institution Name]],InputResearch[],219,FALSE))</f>
        <v>N/A</v>
      </c>
      <c r="Q50" s="112">
        <f>SUMIFS(InputResearch[Adj3],InputResearch[Institution Name],RestResearchTAMUSS[[#This Row],[Institution Name]])</f>
        <v>0</v>
      </c>
      <c r="R50" s="112">
        <f>SUM(RestResearchTAMUSS[[#This Row],[Total R&amp;D as Reported 
on SRECNP]],RestResearchTAMUSS[[#This Row],[Research Expenditures 
not from Restricted 
Funds Groups]],RestResearchTAMUSS[[#This Row],[Capital Outlay for 
Restricted Funds 
Programs Coded Research]],RestResearchTAMUSS[[#This Row],[Amounts Not Meeting 
Restricted Research 
Standards]],RestResearchTAMUSS[[#This Row],[Federal 
Pass-Throughs]],RestResearchTAMUSS[[#This Row],[State 
Pass-Throughs]],RestResearchTAMUSS[[#This Row],[Amount - Adj.1 ]],RestResearchTAMUSS[[#This Row],[Amount - Adj.2]],RestResearchTAMUSS[[#This Row],[Amount - Adj.3]])</f>
        <v>1622057</v>
      </c>
      <c r="S50" s="220"/>
    </row>
    <row r="51" spans="1:19" s="66" customFormat="1" ht="15">
      <c r="A51" s="93" t="s">
        <v>53</v>
      </c>
      <c r="B51" s="228">
        <v>600</v>
      </c>
      <c r="C51" s="284">
        <v>556</v>
      </c>
      <c r="D51" s="112">
        <f>SUMIFS(InputResearch[SRECNP Res. Exp.],InputResearch[Institution Name],RestResearchTAMUSS[[#This Row],[Institution Name]])</f>
        <v>232223591</v>
      </c>
      <c r="E51" s="112">
        <f>SUMIFS(InputResearch[Res. Not From Rest. Res. Fnd Group],InputResearch[Institution Name],RestResearchTAMUSS[[#This Row],[Institution Name]])</f>
        <v>0</v>
      </c>
      <c r="F51" s="112">
        <f>SUMIFS(InputResearch[Cap Outlay],InputResearch[Institution Name],RestResearchTAMUSS[[#This Row],[Institution Name]])</f>
        <v>0</v>
      </c>
      <c r="G51" s="112">
        <f>SUM(RestResearchTAMUSS[[#This Row],[Total R&amp;D as Reported 
on SRECNP]:[Capital Outlay for 
Restricted Funds 
Programs Coded Research]])</f>
        <v>232223591</v>
      </c>
      <c r="H51" s="112">
        <f>SUMIFS(InputResearch[Exp. Not SAM],InputResearch[Institution Name],RestResearchTAMUSS[[#This Row],[Institution Name]])</f>
        <v>0</v>
      </c>
      <c r="I51" s="112">
        <f>SUMIFS(InputResearch[Hackerman],InputResearch[Institution Name],RestResearchTAMUSS[[#This Row],[Institution Name]])</f>
        <v>0</v>
      </c>
      <c r="J51" s="112">
        <f>SUMIFS(InputResearch[Federal PT],InputResearch[Institution Name],RestResearchTAMUSS[[#This Row],[Institution Name]])</f>
        <v>0</v>
      </c>
      <c r="K51" s="112">
        <f>SUMIFS(InputResearch[State PT],InputResearch[Institution Name],RestResearchTAMUSS[[#This Row],[Institution Name]])</f>
        <v>0</v>
      </c>
      <c r="L51" s="112" t="str">
        <f>IF(VLOOKUP(RestResearchTAMUSS[[#This Row],[Institution Name]],InputResearch[],217,FALSE)=0,"",VLOOKUP(RestResearchTAMUSS[[#This Row],[Institution Name]],InputResearch[],217,FALSE))</f>
        <v>N/A</v>
      </c>
      <c r="M51" s="112">
        <f>SUMIFS(InputResearch[Adj1],InputResearch[Institution Name],RestResearchTAMUSS[[#This Row],[Institution Name]])</f>
        <v>0</v>
      </c>
      <c r="N51" s="112" t="str">
        <f>IF(VLOOKUP(RestResearchTAMUSS[[#This Row],[Institution Name]],InputResearch[],218,FALSE)=0,"",VLOOKUP(RestResearchTAMUSS[[#This Row],[Institution Name]],InputResearch[],218,FALSE))</f>
        <v>N/A</v>
      </c>
      <c r="O51" s="112">
        <f>SUMIFS(InputResearch[Adj2],InputResearch[Institution Name],RestResearchTAMUSS[[#This Row],[Institution Name]])</f>
        <v>0</v>
      </c>
      <c r="P51" s="112" t="str">
        <f>IF(VLOOKUP(RestResearchTAMUSS[[#This Row],[Institution Name]],InputResearch[],219,FALSE)=0,"",VLOOKUP(RestResearchTAMUSS[[#This Row],[Institution Name]],InputResearch[],219,FALSE))</f>
        <v>N/A</v>
      </c>
      <c r="Q51" s="112">
        <f>SUMIFS(InputResearch[Adj3],InputResearch[Institution Name],RestResearchTAMUSS[[#This Row],[Institution Name]])</f>
        <v>0</v>
      </c>
      <c r="R51" s="112">
        <f>SUM(RestResearchTAMUSS[[#This Row],[Total R&amp;D as Reported 
on SRECNP]],RestResearchTAMUSS[[#This Row],[Research Expenditures 
not from Restricted 
Funds Groups]],RestResearchTAMUSS[[#This Row],[Capital Outlay for 
Restricted Funds 
Programs Coded Research]],RestResearchTAMUSS[[#This Row],[Amounts Not Meeting 
Restricted Research 
Standards]],RestResearchTAMUSS[[#This Row],[Federal 
Pass-Throughs]],RestResearchTAMUSS[[#This Row],[State 
Pass-Throughs]],RestResearchTAMUSS[[#This Row],[Amount - Adj.1 ]],RestResearchTAMUSS[[#This Row],[Amount - Adj.2]],RestResearchTAMUSS[[#This Row],[Amount - Adj.3]])</f>
        <v>232223591</v>
      </c>
      <c r="S51" s="220"/>
    </row>
    <row r="52" spans="1:19" s="66" customFormat="1" ht="15">
      <c r="A52" s="93" t="s">
        <v>55</v>
      </c>
      <c r="B52" s="228">
        <v>610</v>
      </c>
      <c r="C52" s="284">
        <v>712</v>
      </c>
      <c r="D52" s="112">
        <f>SUMIFS(InputResearch[SRECNP Res. Exp.],InputResearch[Institution Name],RestResearchTAMUSS[[#This Row],[Institution Name]])</f>
        <v>226168330</v>
      </c>
      <c r="E52" s="112">
        <f>SUMIFS(InputResearch[Res. Not From Rest. Res. Fnd Group],InputResearch[Institution Name],RestResearchTAMUSS[[#This Row],[Institution Name]])</f>
        <v>0</v>
      </c>
      <c r="F52" s="112">
        <f>SUMIFS(InputResearch[Cap Outlay],InputResearch[Institution Name],RestResearchTAMUSS[[#This Row],[Institution Name]])</f>
        <v>0</v>
      </c>
      <c r="G52" s="112">
        <f>SUM(RestResearchTAMUSS[[#This Row],[Total R&amp;D as Reported 
on SRECNP]:[Capital Outlay for 
Restricted Funds 
Programs Coded Research]])</f>
        <v>226168330</v>
      </c>
      <c r="H52" s="112">
        <f>SUMIFS(InputResearch[Exp. Not SAM],InputResearch[Institution Name],RestResearchTAMUSS[[#This Row],[Institution Name]])</f>
        <v>0</v>
      </c>
      <c r="I52" s="112">
        <f>SUMIFS(InputResearch[Hackerman],InputResearch[Institution Name],RestResearchTAMUSS[[#This Row],[Institution Name]])</f>
        <v>0</v>
      </c>
      <c r="J52" s="112">
        <f>SUMIFS(InputResearch[Federal PT],InputResearch[Institution Name],RestResearchTAMUSS[[#This Row],[Institution Name]])</f>
        <v>0</v>
      </c>
      <c r="K52" s="112">
        <f>SUMIFS(InputResearch[State PT],InputResearch[Institution Name],RestResearchTAMUSS[[#This Row],[Institution Name]])</f>
        <v>0</v>
      </c>
      <c r="L52" s="112" t="str">
        <f>IF(VLOOKUP(RestResearchTAMUSS[[#This Row],[Institution Name]],InputResearch[],217,FALSE)=0,"",VLOOKUP(RestResearchTAMUSS[[#This Row],[Institution Name]],InputResearch[],217,FALSE))</f>
        <v>N/A</v>
      </c>
      <c r="M52" s="112">
        <f>SUMIFS(InputResearch[Adj1],InputResearch[Institution Name],RestResearchTAMUSS[[#This Row],[Institution Name]])</f>
        <v>0</v>
      </c>
      <c r="N52" s="112" t="str">
        <f>IF(VLOOKUP(RestResearchTAMUSS[[#This Row],[Institution Name]],InputResearch[],218,FALSE)=0,"",VLOOKUP(RestResearchTAMUSS[[#This Row],[Institution Name]],InputResearch[],218,FALSE))</f>
        <v>N/A</v>
      </c>
      <c r="O52" s="112">
        <f>SUMIFS(InputResearch[Adj2],InputResearch[Institution Name],RestResearchTAMUSS[[#This Row],[Institution Name]])</f>
        <v>0</v>
      </c>
      <c r="P52" s="112" t="str">
        <f>IF(VLOOKUP(RestResearchTAMUSS[[#This Row],[Institution Name]],InputResearch[],219,FALSE)=0,"",VLOOKUP(RestResearchTAMUSS[[#This Row],[Institution Name]],InputResearch[],219,FALSE))</f>
        <v>N/A</v>
      </c>
      <c r="Q52" s="112">
        <f>SUMIFS(InputResearch[Adj3],InputResearch[Institution Name],RestResearchTAMUSS[[#This Row],[Institution Name]])</f>
        <v>0</v>
      </c>
      <c r="R52" s="112">
        <f>SUM(RestResearchTAMUSS[[#This Row],[Total R&amp;D as Reported 
on SRECNP]],RestResearchTAMUSS[[#This Row],[Research Expenditures 
not from Restricted 
Funds Groups]],RestResearchTAMUSS[[#This Row],[Capital Outlay for 
Restricted Funds 
Programs Coded Research]],RestResearchTAMUSS[[#This Row],[Amounts Not Meeting 
Restricted Research 
Standards]],RestResearchTAMUSS[[#This Row],[Federal 
Pass-Throughs]],RestResearchTAMUSS[[#This Row],[State 
Pass-Throughs]],RestResearchTAMUSS[[#This Row],[Amount - Adj.1 ]],RestResearchTAMUSS[[#This Row],[Amount - Adj.2]],RestResearchTAMUSS[[#This Row],[Amount - Adj.3]])</f>
        <v>226168330</v>
      </c>
      <c r="S52" s="220"/>
    </row>
    <row r="53" spans="1:19" s="66" customFormat="1" ht="15">
      <c r="A53" s="93" t="s">
        <v>56</v>
      </c>
      <c r="B53" s="228">
        <v>615</v>
      </c>
      <c r="C53" s="284">
        <v>716</v>
      </c>
      <c r="D53" s="112">
        <f>SUMIFS(InputResearch[SRECNP Res. Exp.],InputResearch[Institution Name],RestResearchTAMUSS[[#This Row],[Institution Name]])</f>
        <v>0</v>
      </c>
      <c r="E53" s="112">
        <f>SUMIFS(InputResearch[Res. Not From Rest. Res. Fnd Group],InputResearch[Institution Name],RestResearchTAMUSS[[#This Row],[Institution Name]])</f>
        <v>0</v>
      </c>
      <c r="F53" s="112">
        <f>SUMIFS(InputResearch[Cap Outlay],InputResearch[Institution Name],RestResearchTAMUSS[[#This Row],[Institution Name]])</f>
        <v>0</v>
      </c>
      <c r="G53" s="112">
        <f>SUM(RestResearchTAMUSS[[#This Row],[Total R&amp;D as Reported 
on SRECNP]:[Capital Outlay for 
Restricted Funds 
Programs Coded Research]])</f>
        <v>0</v>
      </c>
      <c r="H53" s="112">
        <f>SUMIFS(InputResearch[Exp. Not SAM],InputResearch[Institution Name],RestResearchTAMUSS[[#This Row],[Institution Name]])</f>
        <v>0</v>
      </c>
      <c r="I53" s="112">
        <f>SUMIFS(InputResearch[Hackerman],InputResearch[Institution Name],RestResearchTAMUSS[[#This Row],[Institution Name]])</f>
        <v>0</v>
      </c>
      <c r="J53" s="112">
        <f>SUMIFS(InputResearch[Federal PT],InputResearch[Institution Name],RestResearchTAMUSS[[#This Row],[Institution Name]])</f>
        <v>0</v>
      </c>
      <c r="K53" s="112">
        <f>SUMIFS(InputResearch[State PT],InputResearch[Institution Name],RestResearchTAMUSS[[#This Row],[Institution Name]])</f>
        <v>0</v>
      </c>
      <c r="L53" s="112" t="str">
        <f>IF(VLOOKUP(RestResearchTAMUSS[[#This Row],[Institution Name]],InputResearch[],217,FALSE)=0,"",VLOOKUP(RestResearchTAMUSS[[#This Row],[Institution Name]],InputResearch[],217,FALSE))</f>
        <v>N/A</v>
      </c>
      <c r="M53" s="112">
        <f>SUMIFS(InputResearch[Adj1],InputResearch[Institution Name],RestResearchTAMUSS[[#This Row],[Institution Name]])</f>
        <v>0</v>
      </c>
      <c r="N53" s="112" t="str">
        <f>IF(VLOOKUP(RestResearchTAMUSS[[#This Row],[Institution Name]],InputResearch[],218,FALSE)=0,"",VLOOKUP(RestResearchTAMUSS[[#This Row],[Institution Name]],InputResearch[],218,FALSE))</f>
        <v>N/A</v>
      </c>
      <c r="O53" s="112">
        <f>SUMIFS(InputResearch[Adj2],InputResearch[Institution Name],RestResearchTAMUSS[[#This Row],[Institution Name]])</f>
        <v>0</v>
      </c>
      <c r="P53" s="112" t="str">
        <f>IF(VLOOKUP(RestResearchTAMUSS[[#This Row],[Institution Name]],InputResearch[],219,FALSE)=0,"",VLOOKUP(RestResearchTAMUSS[[#This Row],[Institution Name]],InputResearch[],219,FALSE))</f>
        <v>N/A</v>
      </c>
      <c r="Q53" s="112">
        <f>SUMIFS(InputResearch[Adj3],InputResearch[Institution Name],RestResearchTAMUSS[[#This Row],[Institution Name]])</f>
        <v>0</v>
      </c>
      <c r="R53" s="112">
        <f>SUM(RestResearchTAMUSS[[#This Row],[Total R&amp;D as Reported 
on SRECNP]],RestResearchTAMUSS[[#This Row],[Research Expenditures 
not from Restricted 
Funds Groups]],RestResearchTAMUSS[[#This Row],[Capital Outlay for 
Restricted Funds 
Programs Coded Research]],RestResearchTAMUSS[[#This Row],[Amounts Not Meeting 
Restricted Research 
Standards]],RestResearchTAMUSS[[#This Row],[Federal 
Pass-Throughs]],RestResearchTAMUSS[[#This Row],[State 
Pass-Throughs]],RestResearchTAMUSS[[#This Row],[Amount - Adj.1 ]],RestResearchTAMUSS[[#This Row],[Amount - Adj.2]],RestResearchTAMUSS[[#This Row],[Amount - Adj.3]])</f>
        <v>0</v>
      </c>
      <c r="S53" s="220"/>
    </row>
    <row r="54" spans="1:19" s="66" customFormat="1" ht="15">
      <c r="A54" s="93" t="s">
        <v>57</v>
      </c>
      <c r="B54" s="228">
        <v>620</v>
      </c>
      <c r="C54" s="284">
        <v>576</v>
      </c>
      <c r="D54" s="112">
        <f>SUMIFS(InputResearch[SRECNP Res. Exp.],InputResearch[Institution Name],RestResearchTAMUSS[[#This Row],[Institution Name]])</f>
        <v>2665482</v>
      </c>
      <c r="E54" s="112">
        <f>SUMIFS(InputResearch[Res. Not From Rest. Res. Fnd Group],InputResearch[Institution Name],RestResearchTAMUSS[[#This Row],[Institution Name]])</f>
        <v>0</v>
      </c>
      <c r="F54" s="112">
        <f>SUMIFS(InputResearch[Cap Outlay],InputResearch[Institution Name],RestResearchTAMUSS[[#This Row],[Institution Name]])</f>
        <v>0</v>
      </c>
      <c r="G54" s="112">
        <f>SUM(RestResearchTAMUSS[[#This Row],[Total R&amp;D as Reported 
on SRECNP]:[Capital Outlay for 
Restricted Funds 
Programs Coded Research]])</f>
        <v>2665482</v>
      </c>
      <c r="H54" s="112">
        <f>SUMIFS(InputResearch[Exp. Not SAM],InputResearch[Institution Name],RestResearchTAMUSS[[#This Row],[Institution Name]])</f>
        <v>0</v>
      </c>
      <c r="I54" s="112">
        <f>SUMIFS(InputResearch[Hackerman],InputResearch[Institution Name],RestResearchTAMUSS[[#This Row],[Institution Name]])</f>
        <v>0</v>
      </c>
      <c r="J54" s="112">
        <f>SUMIFS(InputResearch[Federal PT],InputResearch[Institution Name],RestResearchTAMUSS[[#This Row],[Institution Name]])</f>
        <v>0</v>
      </c>
      <c r="K54" s="112">
        <f>SUMIFS(InputResearch[State PT],InputResearch[Institution Name],RestResearchTAMUSS[[#This Row],[Institution Name]])</f>
        <v>0</v>
      </c>
      <c r="L54" s="112" t="str">
        <f>IF(VLOOKUP(RestResearchTAMUSS[[#This Row],[Institution Name]],InputResearch[],217,FALSE)=0,"",VLOOKUP(RestResearchTAMUSS[[#This Row],[Institution Name]],InputResearch[],217,FALSE))</f>
        <v>N/A</v>
      </c>
      <c r="M54" s="112">
        <f>SUMIFS(InputResearch[Adj1],InputResearch[Institution Name],RestResearchTAMUSS[[#This Row],[Institution Name]])</f>
        <v>0</v>
      </c>
      <c r="N54" s="112" t="str">
        <f>IF(VLOOKUP(RestResearchTAMUSS[[#This Row],[Institution Name]],InputResearch[],218,FALSE)=0,"",VLOOKUP(RestResearchTAMUSS[[#This Row],[Institution Name]],InputResearch[],218,FALSE))</f>
        <v>N/A</v>
      </c>
      <c r="O54" s="112">
        <f>SUMIFS(InputResearch[Adj2],InputResearch[Institution Name],RestResearchTAMUSS[[#This Row],[Institution Name]])</f>
        <v>0</v>
      </c>
      <c r="P54" s="112" t="str">
        <f>IF(VLOOKUP(RestResearchTAMUSS[[#This Row],[Institution Name]],InputResearch[],219,FALSE)=0,"",VLOOKUP(RestResearchTAMUSS[[#This Row],[Institution Name]],InputResearch[],219,FALSE))</f>
        <v>N/A</v>
      </c>
      <c r="Q54" s="112">
        <f>SUMIFS(InputResearch[Adj3],InputResearch[Institution Name],RestResearchTAMUSS[[#This Row],[Institution Name]])</f>
        <v>0</v>
      </c>
      <c r="R54" s="112">
        <f>SUM(RestResearchTAMUSS[[#This Row],[Total R&amp;D as Reported 
on SRECNP]],RestResearchTAMUSS[[#This Row],[Research Expenditures 
not from Restricted 
Funds Groups]],RestResearchTAMUSS[[#This Row],[Capital Outlay for 
Restricted Funds 
Programs Coded Research]],RestResearchTAMUSS[[#This Row],[Amounts Not Meeting 
Restricted Research 
Standards]],RestResearchTAMUSS[[#This Row],[Federal 
Pass-Throughs]],RestResearchTAMUSS[[#This Row],[State 
Pass-Throughs]],RestResearchTAMUSS[[#This Row],[Amount - Adj.1 ]],RestResearchTAMUSS[[#This Row],[Amount - Adj.2]],RestResearchTAMUSS[[#This Row],[Amount - Adj.3]])</f>
        <v>2665482</v>
      </c>
      <c r="S54" s="220"/>
    </row>
    <row r="55" spans="1:19" s="66" customFormat="1" ht="15">
      <c r="A55" s="93" t="s">
        <v>61</v>
      </c>
      <c r="B55" s="228">
        <v>650</v>
      </c>
      <c r="C55" s="284">
        <v>708</v>
      </c>
      <c r="D55" s="112">
        <f>SUMIFS(InputResearch[SRECNP Res. Exp.],InputResearch[Institution Name],RestResearchTAMUSS[[#This Row],[Institution Name]])</f>
        <v>8637471</v>
      </c>
      <c r="E55" s="112">
        <f>SUMIFS(InputResearch[Res. Not From Rest. Res. Fnd Group],InputResearch[Institution Name],RestResearchTAMUSS[[#This Row],[Institution Name]])</f>
        <v>0</v>
      </c>
      <c r="F55" s="112">
        <f>SUMIFS(InputResearch[Cap Outlay],InputResearch[Institution Name],RestResearchTAMUSS[[#This Row],[Institution Name]])</f>
        <v>0</v>
      </c>
      <c r="G55" s="112">
        <f>SUM(RestResearchTAMUSS[[#This Row],[Total R&amp;D as Reported 
on SRECNP]:[Capital Outlay for 
Restricted Funds 
Programs Coded Research]])</f>
        <v>8637471</v>
      </c>
      <c r="H55" s="112">
        <f>SUMIFS(InputResearch[Exp. Not SAM],InputResearch[Institution Name],RestResearchTAMUSS[[#This Row],[Institution Name]])</f>
        <v>0</v>
      </c>
      <c r="I55" s="112">
        <f>SUMIFS(InputResearch[Hackerman],InputResearch[Institution Name],RestResearchTAMUSS[[#This Row],[Institution Name]])</f>
        <v>0</v>
      </c>
      <c r="J55" s="112">
        <f>SUMIFS(InputResearch[Federal PT],InputResearch[Institution Name],RestResearchTAMUSS[[#This Row],[Institution Name]])</f>
        <v>0</v>
      </c>
      <c r="K55" s="112">
        <f>SUMIFS(InputResearch[State PT],InputResearch[Institution Name],RestResearchTAMUSS[[#This Row],[Institution Name]])</f>
        <v>0</v>
      </c>
      <c r="L55" s="112" t="str">
        <f>IF(VLOOKUP(RestResearchTAMUSS[[#This Row],[Institution Name]],InputResearch[],217,FALSE)=0,"",VLOOKUP(RestResearchTAMUSS[[#This Row],[Institution Name]],InputResearch[],217,FALSE))</f>
        <v>N/A</v>
      </c>
      <c r="M55" s="112">
        <f>SUMIFS(InputResearch[Adj1],InputResearch[Institution Name],RestResearchTAMUSS[[#This Row],[Institution Name]])</f>
        <v>0</v>
      </c>
      <c r="N55" s="112" t="str">
        <f>IF(VLOOKUP(RestResearchTAMUSS[[#This Row],[Institution Name]],InputResearch[],218,FALSE)=0,"",VLOOKUP(RestResearchTAMUSS[[#This Row],[Institution Name]],InputResearch[],218,FALSE))</f>
        <v>N/A</v>
      </c>
      <c r="O55" s="112">
        <f>SUMIFS(InputResearch[Adj2],InputResearch[Institution Name],RestResearchTAMUSS[[#This Row],[Institution Name]])</f>
        <v>0</v>
      </c>
      <c r="P55" s="112" t="str">
        <f>IF(VLOOKUP(RestResearchTAMUSS[[#This Row],[Institution Name]],InputResearch[],219,FALSE)=0,"",VLOOKUP(RestResearchTAMUSS[[#This Row],[Institution Name]],InputResearch[],219,FALSE))</f>
        <v>N/A</v>
      </c>
      <c r="Q55" s="112">
        <f>SUMIFS(InputResearch[Adj3],InputResearch[Institution Name],RestResearchTAMUSS[[#This Row],[Institution Name]])</f>
        <v>0</v>
      </c>
      <c r="R55" s="112">
        <f>SUM(RestResearchTAMUSS[[#This Row],[Total R&amp;D as Reported 
on SRECNP]],RestResearchTAMUSS[[#This Row],[Research Expenditures 
not from Restricted 
Funds Groups]],RestResearchTAMUSS[[#This Row],[Capital Outlay for 
Restricted Funds 
Programs Coded Research]],RestResearchTAMUSS[[#This Row],[Amounts Not Meeting 
Restricted Research 
Standards]],RestResearchTAMUSS[[#This Row],[Federal 
Pass-Throughs]],RestResearchTAMUSS[[#This Row],[State 
Pass-Throughs]],RestResearchTAMUSS[[#This Row],[Amount - Adj.1 ]],RestResearchTAMUSS[[#This Row],[Amount - Adj.2]],RestResearchTAMUSS[[#This Row],[Amount - Adj.3]])</f>
        <v>8637471</v>
      </c>
      <c r="S55" s="220"/>
    </row>
    <row r="56" spans="1:19" s="66" customFormat="1" ht="15">
      <c r="A56" s="93" t="s">
        <v>58</v>
      </c>
      <c r="B56" s="228">
        <v>625</v>
      </c>
      <c r="C56" s="284">
        <v>727</v>
      </c>
      <c r="D56" s="112">
        <f>SUMIFS(InputResearch[SRECNP Res. Exp.],InputResearch[Institution Name],RestResearchTAMUSS[[#This Row],[Institution Name]])</f>
        <v>92402690</v>
      </c>
      <c r="E56" s="112">
        <f>SUMIFS(InputResearch[Res. Not From Rest. Res. Fnd Group],InputResearch[Institution Name],RestResearchTAMUSS[[#This Row],[Institution Name]])</f>
        <v>0</v>
      </c>
      <c r="F56" s="112">
        <f>SUMIFS(InputResearch[Cap Outlay],InputResearch[Institution Name],RestResearchTAMUSS[[#This Row],[Institution Name]])</f>
        <v>0</v>
      </c>
      <c r="G56" s="112">
        <f>SUM(RestResearchTAMUSS[[#This Row],[Total R&amp;D as Reported 
on SRECNP]:[Capital Outlay for 
Restricted Funds 
Programs Coded Research]])</f>
        <v>92402690</v>
      </c>
      <c r="H56" s="112">
        <f>SUMIFS(InputResearch[Exp. Not SAM],InputResearch[Institution Name],RestResearchTAMUSS[[#This Row],[Institution Name]])</f>
        <v>0</v>
      </c>
      <c r="I56" s="112">
        <f>SUMIFS(InputResearch[Hackerman],InputResearch[Institution Name],RestResearchTAMUSS[[#This Row],[Institution Name]])</f>
        <v>0</v>
      </c>
      <c r="J56" s="112">
        <f>SUMIFS(InputResearch[Federal PT],InputResearch[Institution Name],RestResearchTAMUSS[[#This Row],[Institution Name]])</f>
        <v>0</v>
      </c>
      <c r="K56" s="112">
        <f>SUMIFS(InputResearch[State PT],InputResearch[Institution Name],RestResearchTAMUSS[[#This Row],[Institution Name]])</f>
        <v>0</v>
      </c>
      <c r="L56" s="112" t="str">
        <f>IF(VLOOKUP(RestResearchTAMUSS[[#This Row],[Institution Name]],InputResearch[],217,FALSE)=0,"",VLOOKUP(RestResearchTAMUSS[[#This Row],[Institution Name]],InputResearch[],217,FALSE))</f>
        <v>N/A</v>
      </c>
      <c r="M56" s="112">
        <f>SUMIFS(InputResearch[Adj1],InputResearch[Institution Name],RestResearchTAMUSS[[#This Row],[Institution Name]])</f>
        <v>0</v>
      </c>
      <c r="N56" s="112" t="str">
        <f>IF(VLOOKUP(RestResearchTAMUSS[[#This Row],[Institution Name]],InputResearch[],218,FALSE)=0,"",VLOOKUP(RestResearchTAMUSS[[#This Row],[Institution Name]],InputResearch[],218,FALSE))</f>
        <v>N/A</v>
      </c>
      <c r="O56" s="112">
        <f>SUMIFS(InputResearch[Adj2],InputResearch[Institution Name],RestResearchTAMUSS[[#This Row],[Institution Name]])</f>
        <v>0</v>
      </c>
      <c r="P56" s="112" t="str">
        <f>IF(VLOOKUP(RestResearchTAMUSS[[#This Row],[Institution Name]],InputResearch[],219,FALSE)=0,"",VLOOKUP(RestResearchTAMUSS[[#This Row],[Institution Name]],InputResearch[],219,FALSE))</f>
        <v>N/A</v>
      </c>
      <c r="Q56" s="112">
        <f>SUMIFS(InputResearch[Adj3],InputResearch[Institution Name],RestResearchTAMUSS[[#This Row],[Institution Name]])</f>
        <v>0</v>
      </c>
      <c r="R56" s="112">
        <f>SUM(RestResearchTAMUSS[[#This Row],[Total R&amp;D as Reported 
on SRECNP]],RestResearchTAMUSS[[#This Row],[Research Expenditures 
not from Restricted 
Funds Groups]],RestResearchTAMUSS[[#This Row],[Capital Outlay for 
Restricted Funds 
Programs Coded Research]],RestResearchTAMUSS[[#This Row],[Amounts Not Meeting 
Restricted Research 
Standards]],RestResearchTAMUSS[[#This Row],[Federal 
Pass-Throughs]],RestResearchTAMUSS[[#This Row],[State 
Pass-Throughs]],RestResearchTAMUSS[[#This Row],[Amount - Adj.1 ]],RestResearchTAMUSS[[#This Row],[Amount - Adj.2]],RestResearchTAMUSS[[#This Row],[Amount - Adj.3]])</f>
        <v>92402690</v>
      </c>
      <c r="S56" s="220"/>
    </row>
    <row r="57" spans="1:19" s="66" customFormat="1" ht="15">
      <c r="A57" s="93" t="s">
        <v>829</v>
      </c>
      <c r="B57" s="228" t="s">
        <v>651</v>
      </c>
      <c r="C57" s="284">
        <v>3629</v>
      </c>
      <c r="D57" s="112">
        <f>SUMIFS(InputResearch[SRECNP Res. Exp.],InputResearch[Institution Name],RestResearchTAMUSS[[#This Row],[Institution Name]])</f>
        <v>0</v>
      </c>
      <c r="E57" s="112">
        <f>SUMIFS(InputResearch[Res. Not From Rest. Res. Fnd Group],InputResearch[Institution Name],RestResearchTAMUSS[[#This Row],[Institution Name]])</f>
        <v>0</v>
      </c>
      <c r="F57" s="112">
        <f>SUMIFS(InputResearch[Cap Outlay],InputResearch[Institution Name],RestResearchTAMUSS[[#This Row],[Institution Name]])</f>
        <v>0</v>
      </c>
      <c r="G57" s="112">
        <f>SUM(RestResearchTAMUSS[[#This Row],[Total R&amp;D as Reported 
on SRECNP]:[Capital Outlay for 
Restricted Funds 
Programs Coded Research]])</f>
        <v>0</v>
      </c>
      <c r="H57" s="112">
        <f>SUMIFS(InputResearch[Exp. Not SAM],InputResearch[Institution Name],RestResearchTAMUSS[[#This Row],[Institution Name]])</f>
        <v>0</v>
      </c>
      <c r="I57" s="112">
        <f>SUMIFS(InputResearch[Hackerman],InputResearch[Institution Name],RestResearchTAMUSS[[#This Row],[Institution Name]])</f>
        <v>0</v>
      </c>
      <c r="J57" s="112">
        <f>SUMIFS(InputResearch[Federal PT],InputResearch[Institution Name],RestResearchTAMUSS[[#This Row],[Institution Name]])</f>
        <v>0</v>
      </c>
      <c r="K57" s="112">
        <f>SUMIFS(InputResearch[State PT],InputResearch[Institution Name],RestResearchTAMUSS[[#This Row],[Institution Name]])</f>
        <v>0</v>
      </c>
      <c r="L57" s="112" t="str">
        <f>IF(VLOOKUP(RestResearchTAMUSS[[#This Row],[Institution Name]],InputResearch[],217,FALSE)=0,"",VLOOKUP(RestResearchTAMUSS[[#This Row],[Institution Name]],InputResearch[],217,FALSE))</f>
        <v>N/A</v>
      </c>
      <c r="M57" s="112">
        <f>SUMIFS(InputResearch[Adj1],InputResearch[Institution Name],RestResearchTAMUSS[[#This Row],[Institution Name]])</f>
        <v>0</v>
      </c>
      <c r="N57" s="112" t="str">
        <f>IF(VLOOKUP(RestResearchTAMUSS[[#This Row],[Institution Name]],InputResearch[],218,FALSE)=0,"",VLOOKUP(RestResearchTAMUSS[[#This Row],[Institution Name]],InputResearch[],218,FALSE))</f>
        <v>N/A</v>
      </c>
      <c r="O57" s="112">
        <f>SUMIFS(InputResearch[Adj2],InputResearch[Institution Name],RestResearchTAMUSS[[#This Row],[Institution Name]])</f>
        <v>0</v>
      </c>
      <c r="P57" s="112" t="str">
        <f>IF(VLOOKUP(RestResearchTAMUSS[[#This Row],[Institution Name]],InputResearch[],219,FALSE)=0,"",VLOOKUP(RestResearchTAMUSS[[#This Row],[Institution Name]],InputResearch[],219,FALSE))</f>
        <v>N/A</v>
      </c>
      <c r="Q57" s="112">
        <f>SUMIFS(InputResearch[Adj3],InputResearch[Institution Name],RestResearchTAMUSS[[#This Row],[Institution Name]])</f>
        <v>0</v>
      </c>
      <c r="R57" s="112">
        <f>SUM(RestResearchTAMUSS[[#This Row],[Total R&amp;D as Reported 
on SRECNP]],RestResearchTAMUSS[[#This Row],[Research Expenditures 
not from Restricted 
Funds Groups]],RestResearchTAMUSS[[#This Row],[Capital Outlay for 
Restricted Funds 
Programs Coded Research]],RestResearchTAMUSS[[#This Row],[Amounts Not Meeting 
Restricted Research 
Standards]],RestResearchTAMUSS[[#This Row],[Federal 
Pass-Throughs]],RestResearchTAMUSS[[#This Row],[State 
Pass-Throughs]],RestResearchTAMUSS[[#This Row],[Amount - Adj.1 ]],RestResearchTAMUSS[[#This Row],[Amount - Adj.2]],RestResearchTAMUSS[[#This Row],[Amount - Adj.3]])</f>
        <v>0</v>
      </c>
      <c r="S57" s="220"/>
    </row>
    <row r="58" spans="1:19" s="66" customFormat="1" ht="15">
      <c r="A58" s="93" t="s">
        <v>59</v>
      </c>
      <c r="B58" s="228">
        <v>630</v>
      </c>
      <c r="C58" s="284">
        <v>557</v>
      </c>
      <c r="D58" s="112">
        <f>SUMIFS(InputResearch[SRECNP Res. Exp.],InputResearch[Institution Name],RestResearchTAMUSS[[#This Row],[Institution Name]])</f>
        <v>542396</v>
      </c>
      <c r="E58" s="112">
        <f>SUMIFS(InputResearch[Res. Not From Rest. Res. Fnd Group],InputResearch[Institution Name],RestResearchTAMUSS[[#This Row],[Institution Name]])</f>
        <v>0</v>
      </c>
      <c r="F58" s="112">
        <f>SUMIFS(InputResearch[Cap Outlay],InputResearch[Institution Name],RestResearchTAMUSS[[#This Row],[Institution Name]])</f>
        <v>0</v>
      </c>
      <c r="G58" s="112">
        <f>SUM(RestResearchTAMUSS[[#This Row],[Total R&amp;D as Reported 
on SRECNP]:[Capital Outlay for 
Restricted Funds 
Programs Coded Research]])</f>
        <v>542396</v>
      </c>
      <c r="H58" s="112">
        <f>SUMIFS(InputResearch[Exp. Not SAM],InputResearch[Institution Name],RestResearchTAMUSS[[#This Row],[Institution Name]])</f>
        <v>0</v>
      </c>
      <c r="I58" s="112">
        <f>SUMIFS(InputResearch[Hackerman],InputResearch[Institution Name],RestResearchTAMUSS[[#This Row],[Institution Name]])</f>
        <v>0</v>
      </c>
      <c r="J58" s="112">
        <f>SUMIFS(InputResearch[Federal PT],InputResearch[Institution Name],RestResearchTAMUSS[[#This Row],[Institution Name]])</f>
        <v>0</v>
      </c>
      <c r="K58" s="112">
        <f>SUMIFS(InputResearch[State PT],InputResearch[Institution Name],RestResearchTAMUSS[[#This Row],[Institution Name]])</f>
        <v>0</v>
      </c>
      <c r="L58" s="112" t="str">
        <f>IF(VLOOKUP(RestResearchTAMUSS[[#This Row],[Institution Name]],InputResearch[],217,FALSE)=0,"",VLOOKUP(RestResearchTAMUSS[[#This Row],[Institution Name]],InputResearch[],217,FALSE))</f>
        <v>N/A</v>
      </c>
      <c r="M58" s="112">
        <f>SUMIFS(InputResearch[Adj1],InputResearch[Institution Name],RestResearchTAMUSS[[#This Row],[Institution Name]])</f>
        <v>0</v>
      </c>
      <c r="N58" s="112" t="str">
        <f>IF(VLOOKUP(RestResearchTAMUSS[[#This Row],[Institution Name]],InputResearch[],218,FALSE)=0,"",VLOOKUP(RestResearchTAMUSS[[#This Row],[Institution Name]],InputResearch[],218,FALSE))</f>
        <v>N/A</v>
      </c>
      <c r="O58" s="112">
        <f>SUMIFS(InputResearch[Adj2],InputResearch[Institution Name],RestResearchTAMUSS[[#This Row],[Institution Name]])</f>
        <v>0</v>
      </c>
      <c r="P58" s="112" t="str">
        <f>IF(VLOOKUP(RestResearchTAMUSS[[#This Row],[Institution Name]],InputResearch[],219,FALSE)=0,"",VLOOKUP(RestResearchTAMUSS[[#This Row],[Institution Name]],InputResearch[],219,FALSE))</f>
        <v>N/A</v>
      </c>
      <c r="Q58" s="112">
        <f>SUMIFS(InputResearch[Adj3],InputResearch[Institution Name],RestResearchTAMUSS[[#This Row],[Institution Name]])</f>
        <v>0</v>
      </c>
      <c r="R58" s="112">
        <f>SUM(RestResearchTAMUSS[[#This Row],[Total R&amp;D as Reported 
on SRECNP]],RestResearchTAMUSS[[#This Row],[Research Expenditures 
not from Restricted 
Funds Groups]],RestResearchTAMUSS[[#This Row],[Capital Outlay for 
Restricted Funds 
Programs Coded Research]],RestResearchTAMUSS[[#This Row],[Amounts Not Meeting 
Restricted Research 
Standards]],RestResearchTAMUSS[[#This Row],[Federal 
Pass-Throughs]],RestResearchTAMUSS[[#This Row],[State 
Pass-Throughs]],RestResearchTAMUSS[[#This Row],[Amount - Adj.1 ]],RestResearchTAMUSS[[#This Row],[Amount - Adj.2]],RestResearchTAMUSS[[#This Row],[Amount - Adj.3]])</f>
        <v>542396</v>
      </c>
      <c r="S58" s="220"/>
    </row>
    <row r="59" spans="1:19" ht="15">
      <c r="A59" s="93" t="s">
        <v>60</v>
      </c>
      <c r="B59" s="228">
        <v>640</v>
      </c>
      <c r="C59" s="284">
        <v>575</v>
      </c>
      <c r="D59" s="112">
        <f>SUMIFS(InputResearch[SRECNP Res. Exp.],InputResearch[Institution Name],RestResearchTAMUSS[[#This Row],[Institution Name]])</f>
        <v>0</v>
      </c>
      <c r="E59" s="112">
        <f>SUMIFS(InputResearch[Res. Not From Rest. Res. Fnd Group],InputResearch[Institution Name],RestResearchTAMUSS[[#This Row],[Institution Name]])</f>
        <v>0</v>
      </c>
      <c r="F59" s="112">
        <f>SUMIFS(InputResearch[Cap Outlay],InputResearch[Institution Name],RestResearchTAMUSS[[#This Row],[Institution Name]])</f>
        <v>0</v>
      </c>
      <c r="G59" s="112">
        <f>SUM(RestResearchTAMUSS[[#This Row],[Total R&amp;D as Reported 
on SRECNP]:[Capital Outlay for 
Restricted Funds 
Programs Coded Research]])</f>
        <v>0</v>
      </c>
      <c r="H59" s="112">
        <f>SUMIFS(InputResearch[Exp. Not SAM],InputResearch[Institution Name],RestResearchTAMUSS[[#This Row],[Institution Name]])</f>
        <v>0</v>
      </c>
      <c r="I59" s="112">
        <f>SUMIFS(InputResearch[Hackerman],InputResearch[Institution Name],RestResearchTAMUSS[[#This Row],[Institution Name]])</f>
        <v>0</v>
      </c>
      <c r="J59" s="112">
        <f>SUMIFS(InputResearch[Federal PT],InputResearch[Institution Name],RestResearchTAMUSS[[#This Row],[Institution Name]])</f>
        <v>0</v>
      </c>
      <c r="K59" s="112">
        <f>SUMIFS(InputResearch[State PT],InputResearch[Institution Name],RestResearchTAMUSS[[#This Row],[Institution Name]])</f>
        <v>0</v>
      </c>
      <c r="L59" s="112" t="str">
        <f>IF(VLOOKUP(RestResearchTAMUSS[[#This Row],[Institution Name]],InputResearch[],217,FALSE)=0,"",VLOOKUP(RestResearchTAMUSS[[#This Row],[Institution Name]],InputResearch[],217,FALSE))</f>
        <v>N/A</v>
      </c>
      <c r="M59" s="112">
        <f>SUMIFS(InputResearch[Adj1],InputResearch[Institution Name],RestResearchTAMUSS[[#This Row],[Institution Name]])</f>
        <v>0</v>
      </c>
      <c r="N59" s="112" t="str">
        <f>IF(VLOOKUP(RestResearchTAMUSS[[#This Row],[Institution Name]],InputResearch[],218,FALSE)=0,"",VLOOKUP(RestResearchTAMUSS[[#This Row],[Institution Name]],InputResearch[],218,FALSE))</f>
        <v>N/A</v>
      </c>
      <c r="O59" s="112">
        <f>SUMIFS(InputResearch[Adj2],InputResearch[Institution Name],RestResearchTAMUSS[[#This Row],[Institution Name]])</f>
        <v>0</v>
      </c>
      <c r="P59" s="112" t="str">
        <f>IF(VLOOKUP(RestResearchTAMUSS[[#This Row],[Institution Name]],InputResearch[],219,FALSE)=0,"",VLOOKUP(RestResearchTAMUSS[[#This Row],[Institution Name]],InputResearch[],219,FALSE))</f>
        <v>N/A</v>
      </c>
      <c r="Q59" s="112">
        <f>SUMIFS(InputResearch[Adj3],InputResearch[Institution Name],RestResearchTAMUSS[[#This Row],[Institution Name]])</f>
        <v>0</v>
      </c>
      <c r="R59" s="112">
        <f>SUM(RestResearchTAMUSS[[#This Row],[Total R&amp;D as Reported 
on SRECNP]],RestResearchTAMUSS[[#This Row],[Research Expenditures 
not from Restricted 
Funds Groups]],RestResearchTAMUSS[[#This Row],[Capital Outlay for 
Restricted Funds 
Programs Coded Research]],RestResearchTAMUSS[[#This Row],[Amounts Not Meeting 
Restricted Research 
Standards]],RestResearchTAMUSS[[#This Row],[Federal 
Pass-Throughs]],RestResearchTAMUSS[[#This Row],[State 
Pass-Throughs]],RestResearchTAMUSS[[#This Row],[Amount - Adj.1 ]],RestResearchTAMUSS[[#This Row],[Amount - Adj.2]],RestResearchTAMUSS[[#This Row],[Amount - Adj.3]])</f>
        <v>0</v>
      </c>
      <c r="S59" s="220"/>
    </row>
    <row r="60" spans="1:19" ht="15">
      <c r="A60" s="349"/>
      <c r="B60" s="350"/>
      <c r="C60" s="351"/>
      <c r="D60" s="352">
        <f>SUBTOTAL(109,RestResearchTAMUSS[Total R&amp;D as Reported 
on SRECNP])</f>
        <v>842361874</v>
      </c>
      <c r="E60" s="352">
        <f>SUBTOTAL(109,RestResearchTAMUSS[Research Expenditures 
not from Restricted 
Funds Groups])</f>
        <v>0</v>
      </c>
      <c r="F60" s="352">
        <f>SUBTOTAL(109,RestResearchTAMUSS[Capital Outlay for 
Restricted Funds 
Programs Coded Research])</f>
        <v>0</v>
      </c>
      <c r="G60" s="352">
        <f>SUBTOTAL(109,RestResearchTAMUSS[Restricted Research 
including Capital 
Outlay from the AFR])</f>
        <v>842361874</v>
      </c>
      <c r="H60" s="352">
        <f>SUBTOTAL(109,RestResearchTAMUSS[Amounts Not Meeting 
Restricted Research 
Standards])</f>
        <v>0</v>
      </c>
      <c r="I60" s="352">
        <f>SUBTOTAL(109,RestResearchTAMUSS[Expenditures from the 
Norman Hackerman 
Advanced Research Program])</f>
        <v>0</v>
      </c>
      <c r="J60" s="352">
        <f>SUBTOTAL(109,RestResearchTAMUSS[Federal 
Pass-Throughs])</f>
        <v>0</v>
      </c>
      <c r="K60" s="352">
        <f>SUBTOTAL(109,RestResearchTAMUSS[State 
Pass-Throughs])</f>
        <v>0</v>
      </c>
      <c r="L60" s="352"/>
      <c r="M60" s="352">
        <f>SUBTOTAL(109,RestResearchTAMUSS[Amount - Adj.1 ])</f>
        <v>0</v>
      </c>
      <c r="N60" s="352"/>
      <c r="O60" s="352">
        <f>SUBTOTAL(109,RestResearchTAMUSS[Amount - Adj.2])</f>
        <v>0</v>
      </c>
      <c r="P60" s="352"/>
      <c r="Q60" s="352">
        <f>SUBTOTAL(109,RestResearchTAMUSS[Amount - Adj.3])</f>
        <v>0</v>
      </c>
      <c r="R60" s="352">
        <f>SUBTOTAL(109,RestResearchTAMUSS[Total Restricted 
Research Expenditures])</f>
        <v>842361874</v>
      </c>
      <c r="S60" s="220"/>
    </row>
    <row r="61" spans="1:19" ht="15">
      <c r="A61" s="98"/>
      <c r="B61" s="214"/>
      <c r="C61" s="98"/>
      <c r="D61" s="98"/>
      <c r="E61" s="98"/>
      <c r="F61" s="98"/>
      <c r="G61" s="98"/>
      <c r="H61" s="98"/>
      <c r="I61" s="98"/>
      <c r="J61" s="98"/>
      <c r="K61" s="98"/>
      <c r="L61" s="98"/>
      <c r="M61" s="98"/>
      <c r="N61" s="98"/>
      <c r="O61" s="98"/>
      <c r="P61" s="98"/>
      <c r="Q61" s="98"/>
      <c r="R61" s="98"/>
      <c r="S61" s="220"/>
    </row>
    <row r="62" spans="1:19" ht="15">
      <c r="A62" s="98"/>
      <c r="B62" s="214"/>
      <c r="C62" s="98"/>
      <c r="D62" s="98"/>
      <c r="E62" s="98"/>
      <c r="F62" s="98"/>
      <c r="G62" s="98"/>
      <c r="H62" s="98"/>
      <c r="I62" s="98"/>
      <c r="J62" s="98"/>
      <c r="K62" s="98"/>
      <c r="L62" s="98"/>
      <c r="M62" s="98"/>
      <c r="N62" s="98"/>
      <c r="O62" s="98"/>
      <c r="P62" s="98"/>
      <c r="Q62" s="98"/>
      <c r="R62" s="98"/>
      <c r="S62" s="220"/>
    </row>
  </sheetData>
  <sheetProtection algorithmName="SHA-512" hashValue="llvrXrfENlPoRG9aqOCBKP/rAbAgKNe6uVSFYxBS/qI5QK1RIyh9fLXSxYYtSyKhrjVdkANm5v6TqyfaC7yiwA==" saltValue="Pp4mEpjA/ygu4K+IvC0GKA==" spinCount="100000" sheet="1" objects="1" scenarios="1" formatColumns="0"/>
  <mergeCells count="5">
    <mergeCell ref="A1:Q1"/>
    <mergeCell ref="A2:R2"/>
    <mergeCell ref="A3:R3"/>
    <mergeCell ref="A45:R45"/>
    <mergeCell ref="A46:R46"/>
  </mergeCells>
  <phoneticPr fontId="7" type="noConversion"/>
  <printOptions horizontalCentered="1"/>
  <pageMargins left="0.5" right="0.5" top="0.75" bottom="0.5" header="0.5" footer="0.3"/>
  <pageSetup paperSize="5" scale="49" fitToHeight="0" orientation="landscape" r:id="rId1"/>
  <headerFooter>
    <oddHeader>&amp;C&amp;"-,Bold"&amp;18Summary of Restricted Research Expenditures - FY 2023</oddHeader>
    <oddFooter>&amp;RPrinted on:  &amp;D</oddFooter>
  </headerFooter>
  <drawing r:id="rId2"/>
  <legacyDrawing r:id="rId3"/>
  <tableParts count="2">
    <tablePart r:id="rId4"/>
    <tablePart r:id="rId5"/>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EF1BF-AE99-44EA-8488-FFBBDC35A9EF}">
  <sheetPr codeName="Sheet2">
    <tabColor theme="5"/>
    <pageSetUpPr fitToPage="1"/>
  </sheetPr>
  <dimension ref="A1:N103"/>
  <sheetViews>
    <sheetView zoomScale="85" zoomScaleNormal="85" workbookViewId="0">
      <pane ySplit="1" topLeftCell="A2" activePane="bottomLeft" state="frozen"/>
      <selection pane="bottomLeft" sqref="A1:F1"/>
    </sheetView>
  </sheetViews>
  <sheetFormatPr defaultColWidth="8.81640625" defaultRowHeight="15" outlineLevelCol="1"/>
  <cols>
    <col min="1" max="1" width="62.81640625" style="59" customWidth="1"/>
    <col min="2" max="2" width="9.1796875" style="59" hidden="1" customWidth="1" outlineLevel="1"/>
    <col min="3" max="3" width="10.6328125" style="59" hidden="1" customWidth="1" outlineLevel="1"/>
    <col min="4" max="4" width="18.81640625" style="59" customWidth="1" collapsed="1"/>
    <col min="5" max="7" width="18.81640625" style="59" customWidth="1"/>
    <col min="8" max="8" width="5.81640625" style="59" customWidth="1"/>
    <col min="9" max="11" width="14.90625" style="59" customWidth="1"/>
    <col min="12" max="12" width="8.81640625" style="59" customWidth="1"/>
    <col min="13" max="13" width="12.1796875" style="59" customWidth="1"/>
    <col min="14" max="16384" width="8.81640625" style="59"/>
  </cols>
  <sheetData>
    <row r="1" spans="1:8" ht="39.9" customHeight="1">
      <c r="A1" s="390" t="s">
        <v>855</v>
      </c>
      <c r="B1" s="390"/>
      <c r="C1" s="390"/>
      <c r="D1" s="390"/>
      <c r="E1" s="390"/>
      <c r="F1" s="390"/>
      <c r="G1" s="70"/>
      <c r="H1" s="70"/>
    </row>
    <row r="2" spans="1:8" ht="33" customHeight="1">
      <c r="A2" s="439" t="s">
        <v>645</v>
      </c>
      <c r="B2" s="440"/>
      <c r="C2" s="440"/>
      <c r="D2" s="440"/>
      <c r="E2" s="440"/>
      <c r="F2" s="440"/>
      <c r="G2" s="440"/>
      <c r="H2" s="70"/>
    </row>
    <row r="3" spans="1:8" ht="17.399999999999999">
      <c r="A3" s="438">
        <v>45378</v>
      </c>
      <c r="B3" s="438"/>
      <c r="C3" s="438"/>
      <c r="D3" s="438"/>
      <c r="E3" s="438"/>
      <c r="F3" s="438"/>
      <c r="G3" s="438"/>
      <c r="H3" s="70"/>
    </row>
    <row r="4" spans="1:8">
      <c r="A4" s="70"/>
      <c r="B4" s="70"/>
      <c r="C4" s="70"/>
      <c r="D4" s="70"/>
      <c r="E4" s="70"/>
      <c r="F4" s="70"/>
      <c r="G4" s="70"/>
      <c r="H4" s="70"/>
    </row>
    <row r="5" spans="1:8" ht="31.2">
      <c r="A5" s="71" t="s">
        <v>1</v>
      </c>
      <c r="B5" s="71" t="s">
        <v>889</v>
      </c>
      <c r="C5" s="72" t="s">
        <v>2</v>
      </c>
      <c r="D5" s="73" t="s">
        <v>746</v>
      </c>
      <c r="E5" s="73" t="s">
        <v>748</v>
      </c>
      <c r="F5" s="73" t="s">
        <v>747</v>
      </c>
      <c r="G5" s="73" t="s">
        <v>749</v>
      </c>
      <c r="H5" s="70"/>
    </row>
    <row r="6" spans="1:8">
      <c r="A6" s="59" t="s">
        <v>385</v>
      </c>
      <c r="B6" s="147">
        <f>VLOOKUP(SpaceModelHRI[[#This Row],[Institution Name]],InputResearch[],3,FALSE)</f>
        <v>390</v>
      </c>
      <c r="C6" s="74">
        <v>30</v>
      </c>
      <c r="D6" s="78">
        <f>SUMIFS(InputResearch[R&amp;D Exp - Inst foundation/501(c)(3)],InputResearch[Institution Name],SpaceModelHRI[[#This Row],[Institution Name]])</f>
        <v>30976222</v>
      </c>
      <c r="E6" s="78">
        <f>SUMIFS(InputResearch[Pass-Thru from other Texas A&amp;M members],InputResearch[Institution Name],SpaceModelHRI[[#This Row],[Institution Name]])</f>
        <v>0</v>
      </c>
      <c r="F6" s="78">
        <f>SUMIF(InputResearch[Institution Name],SpaceModelHRI[[#This Row],[Institution Name]],InputResearch[Res. Exp.])</f>
        <v>555410858</v>
      </c>
      <c r="G6" s="78">
        <f>SUMIF(InputResearch[Institution Name],SpaceModelHRI[[#This Row],[Institution Name]],InputResearch[E&amp;G Exp.])</f>
        <v>2290671956</v>
      </c>
      <c r="H6" s="70"/>
    </row>
    <row r="7" spans="1:8">
      <c r="A7" s="59" t="s">
        <v>386</v>
      </c>
      <c r="B7" s="147">
        <f>VLOOKUP(SpaceModelHRI[[#This Row],[Institution Name]],InputResearch[],3,FALSE)</f>
        <v>400</v>
      </c>
      <c r="C7" s="74">
        <v>104952</v>
      </c>
      <c r="D7" s="78">
        <f>SUMIFS(InputResearch[R&amp;D Exp - Inst foundation/501(c)(3)],InputResearch[Institution Name],SpaceModelHRI[[#This Row],[Institution Name]])</f>
        <v>0</v>
      </c>
      <c r="E7" s="78">
        <f>SUMIFS(InputResearch[Pass-Thru from other Texas A&amp;M members],InputResearch[Institution Name],SpaceModelHRI[[#This Row],[Institution Name]])</f>
        <v>0</v>
      </c>
      <c r="F7" s="78">
        <f>SUMIF(InputResearch[Institution Name],SpaceModelHRI[[#This Row],[Institution Name]],InputResearch[Res. Exp.])</f>
        <v>154809808</v>
      </c>
      <c r="G7" s="78">
        <f>SUMIF(InputResearch[Institution Name],SpaceModelHRI[[#This Row],[Institution Name]],InputResearch[E&amp;G Exp.])</f>
        <v>1070827654</v>
      </c>
      <c r="H7" s="70"/>
    </row>
    <row r="8" spans="1:8">
      <c r="A8" s="59" t="s">
        <v>387</v>
      </c>
      <c r="B8" s="147">
        <f>VLOOKUP(SpaceModelHRI[[#This Row],[Institution Name]],InputResearch[],3,FALSE)</f>
        <v>410</v>
      </c>
      <c r="C8" s="74">
        <v>11618</v>
      </c>
      <c r="D8" s="78">
        <f>SUMIFS(InputResearch[R&amp;D Exp - Inst foundation/501(c)(3)],InputResearch[Institution Name],SpaceModelHRI[[#This Row],[Institution Name]])</f>
        <v>0</v>
      </c>
      <c r="E8" s="78">
        <f>SUMIFS(InputResearch[Pass-Thru from other Texas A&amp;M members],InputResearch[Institution Name],SpaceModelHRI[[#This Row],[Institution Name]])</f>
        <v>0</v>
      </c>
      <c r="F8" s="78">
        <f>SUMIF(InputResearch[Institution Name],SpaceModelHRI[[#This Row],[Institution Name]],InputResearch[Res. Exp.])</f>
        <v>277248267</v>
      </c>
      <c r="G8" s="78">
        <f>SUMIF(InputResearch[Institution Name],SpaceModelHRI[[#This Row],[Institution Name]],InputResearch[E&amp;G Exp.])</f>
        <v>2111596026</v>
      </c>
      <c r="H8" s="70"/>
    </row>
    <row r="9" spans="1:8">
      <c r="A9" s="59" t="s">
        <v>388</v>
      </c>
      <c r="B9" s="147">
        <f>VLOOKUP(SpaceModelHRI[[#This Row],[Institution Name]],InputResearch[],3,FALSE)</f>
        <v>420</v>
      </c>
      <c r="C9" s="74">
        <v>40</v>
      </c>
      <c r="D9" s="78">
        <f>SUMIFS(InputResearch[R&amp;D Exp - Inst foundation/501(c)(3)],InputResearch[Institution Name],SpaceModelHRI[[#This Row],[Institution Name]])</f>
        <v>9111154</v>
      </c>
      <c r="E9" s="78">
        <f>SUMIFS(InputResearch[Pass-Thru from other Texas A&amp;M members],InputResearch[Institution Name],SpaceModelHRI[[#This Row],[Institution Name]])</f>
        <v>0</v>
      </c>
      <c r="F9" s="78">
        <f>SUMIF(InputResearch[Institution Name],SpaceModelHRI[[#This Row],[Institution Name]],InputResearch[Res. Exp.])</f>
        <v>215231518</v>
      </c>
      <c r="G9" s="78">
        <f>SUMIF(InputResearch[Institution Name],SpaceModelHRI[[#This Row],[Institution Name]],InputResearch[E&amp;G Exp.])</f>
        <v>1293813453</v>
      </c>
      <c r="H9" s="70"/>
    </row>
    <row r="10" spans="1:8">
      <c r="A10" s="59" t="s">
        <v>389</v>
      </c>
      <c r="B10" s="147">
        <f>VLOOKUP(SpaceModelHRI[[#This Row],[Institution Name]],InputResearch[],3,FALSE)</f>
        <v>430</v>
      </c>
      <c r="C10" s="74">
        <v>25554</v>
      </c>
      <c r="D10" s="78">
        <f>SUMIFS(InputResearch[R&amp;D Exp - Inst foundation/501(c)(3)],InputResearch[Institution Name],SpaceModelHRI[[#This Row],[Institution Name]])</f>
        <v>0</v>
      </c>
      <c r="E10" s="78">
        <f>SUMIFS(InputResearch[Pass-Thru from other Texas A&amp;M members],InputResearch[Institution Name],SpaceModelHRI[[#This Row],[Institution Name]])</f>
        <v>0</v>
      </c>
      <c r="F10" s="78">
        <f>SUMIF(InputResearch[Institution Name],SpaceModelHRI[[#This Row],[Institution Name]],InputResearch[Res. Exp.])</f>
        <v>1036819605</v>
      </c>
      <c r="G10" s="78">
        <f>SUMIF(InputResearch[Institution Name],SpaceModelHRI[[#This Row],[Institution Name]],InputResearch[E&amp;G Exp.])</f>
        <v>838823334</v>
      </c>
      <c r="H10" s="70"/>
    </row>
    <row r="11" spans="1:8">
      <c r="A11" s="59" t="s">
        <v>390</v>
      </c>
      <c r="B11" s="147">
        <f>VLOOKUP(SpaceModelHRI[[#This Row],[Institution Name]],InputResearch[],3,FALSE)</f>
        <v>440</v>
      </c>
      <c r="C11" s="74">
        <v>42439</v>
      </c>
      <c r="D11" s="78">
        <f>SUMIFS(InputResearch[R&amp;D Exp - Inst foundation/501(c)(3)],InputResearch[Institution Name],SpaceModelHRI[[#This Row],[Institution Name]])</f>
        <v>0</v>
      </c>
      <c r="E11" s="78">
        <f>SUMIFS(InputResearch[Pass-Thru from other Texas A&amp;M members],InputResearch[Institution Name],SpaceModelHRI[[#This Row],[Institution Name]])</f>
        <v>0</v>
      </c>
      <c r="F11" s="78">
        <f>SUMIF(InputResearch[Institution Name],SpaceModelHRI[[#This Row],[Institution Name]],InputResearch[Res. Exp.])</f>
        <v>24953389</v>
      </c>
      <c r="G11" s="78">
        <f>SUMIF(InputResearch[Institution Name],SpaceModelHRI[[#This Row],[Institution Name]],InputResearch[E&amp;G Exp.])</f>
        <v>183059986</v>
      </c>
      <c r="H11" s="70"/>
    </row>
    <row r="12" spans="1:8">
      <c r="A12" s="59" t="s">
        <v>391</v>
      </c>
      <c r="B12" s="147">
        <f>VLOOKUP(SpaceModelHRI[[#This Row],[Institution Name]],InputResearch[],3,FALSE)</f>
        <v>450</v>
      </c>
      <c r="C12" s="74">
        <v>89</v>
      </c>
      <c r="D12" s="78">
        <f>SUMIFS(InputResearch[R&amp;D Exp - Inst foundation/501(c)(3)],InputResearch[Institution Name],SpaceModelHRI[[#This Row],[Institution Name]])</f>
        <v>48549346</v>
      </c>
      <c r="E12" s="78">
        <f>SUMIFS(InputResearch[Pass-Thru from other Texas A&amp;M members],InputResearch[Institution Name],SpaceModelHRI[[#This Row],[Institution Name]])</f>
        <v>10131213</v>
      </c>
      <c r="F12" s="78">
        <f>SUMIF(InputResearch[Institution Name],SpaceModelHRI[[#This Row],[Institution Name]],InputResearch[Res. Exp.])</f>
        <v>98927584</v>
      </c>
      <c r="G12" s="78">
        <f>SUMIF(InputResearch[Institution Name],SpaceModelHRI[[#This Row],[Institution Name]],InputResearch[E&amp;G Exp.])</f>
        <v>375262440</v>
      </c>
      <c r="H12" s="70"/>
    </row>
    <row r="13" spans="1:8">
      <c r="A13" s="59" t="s">
        <v>392</v>
      </c>
      <c r="B13" s="147">
        <f>VLOOKUP(SpaceModelHRI[[#This Row],[Institution Name]],InputResearch[],3,FALSE)</f>
        <v>461</v>
      </c>
      <c r="C13" s="74">
        <v>130</v>
      </c>
      <c r="D13" s="78">
        <f>SUMIFS(InputResearch[R&amp;D Exp - Inst foundation/501(c)(3)],InputResearch[Institution Name],SpaceModelHRI[[#This Row],[Institution Name]])</f>
        <v>0</v>
      </c>
      <c r="E13" s="78">
        <f>SUMIFS(InputResearch[Pass-Thru from other Texas A&amp;M members],InputResearch[Institution Name],SpaceModelHRI[[#This Row],[Institution Name]])</f>
        <v>0</v>
      </c>
      <c r="F13" s="78">
        <f>SUMIF(InputResearch[Institution Name],SpaceModelHRI[[#This Row],[Institution Name]],InputResearch[Res. Exp.])</f>
        <v>68254788</v>
      </c>
      <c r="G13" s="78">
        <f>SUMIF(InputResearch[Institution Name],SpaceModelHRI[[#This Row],[Institution Name]],InputResearch[E&amp;G Exp.])</f>
        <v>287791774</v>
      </c>
      <c r="H13" s="70"/>
    </row>
    <row r="14" spans="1:8">
      <c r="A14" s="59" t="s">
        <v>393</v>
      </c>
      <c r="B14" s="147">
        <f>VLOOKUP(SpaceModelHRI[[#This Row],[Institution Name]],InputResearch[],3,FALSE)</f>
        <v>470</v>
      </c>
      <c r="C14" s="74">
        <v>412</v>
      </c>
      <c r="D14" s="78">
        <f>SUMIFS(InputResearch[R&amp;D Exp - Inst foundation/501(c)(3)],InputResearch[Institution Name],SpaceModelHRI[[#This Row],[Institution Name]])</f>
        <v>0</v>
      </c>
      <c r="E14" s="78">
        <f>SUMIFS(InputResearch[Pass-Thru from other Texas A&amp;M members],InputResearch[Institution Name],SpaceModelHRI[[#This Row],[Institution Name]])</f>
        <v>0</v>
      </c>
      <c r="F14" s="78">
        <f>SUMIF(InputResearch[Institution Name],SpaceModelHRI[[#This Row],[Institution Name]],InputResearch[Res. Exp.])</f>
        <v>43446251</v>
      </c>
      <c r="G14" s="78">
        <f>SUMIF(InputResearch[Institution Name],SpaceModelHRI[[#This Row],[Institution Name]],InputResearch[E&amp;G Exp.])</f>
        <v>673528600</v>
      </c>
      <c r="H14" s="70"/>
    </row>
    <row r="15" spans="1:8">
      <c r="A15" s="59" t="s">
        <v>394</v>
      </c>
      <c r="B15" s="147">
        <f>VLOOKUP(SpaceModelHRI[[#This Row],[Institution Name]],InputResearch[],3,FALSE)</f>
        <v>480</v>
      </c>
      <c r="C15" s="74">
        <v>862</v>
      </c>
      <c r="D15" s="78">
        <f>SUMIFS(InputResearch[R&amp;D Exp - Inst foundation/501(c)(3)],InputResearch[Institution Name],SpaceModelHRI[[#This Row],[Institution Name]])</f>
        <v>0</v>
      </c>
      <c r="E15" s="78">
        <f>SUMIFS(InputResearch[Pass-Thru from other Texas A&amp;M members],InputResearch[Institution Name],SpaceModelHRI[[#This Row],[Institution Name]])</f>
        <v>0</v>
      </c>
      <c r="F15" s="78">
        <f>SUMIF(InputResearch[Institution Name],SpaceModelHRI[[#This Row],[Institution Name]],InputResearch[Res. Exp.])</f>
        <v>11773993</v>
      </c>
      <c r="G15" s="78">
        <f>SUMIF(InputResearch[Institution Name],SpaceModelHRI[[#This Row],[Institution Name]],InputResearch[E&amp;G Exp.])</f>
        <v>278943755</v>
      </c>
      <c r="H15" s="70"/>
    </row>
    <row r="16" spans="1:8">
      <c r="A16" s="59" t="s">
        <v>839</v>
      </c>
      <c r="B16" s="147">
        <f>VLOOKUP(SpaceModelHRI[[#This Row],[Institution Name]],InputResearch[],3,FALSE)</f>
        <v>500</v>
      </c>
      <c r="C16" s="74">
        <v>203599</v>
      </c>
      <c r="D16" s="78">
        <f>SUMIFS(InputResearch[R&amp;D Exp - Inst foundation/501(c)(3)],InputResearch[Institution Name],SpaceModelHRI[[#This Row],[Institution Name]])</f>
        <v>0</v>
      </c>
      <c r="E16" s="78">
        <f>SUMIFS(InputResearch[Pass-Thru from other Texas A&amp;M members],InputResearch[Institution Name],SpaceModelHRI[[#This Row],[Institution Name]])</f>
        <v>0</v>
      </c>
      <c r="F16" s="78">
        <f>SUMIF(InputResearch[Institution Name],SpaceModelHRI[[#This Row],[Institution Name]],InputResearch[Res. Exp.])</f>
        <v>3563051</v>
      </c>
      <c r="G16" s="78">
        <f>SUMIF(InputResearch[Institution Name],SpaceModelHRI[[#This Row],[Institution Name]],InputResearch[E&amp;G Exp.])</f>
        <v>128306142</v>
      </c>
      <c r="H16" s="70"/>
    </row>
    <row r="17" spans="1:8">
      <c r="A17" s="59" t="s">
        <v>837</v>
      </c>
      <c r="B17" s="147">
        <f>VLOOKUP(SpaceModelHRI[[#This Row],[Institution Name]],InputResearch[],3,FALSE)</f>
        <v>510</v>
      </c>
      <c r="C17" s="74">
        <v>203658</v>
      </c>
      <c r="D17" s="78">
        <f>SUMIFS(InputResearch[R&amp;D Exp - Inst foundation/501(c)(3)],InputResearch[Institution Name],SpaceModelHRI[[#This Row],[Institution Name]])</f>
        <v>961414</v>
      </c>
      <c r="E17" s="78">
        <f>SUMIFS(InputResearch[Pass-Thru from other Texas A&amp;M members],InputResearch[Institution Name],SpaceModelHRI[[#This Row],[Institution Name]])</f>
        <v>0</v>
      </c>
      <c r="F17" s="78">
        <f>SUMIF(InputResearch[Institution Name],SpaceModelHRI[[#This Row],[Institution Name]],InputResearch[Res. Exp.])</f>
        <v>37168230</v>
      </c>
      <c r="G17" s="78">
        <f>SUMIF(InputResearch[Institution Name],SpaceModelHRI[[#This Row],[Institution Name]],InputResearch[E&amp;G Exp.])</f>
        <v>268803216</v>
      </c>
      <c r="H17" s="70"/>
    </row>
    <row r="18" spans="1:8">
      <c r="A18" s="59" t="s">
        <v>838</v>
      </c>
      <c r="B18" s="147">
        <f>VLOOKUP(SpaceModelHRI[[#This Row],[Institution Name]],InputResearch[],3,FALSE)</f>
        <v>520</v>
      </c>
      <c r="C18" s="74">
        <v>203652</v>
      </c>
      <c r="D18" s="78">
        <f>SUMIFS(InputResearch[R&amp;D Exp - Inst foundation/501(c)(3)],InputResearch[Institution Name],SpaceModelHRI[[#This Row],[Institution Name]])</f>
        <v>0</v>
      </c>
      <c r="E18" s="78">
        <f>SUMIFS(InputResearch[Pass-Thru from other Texas A&amp;M members],InputResearch[Institution Name],SpaceModelHRI[[#This Row],[Institution Name]])</f>
        <v>0</v>
      </c>
      <c r="F18" s="78">
        <f>SUMIF(InputResearch[Institution Name],SpaceModelHRI[[#This Row],[Institution Name]],InputResearch[Res. Exp.])</f>
        <v>976136</v>
      </c>
      <c r="G18" s="78">
        <f>SUMIF(InputResearch[Institution Name],SpaceModelHRI[[#This Row],[Institution Name]],InputResearch[E&amp;G Exp.])</f>
        <v>29553582</v>
      </c>
      <c r="H18" s="70"/>
    </row>
    <row r="19" spans="1:8">
      <c r="A19" s="59" t="s">
        <v>398</v>
      </c>
      <c r="B19" s="147">
        <f>VLOOKUP(SpaceModelHRI[[#This Row],[Institution Name]],InputResearch[],3,FALSE)</f>
        <v>530</v>
      </c>
      <c r="C19" s="74">
        <v>103606</v>
      </c>
      <c r="D19" s="78">
        <f>SUMIFS(InputResearch[R&amp;D Exp - Inst foundation/501(c)(3)],InputResearch[Institution Name],SpaceModelHRI[[#This Row],[Institution Name]])</f>
        <v>0</v>
      </c>
      <c r="E19" s="78">
        <f>SUMIFS(InputResearch[Pass-Thru from other Texas A&amp;M members],InputResearch[Institution Name],SpaceModelHRI[[#This Row],[Institution Name]])</f>
        <v>0</v>
      </c>
      <c r="F19" s="78">
        <f>SUMIF(InputResearch[Institution Name],SpaceModelHRI[[#This Row],[Institution Name]],InputResearch[Res. Exp.])</f>
        <v>680654</v>
      </c>
      <c r="G19" s="78">
        <f>SUMIF(InputResearch[Institution Name],SpaceModelHRI[[#This Row],[Institution Name]],InputResearch[E&amp;G Exp.])</f>
        <v>19177896</v>
      </c>
      <c r="H19" s="70"/>
    </row>
    <row r="20" spans="1:8">
      <c r="B20" s="145"/>
      <c r="D20" s="334">
        <f>SUBTOTAL(109,SpaceModelHRI[501(c)(3)¹])</f>
        <v>89598136</v>
      </c>
      <c r="E20" s="334">
        <f>SUBTOTAL(109,SpaceModelHRI[TEES 
Pass-through¹])</f>
        <v>10131213</v>
      </c>
      <c r="F20" s="334">
        <f>SUBTOTAL(109,SpaceModelHRI[Research 
Expenditures²])</f>
        <v>2529264132</v>
      </c>
      <c r="G20" s="334">
        <f>SUBTOTAL(109,SpaceModelHRI[Current E &amp; G 
Expenditures²])</f>
        <v>9850159814</v>
      </c>
      <c r="H20" s="70"/>
    </row>
    <row r="21" spans="1:8" ht="15.6">
      <c r="A21" s="480" t="s">
        <v>966</v>
      </c>
      <c r="B21" s="480"/>
      <c r="C21" s="480"/>
      <c r="D21" s="480"/>
      <c r="E21" s="480"/>
      <c r="F21" s="480"/>
      <c r="G21" s="70"/>
      <c r="H21" s="70"/>
    </row>
    <row r="22" spans="1:8" ht="15.6">
      <c r="A22" s="480" t="s">
        <v>708</v>
      </c>
      <c r="B22" s="480"/>
      <c r="C22" s="480"/>
      <c r="D22" s="480"/>
      <c r="E22" s="480"/>
      <c r="F22" s="480"/>
      <c r="G22" s="70"/>
      <c r="H22" s="70"/>
    </row>
    <row r="23" spans="1:8">
      <c r="A23" s="70"/>
      <c r="B23" s="70"/>
      <c r="C23" s="70"/>
      <c r="D23" s="70"/>
      <c r="E23" s="70"/>
      <c r="F23" s="70"/>
      <c r="G23" s="70"/>
      <c r="H23" s="70"/>
    </row>
    <row r="24" spans="1:8" ht="33" customHeight="1">
      <c r="A24" s="439" t="s">
        <v>992</v>
      </c>
      <c r="B24" s="440"/>
      <c r="C24" s="440"/>
      <c r="D24" s="440"/>
      <c r="E24" s="440"/>
      <c r="F24" s="440"/>
      <c r="G24" s="440"/>
      <c r="H24" s="70"/>
    </row>
    <row r="25" spans="1:8" ht="17.399999999999999">
      <c r="A25" s="438">
        <v>45378</v>
      </c>
      <c r="B25" s="438"/>
      <c r="C25" s="438"/>
      <c r="D25" s="438"/>
      <c r="E25" s="438"/>
      <c r="F25" s="438"/>
      <c r="G25" s="438"/>
      <c r="H25" s="70"/>
    </row>
    <row r="26" spans="1:8">
      <c r="A26" s="70"/>
      <c r="B26" s="70"/>
      <c r="C26" s="70"/>
      <c r="D26" s="70"/>
      <c r="E26" s="70"/>
      <c r="F26" s="70"/>
      <c r="G26" s="70"/>
      <c r="H26" s="70"/>
    </row>
    <row r="27" spans="1:8" ht="31.2">
      <c r="A27" s="59" t="s">
        <v>1</v>
      </c>
      <c r="B27" s="71" t="s">
        <v>889</v>
      </c>
      <c r="C27" s="75" t="s">
        <v>2</v>
      </c>
      <c r="D27" s="73" t="s">
        <v>746</v>
      </c>
      <c r="E27" s="73" t="s">
        <v>748</v>
      </c>
      <c r="F27" s="73" t="s">
        <v>747</v>
      </c>
      <c r="G27" s="73" t="s">
        <v>749</v>
      </c>
      <c r="H27" s="70"/>
    </row>
    <row r="28" spans="1:8">
      <c r="A28" s="59" t="s">
        <v>63</v>
      </c>
      <c r="B28" s="147">
        <f>VLOOKUP(SpaceModelTSTC[[#This Row],[Institution Name]],InputResearch[],3,FALSE)</f>
        <v>490</v>
      </c>
      <c r="C28" s="74">
        <v>36273</v>
      </c>
      <c r="D28" s="76">
        <f>SUMIFS(InputResearch[R&amp;D Exp - Inst foundation/501(c)(3)],InputResearch[Institution Name],SpaceModelTSTC[[#This Row],[Institution Name]])</f>
        <v>0</v>
      </c>
      <c r="E28" s="76">
        <f>SUMIFS(InputResearch[Pass-Thru from other Texas A&amp;M members],InputResearch[Institution Name],SpaceModelTSTC[[#This Row],[Institution Name]])</f>
        <v>0</v>
      </c>
      <c r="F28" s="76">
        <f>SUMIF(InputResearch[Institution Name],SpaceModelTSTC[[#This Row],[Institution Name]],InputResearch[Res. Exp.])</f>
        <v>0</v>
      </c>
      <c r="G28" s="76">
        <f>SUMIF(InputResearch[Institution Name],SpaceModelTSTC[[#This Row],[Institution Name]],InputResearch[E&amp;G Exp.])</f>
        <v>40976902</v>
      </c>
      <c r="H28" s="70"/>
    </row>
    <row r="29" spans="1:8">
      <c r="A29" s="59" t="s">
        <v>64</v>
      </c>
      <c r="B29" s="147">
        <f>VLOOKUP(SpaceModelTSTC[[#This Row],[Institution Name]],InputResearch[],3,FALSE)</f>
        <v>500</v>
      </c>
      <c r="C29" s="74">
        <v>23582</v>
      </c>
      <c r="D29" s="76">
        <f>SUMIFS(InputResearch[R&amp;D Exp - Inst foundation/501(c)(3)],InputResearch[Institution Name],SpaceModelTSTC[[#This Row],[Institution Name]])</f>
        <v>0</v>
      </c>
      <c r="E29" s="76">
        <f>SUMIFS(InputResearch[Pass-Thru from other Texas A&amp;M members],InputResearch[Institution Name],SpaceModelTSTC[[#This Row],[Institution Name]])</f>
        <v>0</v>
      </c>
      <c r="F29" s="76">
        <f>SUMIF(InputResearch[Institution Name],SpaceModelTSTC[[#This Row],[Institution Name]],InputResearch[Res. Exp.])</f>
        <v>0</v>
      </c>
      <c r="G29" s="76">
        <f>SUMIF(InputResearch[Institution Name],SpaceModelTSTC[[#This Row],[Institution Name]],InputResearch[E&amp;G Exp.])</f>
        <v>28208811</v>
      </c>
      <c r="H29" s="70"/>
    </row>
    <row r="30" spans="1:8">
      <c r="A30" s="59" t="s">
        <v>65</v>
      </c>
      <c r="B30" s="147">
        <f>VLOOKUP(SpaceModelTSTC[[#This Row],[Institution Name]],InputResearch[],3,FALSE)</f>
        <v>510</v>
      </c>
      <c r="C30" s="74">
        <v>23485</v>
      </c>
      <c r="D30" s="76">
        <f>SUMIFS(InputResearch[R&amp;D Exp - Inst foundation/501(c)(3)],InputResearch[Institution Name],SpaceModelTSTC[[#This Row],[Institution Name]])</f>
        <v>0</v>
      </c>
      <c r="E30" s="76">
        <f>SUMIFS(InputResearch[Pass-Thru from other Texas A&amp;M members],InputResearch[Institution Name],SpaceModelTSTC[[#This Row],[Institution Name]])</f>
        <v>0</v>
      </c>
      <c r="F30" s="76">
        <f>SUMIF(InputResearch[Institution Name],SpaceModelTSTC[[#This Row],[Institution Name]],InputResearch[Res. Exp.])</f>
        <v>0</v>
      </c>
      <c r="G30" s="76">
        <f>SUMIF(InputResearch[Institution Name],SpaceModelTSTC[[#This Row],[Institution Name]],InputResearch[E&amp;G Exp.])</f>
        <v>36664271</v>
      </c>
      <c r="H30" s="70"/>
    </row>
    <row r="31" spans="1:8">
      <c r="A31" s="59" t="s">
        <v>66</v>
      </c>
      <c r="B31" s="147">
        <f>VLOOKUP(SpaceModelTSTC[[#This Row],[Institution Name]],InputResearch[],3,FALSE)</f>
        <v>520</v>
      </c>
      <c r="C31" s="74">
        <v>9225</v>
      </c>
      <c r="D31" s="76">
        <f>SUMIFS(InputResearch[R&amp;D Exp - Inst foundation/501(c)(3)],InputResearch[Institution Name],SpaceModelTSTC[[#This Row],[Institution Name]])</f>
        <v>0</v>
      </c>
      <c r="E31" s="76">
        <f>SUMIFS(InputResearch[Pass-Thru from other Texas A&amp;M members],InputResearch[Institution Name],SpaceModelTSTC[[#This Row],[Institution Name]])</f>
        <v>0</v>
      </c>
      <c r="F31" s="76">
        <f>SUMIF(InputResearch[Institution Name],SpaceModelTSTC[[#This Row],[Institution Name]],InputResearch[Res. Exp.])</f>
        <v>101846</v>
      </c>
      <c r="G31" s="76">
        <f>SUMIF(InputResearch[Institution Name],SpaceModelTSTC[[#This Row],[Institution Name]],InputResearch[E&amp;G Exp.])</f>
        <v>51482909</v>
      </c>
      <c r="H31" s="70"/>
    </row>
    <row r="32" spans="1:8">
      <c r="A32" s="59" t="s">
        <v>67</v>
      </c>
      <c r="B32" s="147">
        <f>VLOOKUP(SpaceModelTSTC[[#This Row],[Institution Name]],InputResearch[],3,FALSE)</f>
        <v>530</v>
      </c>
      <c r="C32" s="74">
        <v>9932</v>
      </c>
      <c r="D32" s="76">
        <f>SUMIFS(InputResearch[R&amp;D Exp - Inst foundation/501(c)(3)],InputResearch[Institution Name],SpaceModelTSTC[[#This Row],[Institution Name]])</f>
        <v>0</v>
      </c>
      <c r="E32" s="76">
        <f>SUMIFS(InputResearch[Pass-Thru from other Texas A&amp;M members],InputResearch[Institution Name],SpaceModelTSTC[[#This Row],[Institution Name]])</f>
        <v>0</v>
      </c>
      <c r="F32" s="76">
        <f>SUMIF(InputResearch[Institution Name],SpaceModelTSTC[[#This Row],[Institution Name]],InputResearch[Res. Exp.])</f>
        <v>0</v>
      </c>
      <c r="G32" s="76">
        <f>SUMIF(InputResearch[Institution Name],SpaceModelTSTC[[#This Row],[Institution Name]],InputResearch[E&amp;G Exp.])</f>
        <v>23292497</v>
      </c>
      <c r="H32" s="70"/>
    </row>
    <row r="33" spans="1:14">
      <c r="A33" s="59" t="s">
        <v>68</v>
      </c>
      <c r="B33" s="147">
        <f>VLOOKUP(SpaceModelTSTC[[#This Row],[Institution Name]],InputResearch[],3,FALSE)</f>
        <v>540</v>
      </c>
      <c r="C33" s="74">
        <v>33965</v>
      </c>
      <c r="D33" s="76">
        <f>SUMIFS(InputResearch[R&amp;D Exp - Inst foundation/501(c)(3)],InputResearch[Institution Name],SpaceModelTSTC[[#This Row],[Institution Name]])</f>
        <v>0</v>
      </c>
      <c r="E33" s="76">
        <f>SUMIFS(InputResearch[Pass-Thru from other Texas A&amp;M members],InputResearch[Institution Name],SpaceModelTSTC[[#This Row],[Institution Name]])</f>
        <v>0</v>
      </c>
      <c r="F33" s="76">
        <f>SUMIF(InputResearch[Institution Name],SpaceModelTSTC[[#This Row],[Institution Name]],InputResearch[Res. Exp.])</f>
        <v>0</v>
      </c>
      <c r="G33" s="76">
        <f>SUMIF(InputResearch[Institution Name],SpaceModelTSTC[[#This Row],[Institution Name]],InputResearch[E&amp;G Exp.])</f>
        <v>11028783</v>
      </c>
      <c r="H33" s="70"/>
    </row>
    <row r="34" spans="1:14">
      <c r="A34" s="59" t="s">
        <v>69</v>
      </c>
      <c r="B34" s="147">
        <f>VLOOKUP(SpaceModelTSTC[[#This Row],[Institution Name]],InputResearch[],3,FALSE)</f>
        <v>550</v>
      </c>
      <c r="C34" s="74">
        <v>3634</v>
      </c>
      <c r="D34" s="76">
        <f>SUMIFS(InputResearch[R&amp;D Exp - Inst foundation/501(c)(3)],InputResearch[Institution Name],SpaceModelTSTC[[#This Row],[Institution Name]])</f>
        <v>0</v>
      </c>
      <c r="E34" s="76">
        <f>SUMIFS(InputResearch[Pass-Thru from other Texas A&amp;M members],InputResearch[Institution Name],SpaceModelTSTC[[#This Row],[Institution Name]])</f>
        <v>0</v>
      </c>
      <c r="F34" s="76">
        <f>SUMIF(InputResearch[Institution Name],SpaceModelTSTC[[#This Row],[Institution Name]],InputResearch[Res. Exp.])</f>
        <v>21198</v>
      </c>
      <c r="G34" s="76">
        <f>SUMIF(InputResearch[Institution Name],SpaceModelTSTC[[#This Row],[Institution Name]],InputResearch[E&amp;G Exp.])</f>
        <v>92844702</v>
      </c>
      <c r="H34" s="70"/>
    </row>
    <row r="35" spans="1:14">
      <c r="A35" s="59" t="s">
        <v>70</v>
      </c>
      <c r="B35" s="147">
        <f>VLOOKUP(SpaceModelTSTC[[#This Row],[Institution Name]],InputResearch[],3,FALSE)</f>
        <v>552</v>
      </c>
      <c r="C35" s="74">
        <v>133965</v>
      </c>
      <c r="D35" s="76">
        <f>SUMIFS(InputResearch[R&amp;D Exp - Inst foundation/501(c)(3)],InputResearch[Institution Name],SpaceModelTSTC[[#This Row],[Institution Name]])</f>
        <v>0</v>
      </c>
      <c r="E35" s="76">
        <f>SUMIFS(InputResearch[Pass-Thru from other Texas A&amp;M members],InputResearch[Institution Name],SpaceModelTSTC[[#This Row],[Institution Name]])</f>
        <v>0</v>
      </c>
      <c r="F35" s="76">
        <f>SUMIF(InputResearch[Institution Name],SpaceModelTSTC[[#This Row],[Institution Name]],InputResearch[Res. Exp.])</f>
        <v>0</v>
      </c>
      <c r="G35" s="76">
        <f>SUMIF(InputResearch[Institution Name],SpaceModelTSTC[[#This Row],[Institution Name]],InputResearch[E&amp;G Exp.])</f>
        <v>7537950</v>
      </c>
      <c r="H35" s="70"/>
    </row>
    <row r="36" spans="1:14">
      <c r="A36" s="59" t="s">
        <v>71</v>
      </c>
      <c r="B36" s="147">
        <f>VLOOKUP(SpaceModelTSTC[[#This Row],[Institution Name]],InputResearch[],3,FALSE)</f>
        <v>553</v>
      </c>
      <c r="C36" s="74">
        <v>203634</v>
      </c>
      <c r="D36" s="76">
        <f>SUMIFS(InputResearch[R&amp;D Exp - Inst foundation/501(c)(3)],InputResearch[Institution Name],SpaceModelTSTC[[#This Row],[Institution Name]])</f>
        <v>0</v>
      </c>
      <c r="E36" s="76">
        <f>SUMIFS(InputResearch[Pass-Thru from other Texas A&amp;M members],InputResearch[Institution Name],SpaceModelTSTC[[#This Row],[Institution Name]])</f>
        <v>0</v>
      </c>
      <c r="F36" s="76">
        <f>SUMIF(InputResearch[Institution Name],SpaceModelTSTC[[#This Row],[Institution Name]],InputResearch[Res. Exp.])</f>
        <v>0</v>
      </c>
      <c r="G36" s="76">
        <f>SUMIF(InputResearch[Institution Name],SpaceModelTSTC[[#This Row],[Institution Name]],InputResearch[E&amp;G Exp.])</f>
        <v>11888552</v>
      </c>
      <c r="H36" s="70"/>
    </row>
    <row r="37" spans="1:14">
      <c r="B37" s="146"/>
      <c r="D37" s="334">
        <f>SUBTOTAL(109,SpaceModelTSTC[501(c)(3)¹])</f>
        <v>0</v>
      </c>
      <c r="E37" s="334">
        <f>SUBTOTAL(109,SpaceModelTSTC[TEES 
Pass-through¹])</f>
        <v>0</v>
      </c>
      <c r="F37" s="334">
        <f>SUBTOTAL(109,SpaceModelTSTC[Research 
Expenditures²])</f>
        <v>123044</v>
      </c>
      <c r="G37" s="334">
        <f>SUBTOTAL(109,SpaceModelTSTC[Current E &amp; G 
Expenditures²])</f>
        <v>303925377</v>
      </c>
      <c r="H37" s="70"/>
    </row>
    <row r="38" spans="1:14" ht="15.6">
      <c r="A38" s="480" t="s">
        <v>709</v>
      </c>
      <c r="B38" s="480"/>
      <c r="C38" s="480"/>
      <c r="D38" s="480"/>
      <c r="E38" s="480"/>
      <c r="F38" s="480"/>
      <c r="G38" s="70"/>
      <c r="H38" s="70"/>
    </row>
    <row r="39" spans="1:14" ht="15.6">
      <c r="A39" s="480" t="s">
        <v>708</v>
      </c>
      <c r="B39" s="480"/>
      <c r="C39" s="480"/>
      <c r="D39" s="480"/>
      <c r="E39" s="480"/>
      <c r="F39" s="480"/>
      <c r="G39" s="70"/>
      <c r="H39" s="70"/>
    </row>
    <row r="40" spans="1:14">
      <c r="A40" s="70"/>
      <c r="B40" s="70"/>
      <c r="C40" s="70"/>
      <c r="D40" s="70"/>
      <c r="E40" s="70"/>
      <c r="F40" s="70"/>
      <c r="G40" s="70"/>
      <c r="H40" s="70"/>
    </row>
    <row r="41" spans="1:14" ht="33" customHeight="1">
      <c r="A41" s="439" t="s">
        <v>0</v>
      </c>
      <c r="B41" s="440"/>
      <c r="C41" s="440"/>
      <c r="D41" s="440"/>
      <c r="E41" s="440"/>
      <c r="F41" s="440"/>
      <c r="G41" s="440"/>
      <c r="H41" s="70"/>
    </row>
    <row r="42" spans="1:14" ht="17.399999999999999">
      <c r="A42" s="438">
        <v>45378</v>
      </c>
      <c r="B42" s="438"/>
      <c r="C42" s="438"/>
      <c r="D42" s="438"/>
      <c r="E42" s="438"/>
      <c r="F42" s="438"/>
      <c r="G42" s="438"/>
      <c r="H42" s="70"/>
    </row>
    <row r="43" spans="1:14">
      <c r="A43" s="70"/>
      <c r="B43" s="70"/>
      <c r="C43" s="70"/>
      <c r="D43" s="70"/>
      <c r="E43" s="70"/>
      <c r="F43" s="70"/>
      <c r="G43" s="70"/>
      <c r="H43" s="70"/>
    </row>
    <row r="44" spans="1:14" ht="31.2">
      <c r="A44" s="59" t="s">
        <v>1</v>
      </c>
      <c r="B44" s="71" t="s">
        <v>889</v>
      </c>
      <c r="C44" s="75" t="s">
        <v>2</v>
      </c>
      <c r="D44" s="73" t="s">
        <v>746</v>
      </c>
      <c r="E44" s="73" t="s">
        <v>748</v>
      </c>
      <c r="F44" s="73" t="s">
        <v>747</v>
      </c>
      <c r="G44" s="73" t="s">
        <v>749</v>
      </c>
      <c r="H44" s="70"/>
    </row>
    <row r="45" spans="1:14">
      <c r="A45" s="59" t="s">
        <v>20</v>
      </c>
      <c r="B45" s="147">
        <f>VLOOKUP(SpaceModelUNIV[[#This Row],[Institution Name]],InputResearch[],3,FALSE)</f>
        <v>40</v>
      </c>
      <c r="C45" s="74">
        <v>3656</v>
      </c>
      <c r="D45" s="76">
        <f>SUMIFS(InputResearch[R&amp;D Exp - Inst foundation/501(c)(3)],InputResearch[Institution Name],SpaceModelUNIV[[#This Row],[Institution Name]])</f>
        <v>0</v>
      </c>
      <c r="E45" s="76">
        <f>SUMIFS(InputResearch[Pass-Thru from other Texas A&amp;M members],InputResearch[Institution Name],SpaceModelUNIV[[#This Row],[Institution Name]])</f>
        <v>0</v>
      </c>
      <c r="F45" s="76">
        <f>SUMIF(InputResearch[Institution Name],SpaceModelUNIV[[#This Row],[Institution Name]],InputResearch[Res. Exp.])</f>
        <v>120770513</v>
      </c>
      <c r="G45" s="76">
        <f>SUMIF(InputResearch[Institution Name],SpaceModelUNIV[[#This Row],[Institution Name]],InputResearch[E&amp;G Exp.])</f>
        <v>669974126</v>
      </c>
      <c r="H45" s="70"/>
    </row>
    <row r="46" spans="1:14">
      <c r="A46" s="59" t="s">
        <v>714</v>
      </c>
      <c r="B46" s="147">
        <f>VLOOKUP(SpaceModelUNIV[[#This Row],[Institution Name]],InputResearch[],3,FALSE)</f>
        <v>51</v>
      </c>
      <c r="C46" s="74">
        <v>3658</v>
      </c>
      <c r="D46" s="76">
        <f>SUMIFS(InputResearch[R&amp;D Exp - Inst foundation/501(c)(3)],InputResearch[Institution Name],SpaceModelUNIV[[#This Row],[Institution Name]])</f>
        <v>-961414</v>
      </c>
      <c r="E46" s="76">
        <f>SUMIFS(InputResearch[Pass-Thru from other Texas A&amp;M members],InputResearch[Institution Name],SpaceModelUNIV[[#This Row],[Institution Name]])</f>
        <v>0</v>
      </c>
      <c r="F46" s="76">
        <f>SUMIF(InputResearch[Institution Name],SpaceModelUNIV[[#This Row],[Institution Name]],InputResearch[Res. Exp.])</f>
        <v>762294509</v>
      </c>
      <c r="G46" s="76">
        <f>SUMIF(InputResearch[Institution Name],SpaceModelUNIV[[#This Row],[Institution Name]],InputResearch[E&amp;G Exp.])</f>
        <v>2860442739</v>
      </c>
      <c r="H46" s="70"/>
      <c r="J46" s="76"/>
      <c r="K46" s="76"/>
      <c r="L46" s="76"/>
      <c r="M46" s="76"/>
      <c r="N46" s="76"/>
    </row>
    <row r="47" spans="1:14">
      <c r="A47" s="59" t="s">
        <v>21</v>
      </c>
      <c r="B47" s="147">
        <f>VLOOKUP(SpaceModelUNIV[[#This Row],[Institution Name]],InputResearch[],3,FALSE)</f>
        <v>60</v>
      </c>
      <c r="C47" s="74">
        <v>9741</v>
      </c>
      <c r="D47" s="76">
        <f>SUMIFS(InputResearch[R&amp;D Exp - Inst foundation/501(c)(3)],InputResearch[Institution Name],SpaceModelUNIV[[#This Row],[Institution Name]])</f>
        <v>0</v>
      </c>
      <c r="E47" s="76">
        <f>SUMIFS(InputResearch[Pass-Thru from other Texas A&amp;M members],InputResearch[Institution Name],SpaceModelUNIV[[#This Row],[Institution Name]])</f>
        <v>0</v>
      </c>
      <c r="F47" s="76">
        <f>SUMIF(InputResearch[Institution Name],SpaceModelUNIV[[#This Row],[Institution Name]],InputResearch[Res. Exp.])</f>
        <v>124022692</v>
      </c>
      <c r="G47" s="76">
        <f>SUMIF(InputResearch[Institution Name],SpaceModelUNIV[[#This Row],[Institution Name]],InputResearch[E&amp;G Exp.])</f>
        <v>623296716</v>
      </c>
      <c r="H47" s="70"/>
      <c r="J47" s="77"/>
      <c r="K47" s="77"/>
      <c r="L47" s="77"/>
      <c r="M47" s="77"/>
      <c r="N47" s="77"/>
    </row>
    <row r="48" spans="1:14">
      <c r="A48" s="59" t="s">
        <v>22</v>
      </c>
      <c r="B48" s="147">
        <f>VLOOKUP(SpaceModelUNIV[[#This Row],[Institution Name]],InputResearch[],3,FALSE)</f>
        <v>70</v>
      </c>
      <c r="C48" s="74">
        <v>3661</v>
      </c>
      <c r="D48" s="76">
        <f>SUMIFS(InputResearch[R&amp;D Exp - Inst foundation/501(c)(3)],InputResearch[Institution Name],SpaceModelUNIV[[#This Row],[Institution Name]])</f>
        <v>0</v>
      </c>
      <c r="E48" s="76">
        <f>SUMIFS(InputResearch[Pass-Thru from other Texas A&amp;M members],InputResearch[Institution Name],SpaceModelUNIV[[#This Row],[Institution Name]])</f>
        <v>0</v>
      </c>
      <c r="F48" s="76">
        <f>SUMIF(InputResearch[Institution Name],SpaceModelUNIV[[#This Row],[Institution Name]],InputResearch[Res. Exp.])</f>
        <v>123996540</v>
      </c>
      <c r="G48" s="76">
        <f>SUMIF(InputResearch[Institution Name],SpaceModelUNIV[[#This Row],[Institution Name]],InputResearch[E&amp;G Exp.])</f>
        <v>433829657</v>
      </c>
      <c r="H48" s="70"/>
    </row>
    <row r="49" spans="1:8">
      <c r="A49" s="59" t="s">
        <v>715</v>
      </c>
      <c r="B49" s="147">
        <f>VLOOKUP(SpaceModelUNIV[[#This Row],[Institution Name]],InputResearch[],3,FALSE)</f>
        <v>91</v>
      </c>
      <c r="C49" s="74">
        <v>3599</v>
      </c>
      <c r="D49" s="76">
        <f>SUMIFS(InputResearch[R&amp;D Exp - Inst foundation/501(c)(3)],InputResearch[Institution Name],SpaceModelUNIV[[#This Row],[Institution Name]])</f>
        <v>0</v>
      </c>
      <c r="E49" s="76">
        <f>SUMIFS(InputResearch[Pass-Thru from other Texas A&amp;M members],InputResearch[Institution Name],SpaceModelUNIV[[#This Row],[Institution Name]])</f>
        <v>0</v>
      </c>
      <c r="F49" s="76">
        <f>SUMIF(InputResearch[Institution Name],SpaceModelUNIV[[#This Row],[Institution Name]],InputResearch[Res. Exp.])</f>
        <v>71544314</v>
      </c>
      <c r="G49" s="76">
        <f>SUMIF(InputResearch[Institution Name],SpaceModelUNIV[[#This Row],[Institution Name]],InputResearch[E&amp;G Exp.])</f>
        <v>470469569</v>
      </c>
      <c r="H49" s="70"/>
    </row>
    <row r="50" spans="1:8">
      <c r="A50" s="59" t="s">
        <v>23</v>
      </c>
      <c r="B50" s="147">
        <f>VLOOKUP(SpaceModelUNIV[[#This Row],[Institution Name]],InputResearch[],3,FALSE)</f>
        <v>100</v>
      </c>
      <c r="C50" s="74">
        <v>9930</v>
      </c>
      <c r="D50" s="76">
        <f>SUMIFS(InputResearch[R&amp;D Exp - Inst foundation/501(c)(3)],InputResearch[Institution Name],SpaceModelUNIV[[#This Row],[Institution Name]])</f>
        <v>0</v>
      </c>
      <c r="E50" s="76">
        <f>SUMIFS(InputResearch[Pass-Thru from other Texas A&amp;M members],InputResearch[Institution Name],SpaceModelUNIV[[#This Row],[Institution Name]])</f>
        <v>0</v>
      </c>
      <c r="F50" s="76">
        <f>SUMIF(InputResearch[Institution Name],SpaceModelUNIV[[#This Row],[Institution Name]],InputResearch[Res. Exp.])</f>
        <v>3349140</v>
      </c>
      <c r="G50" s="76">
        <f>SUMIF(InputResearch[Institution Name],SpaceModelUNIV[[#This Row],[Institution Name]],InputResearch[E&amp;G Exp.])</f>
        <v>87312810</v>
      </c>
      <c r="H50" s="70"/>
    </row>
    <row r="51" spans="1:8">
      <c r="A51" s="59" t="s">
        <v>24</v>
      </c>
      <c r="B51" s="147">
        <f>VLOOKUP(SpaceModelUNIV[[#This Row],[Institution Name]],InputResearch[],3,FALSE)</f>
        <v>110</v>
      </c>
      <c r="C51" s="74">
        <v>10115</v>
      </c>
      <c r="D51" s="76">
        <f>SUMIFS(InputResearch[R&amp;D Exp - Inst foundation/501(c)(3)],InputResearch[Institution Name],SpaceModelUNIV[[#This Row],[Institution Name]])</f>
        <v>0</v>
      </c>
      <c r="E51" s="76">
        <f>SUMIFS(InputResearch[Pass-Thru from other Texas A&amp;M members],InputResearch[Institution Name],SpaceModelUNIV[[#This Row],[Institution Name]])</f>
        <v>0</v>
      </c>
      <c r="F51" s="76">
        <f>SUMIF(InputResearch[Institution Name],SpaceModelUNIV[[#This Row],[Institution Name]],InputResearch[Res. Exp.])</f>
        <v>137176980</v>
      </c>
      <c r="G51" s="76">
        <f>SUMIF(InputResearch[Institution Name],SpaceModelUNIV[[#This Row],[Institution Name]],InputResearch[E&amp;G Exp.])</f>
        <v>577428860</v>
      </c>
      <c r="H51" s="70"/>
    </row>
    <row r="52" spans="1:8">
      <c r="A52" s="59" t="s">
        <v>25</v>
      </c>
      <c r="B52" s="147">
        <f>VLOOKUP(SpaceModelUNIV[[#This Row],[Institution Name]],InputResearch[],3,FALSE)</f>
        <v>120</v>
      </c>
      <c r="C52" s="74">
        <v>11163</v>
      </c>
      <c r="D52" s="76">
        <f>SUMIFS(InputResearch[R&amp;D Exp - Inst foundation/501(c)(3)],InputResearch[Institution Name],SpaceModelUNIV[[#This Row],[Institution Name]])</f>
        <v>0</v>
      </c>
      <c r="E52" s="76">
        <f>SUMIFS(InputResearch[Pass-Thru from other Texas A&amp;M members],InputResearch[Institution Name],SpaceModelUNIV[[#This Row],[Institution Name]])</f>
        <v>0</v>
      </c>
      <c r="F52" s="76">
        <f>SUMIF(InputResearch[Institution Name],SpaceModelUNIV[[#This Row],[Institution Name]],InputResearch[Res. Exp.])</f>
        <v>3930104</v>
      </c>
      <c r="G52" s="76">
        <f>SUMIF(InputResearch[Institution Name],SpaceModelUNIV[[#This Row],[Institution Name]],InputResearch[E&amp;G Exp.])</f>
        <v>148818837</v>
      </c>
      <c r="H52" s="70"/>
    </row>
    <row r="53" spans="1:8">
      <c r="A53" s="59" t="s">
        <v>27</v>
      </c>
      <c r="B53" s="147">
        <f>VLOOKUP(SpaceModelUNIV[[#This Row],[Institution Name]],InputResearch[],3,FALSE)</f>
        <v>130</v>
      </c>
      <c r="C53" s="74">
        <v>3632</v>
      </c>
      <c r="D53" s="76">
        <f>SUMIFS(InputResearch[R&amp;D Exp - Inst foundation/501(c)(3)],InputResearch[Institution Name],SpaceModelUNIV[[#This Row],[Institution Name]])</f>
        <v>65803046</v>
      </c>
      <c r="E53" s="76">
        <f>SUMIFS(InputResearch[Pass-Thru from other Texas A&amp;M members],InputResearch[Institution Name],SpaceModelUNIV[[#This Row],[Institution Name]])</f>
        <v>0</v>
      </c>
      <c r="F53" s="76">
        <f>SUMIF(InputResearch[Institution Name],SpaceModelUNIV[[#This Row],[Institution Name]],InputResearch[Res. Exp.])</f>
        <v>296707176</v>
      </c>
      <c r="G53" s="76">
        <f>SUMIF(InputResearch[Institution Name],SpaceModelUNIV[[#This Row],[Institution Name]],InputResearch[E&amp;G Exp.])</f>
        <v>1786892203</v>
      </c>
      <c r="H53" s="70"/>
    </row>
    <row r="54" spans="1:8">
      <c r="A54" s="59" t="s">
        <v>28</v>
      </c>
      <c r="B54" s="147">
        <f>VLOOKUP(SpaceModelUNIV[[#This Row],[Institution Name]],InputResearch[],3,FALSE)</f>
        <v>140</v>
      </c>
      <c r="C54" s="74">
        <v>10298</v>
      </c>
      <c r="D54" s="76">
        <f>SUMIFS(InputResearch[R&amp;D Exp - Inst foundation/501(c)(3)],InputResearch[Institution Name],SpaceModelUNIV[[#This Row],[Institution Name]])</f>
        <v>0</v>
      </c>
      <c r="E54" s="76">
        <f>SUMIFS(InputResearch[Pass-Thru from other Texas A&amp;M members],InputResearch[Institution Name],SpaceModelUNIV[[#This Row],[Institution Name]])</f>
        <v>0</v>
      </c>
      <c r="F54" s="76">
        <f>SUMIF(InputResearch[Institution Name],SpaceModelUNIV[[#This Row],[Institution Name]],InputResearch[Res. Exp.])</f>
        <v>13836753</v>
      </c>
      <c r="G54" s="76">
        <f>SUMIF(InputResearch[Institution Name],SpaceModelUNIV[[#This Row],[Institution Name]],InputResearch[E&amp;G Exp.])</f>
        <v>67063336</v>
      </c>
      <c r="H54" s="70"/>
    </row>
    <row r="55" spans="1:8">
      <c r="A55" s="59" t="s">
        <v>29</v>
      </c>
      <c r="B55" s="147">
        <f>VLOOKUP(SpaceModelUNIV[[#This Row],[Institution Name]],InputResearch[],3,FALSE)</f>
        <v>150</v>
      </c>
      <c r="C55" s="74">
        <v>3630</v>
      </c>
      <c r="D55" s="76">
        <f>SUMIFS(InputResearch[R&amp;D Exp - Inst foundation/501(c)(3)],InputResearch[Institution Name],SpaceModelUNIV[[#This Row],[Institution Name]])</f>
        <v>0</v>
      </c>
      <c r="E55" s="76">
        <f>SUMIFS(InputResearch[Pass-Thru from other Texas A&amp;M members],InputResearch[Institution Name],SpaceModelUNIV[[#This Row],[Institution Name]])</f>
        <v>20393</v>
      </c>
      <c r="F55" s="76">
        <f>SUMIF(InputResearch[Institution Name],SpaceModelUNIV[[#This Row],[Institution Name]],InputResearch[Res. Exp.])</f>
        <v>22303481</v>
      </c>
      <c r="G55" s="76">
        <f>SUMIF(InputResearch[Institution Name],SpaceModelUNIV[[#This Row],[Institution Name]],InputResearch[E&amp;G Exp.])</f>
        <v>226580284</v>
      </c>
      <c r="H55" s="70"/>
    </row>
    <row r="56" spans="1:8">
      <c r="A56" s="59" t="s">
        <v>30</v>
      </c>
      <c r="B56" s="147">
        <f>VLOOKUP(SpaceModelUNIV[[#This Row],[Institution Name]],InputResearch[],3,FALSE)</f>
        <v>160</v>
      </c>
      <c r="C56" s="74">
        <v>3631</v>
      </c>
      <c r="D56" s="76">
        <f>SUMIFS(InputResearch[R&amp;D Exp - Inst foundation/501(c)(3)],InputResearch[Institution Name],SpaceModelUNIV[[#This Row],[Institution Name]])</f>
        <v>0</v>
      </c>
      <c r="E56" s="76">
        <f>SUMIFS(InputResearch[Pass-Thru from other Texas A&amp;M members],InputResearch[Institution Name],SpaceModelUNIV[[#This Row],[Institution Name]])</f>
        <v>2499</v>
      </c>
      <c r="F56" s="76">
        <f>SUMIF(InputResearch[Institution Name],SpaceModelUNIV[[#This Row],[Institution Name]],InputResearch[Res. Exp.])</f>
        <v>20480930</v>
      </c>
      <c r="G56" s="76">
        <f>SUMIF(InputResearch[Institution Name],SpaceModelUNIV[[#This Row],[Institution Name]],InputResearch[E&amp;G Exp.])</f>
        <v>181981914</v>
      </c>
      <c r="H56" s="70"/>
    </row>
    <row r="57" spans="1:8">
      <c r="A57" s="59" t="s">
        <v>31</v>
      </c>
      <c r="B57" s="147">
        <f>VLOOKUP(SpaceModelUNIV[[#This Row],[Institution Name]],InputResearch[],3,FALSE)</f>
        <v>170</v>
      </c>
      <c r="C57" s="74">
        <v>11161</v>
      </c>
      <c r="D57" s="76">
        <f>SUMIFS(InputResearch[R&amp;D Exp - Inst foundation/501(c)(3)],InputResearch[Institution Name],SpaceModelUNIV[[#This Row],[Institution Name]])</f>
        <v>0</v>
      </c>
      <c r="E57" s="76">
        <f>SUMIFS(InputResearch[Pass-Thru from other Texas A&amp;M members],InputResearch[Institution Name],SpaceModelUNIV[[#This Row],[Institution Name]])</f>
        <v>121724</v>
      </c>
      <c r="F57" s="76">
        <f>SUMIF(InputResearch[Institution Name],SpaceModelUNIV[[#This Row],[Institution Name]],InputResearch[Res. Exp.])</f>
        <v>34764962</v>
      </c>
      <c r="G57" s="76">
        <f>SUMIF(InputResearch[Institution Name],SpaceModelUNIV[[#This Row],[Institution Name]],InputResearch[E&amp;G Exp.])</f>
        <v>203864983</v>
      </c>
      <c r="H57" s="70"/>
    </row>
    <row r="58" spans="1:8">
      <c r="A58" s="59" t="s">
        <v>32</v>
      </c>
      <c r="B58" s="147">
        <f>VLOOKUP(SpaceModelUNIV[[#This Row],[Institution Name]],InputResearch[],3,FALSE)</f>
        <v>180</v>
      </c>
      <c r="C58" s="74">
        <v>3639</v>
      </c>
      <c r="D58" s="76">
        <f>SUMIFS(InputResearch[R&amp;D Exp - Inst foundation/501(c)(3)],InputResearch[Institution Name],SpaceModelUNIV[[#This Row],[Institution Name]])</f>
        <v>0</v>
      </c>
      <c r="E58" s="76">
        <f>SUMIFS(InputResearch[Pass-Thru from other Texas A&amp;M members],InputResearch[Institution Name],SpaceModelUNIV[[#This Row],[Institution Name]])</f>
        <v>22433</v>
      </c>
      <c r="F58" s="76">
        <f>SUMIF(InputResearch[Institution Name],SpaceModelUNIV[[#This Row],[Institution Name]],InputResearch[Res. Exp.])</f>
        <v>22684588</v>
      </c>
      <c r="G58" s="76">
        <f>SUMIF(InputResearch[Institution Name],SpaceModelUNIV[[#This Row],[Institution Name]],InputResearch[E&amp;G Exp.])</f>
        <v>145333471</v>
      </c>
      <c r="H58" s="70"/>
    </row>
    <row r="59" spans="1:8">
      <c r="A59" s="59" t="s">
        <v>33</v>
      </c>
      <c r="B59" s="147">
        <f>VLOOKUP(SpaceModelUNIV[[#This Row],[Institution Name]],InputResearch[],3,FALSE)</f>
        <v>190</v>
      </c>
      <c r="C59" s="74">
        <v>9651</v>
      </c>
      <c r="D59" s="76">
        <f>SUMIFS(InputResearch[R&amp;D Exp - Inst foundation/501(c)(3)],InputResearch[Institution Name],SpaceModelUNIV[[#This Row],[Institution Name]])</f>
        <v>0</v>
      </c>
      <c r="E59" s="76">
        <f>SUMIFS(InputResearch[Pass-Thru from other Texas A&amp;M members],InputResearch[Institution Name],SpaceModelUNIV[[#This Row],[Institution Name]])</f>
        <v>81718</v>
      </c>
      <c r="F59" s="76">
        <f>SUMIF(InputResearch[Institution Name],SpaceModelUNIV[[#This Row],[Institution Name]],InputResearch[Res. Exp.])</f>
        <v>4526952</v>
      </c>
      <c r="G59" s="76">
        <f>SUMIF(InputResearch[Institution Name],SpaceModelUNIV[[#This Row],[Institution Name]],InputResearch[E&amp;G Exp.])</f>
        <v>123043159</v>
      </c>
      <c r="H59" s="70"/>
    </row>
    <row r="60" spans="1:8">
      <c r="A60" s="59" t="s">
        <v>34</v>
      </c>
      <c r="B60" s="147">
        <f>VLOOKUP(SpaceModelUNIV[[#This Row],[Institution Name]],InputResearch[],3,FALSE)</f>
        <v>200</v>
      </c>
      <c r="C60" s="74">
        <v>3665</v>
      </c>
      <c r="D60" s="76">
        <f>SUMIFS(InputResearch[R&amp;D Exp - Inst foundation/501(c)(3)],InputResearch[Institution Name],SpaceModelUNIV[[#This Row],[Institution Name]])</f>
        <v>0</v>
      </c>
      <c r="E60" s="76">
        <f>SUMIFS(InputResearch[Pass-Thru from other Texas A&amp;M members],InputResearch[Institution Name],SpaceModelUNIV[[#This Row],[Institution Name]])</f>
        <v>132741</v>
      </c>
      <c r="F60" s="76">
        <f>SUMIF(InputResearch[Institution Name],SpaceModelUNIV[[#This Row],[Institution Name]],InputResearch[Res. Exp.])</f>
        <v>9372367</v>
      </c>
      <c r="G60" s="76">
        <f>SUMIF(InputResearch[Institution Name],SpaceModelUNIV[[#This Row],[Institution Name]],InputResearch[E&amp;G Exp.])</f>
        <v>145111291</v>
      </c>
      <c r="H60" s="70"/>
    </row>
    <row r="61" spans="1:8">
      <c r="A61" s="59" t="s">
        <v>35</v>
      </c>
      <c r="B61" s="147">
        <f>VLOOKUP(SpaceModelUNIV[[#This Row],[Institution Name]],InputResearch[],3,FALSE)</f>
        <v>210</v>
      </c>
      <c r="C61" s="74">
        <v>3565</v>
      </c>
      <c r="D61" s="76">
        <f>SUMIFS(InputResearch[R&amp;D Exp - Inst foundation/501(c)(3)],InputResearch[Institution Name],SpaceModelUNIV[[#This Row],[Institution Name]])</f>
        <v>0</v>
      </c>
      <c r="E61" s="76">
        <f>SUMIFS(InputResearch[Pass-Thru from other Texas A&amp;M members],InputResearch[Institution Name],SpaceModelUNIV[[#This Row],[Institution Name]])</f>
        <v>11700</v>
      </c>
      <c r="F61" s="76">
        <f>SUMIF(InputResearch[Institution Name],SpaceModelUNIV[[#This Row],[Institution Name]],InputResearch[Res. Exp.])</f>
        <v>6757077</v>
      </c>
      <c r="G61" s="76">
        <f>SUMIF(InputResearch[Institution Name],SpaceModelUNIV[[#This Row],[Institution Name]],InputResearch[E&amp;G Exp.])</f>
        <v>153559247</v>
      </c>
      <c r="H61" s="70"/>
    </row>
    <row r="62" spans="1:8">
      <c r="A62" s="59" t="s">
        <v>36</v>
      </c>
      <c r="B62" s="147">
        <f>VLOOKUP(SpaceModelUNIV[[#This Row],[Institution Name]],InputResearch[],3,FALSE)</f>
        <v>220</v>
      </c>
      <c r="C62" s="74">
        <v>29269</v>
      </c>
      <c r="D62" s="76">
        <f>SUMIFS(InputResearch[R&amp;D Exp - Inst foundation/501(c)(3)],InputResearch[Institution Name],SpaceModelUNIV[[#This Row],[Institution Name]])</f>
        <v>0</v>
      </c>
      <c r="E62" s="76">
        <f>SUMIFS(InputResearch[Pass-Thru from other Texas A&amp;M members],InputResearch[Institution Name],SpaceModelUNIV[[#This Row],[Institution Name]])</f>
        <v>0</v>
      </c>
      <c r="F62" s="76">
        <f>SUMIF(InputResearch[Institution Name],SpaceModelUNIV[[#This Row],[Institution Name]],InputResearch[Res. Exp.])</f>
        <v>15923</v>
      </c>
      <c r="G62" s="76">
        <f>SUMIF(InputResearch[Institution Name],SpaceModelUNIV[[#This Row],[Institution Name]],InputResearch[E&amp;G Exp.])</f>
        <v>46526630</v>
      </c>
      <c r="H62" s="70"/>
    </row>
    <row r="63" spans="1:8">
      <c r="A63" s="59" t="s">
        <v>37</v>
      </c>
      <c r="B63" s="147">
        <f>VLOOKUP(SpaceModelUNIV[[#This Row],[Institution Name]],InputResearch[],3,FALSE)</f>
        <v>223</v>
      </c>
      <c r="C63" s="74">
        <v>42295</v>
      </c>
      <c r="D63" s="76">
        <f>SUMIFS(InputResearch[R&amp;D Exp - Inst foundation/501(c)(3)],InputResearch[Institution Name],SpaceModelUNIV[[#This Row],[Institution Name]])</f>
        <v>0</v>
      </c>
      <c r="E63" s="76">
        <f>SUMIFS(InputResearch[Pass-Thru from other Texas A&amp;M members],InputResearch[Institution Name],SpaceModelUNIV[[#This Row],[Institution Name]])</f>
        <v>3686</v>
      </c>
      <c r="F63" s="76">
        <f>SUMIF(InputResearch[Institution Name],SpaceModelUNIV[[#This Row],[Institution Name]],InputResearch[Res. Exp.])</f>
        <v>1333613</v>
      </c>
      <c r="G63" s="76">
        <f>SUMIF(InputResearch[Institution Name],SpaceModelUNIV[[#This Row],[Institution Name]],InputResearch[E&amp;G Exp.])</f>
        <v>40799699</v>
      </c>
      <c r="H63" s="70"/>
    </row>
    <row r="64" spans="1:8">
      <c r="A64" s="59" t="s">
        <v>38</v>
      </c>
      <c r="B64" s="147">
        <f>VLOOKUP(SpaceModelUNIV[[#This Row],[Institution Name]],InputResearch[],3,FALSE)</f>
        <v>226</v>
      </c>
      <c r="C64" s="74">
        <v>42485</v>
      </c>
      <c r="D64" s="76">
        <f>SUMIFS(InputResearch[R&amp;D Exp - Inst foundation/501(c)(3)],InputResearch[Institution Name],SpaceModelUNIV[[#This Row],[Institution Name]])</f>
        <v>0</v>
      </c>
      <c r="E64" s="76">
        <f>SUMIFS(InputResearch[Pass-Thru from other Texas A&amp;M members],InputResearch[Institution Name],SpaceModelUNIV[[#This Row],[Institution Name]])</f>
        <v>0</v>
      </c>
      <c r="F64" s="76">
        <f>SUMIF(InputResearch[Institution Name],SpaceModelUNIV[[#This Row],[Institution Name]],InputResearch[Res. Exp.])</f>
        <v>3119876</v>
      </c>
      <c r="G64" s="76">
        <f>SUMIF(InputResearch[Institution Name],SpaceModelUNIV[[#This Row],[Institution Name]],InputResearch[E&amp;G Exp.])</f>
        <v>98346117</v>
      </c>
      <c r="H64" s="70"/>
    </row>
    <row r="65" spans="1:8">
      <c r="A65" s="59" t="s">
        <v>716</v>
      </c>
      <c r="B65" s="147">
        <f>VLOOKUP(SpaceModelUNIV[[#This Row],[Institution Name]],InputResearch[],3,FALSE)</f>
        <v>231</v>
      </c>
      <c r="C65" s="74">
        <v>3652</v>
      </c>
      <c r="D65" s="76">
        <f>SUMIFS(InputResearch[R&amp;D Exp - Inst foundation/501(c)(3)],InputResearch[Institution Name],SpaceModelUNIV[[#This Row],[Institution Name]])</f>
        <v>0</v>
      </c>
      <c r="E65" s="76">
        <f>SUMIFS(InputResearch[Pass-Thru from other Texas A&amp;M members],InputResearch[Institution Name],SpaceModelUNIV[[#This Row],[Institution Name]])</f>
        <v>0</v>
      </c>
      <c r="F65" s="76">
        <f>SUMIF(InputResearch[Institution Name],SpaceModelUNIV[[#This Row],[Institution Name]],InputResearch[Res. Exp.])</f>
        <v>170206315</v>
      </c>
      <c r="G65" s="76">
        <f>SUMIF(InputResearch[Institution Name],SpaceModelUNIV[[#This Row],[Institution Name]],InputResearch[E&amp;G Exp.])</f>
        <v>940842619</v>
      </c>
      <c r="H65" s="70"/>
    </row>
    <row r="66" spans="1:8">
      <c r="A66" s="59" t="s">
        <v>39</v>
      </c>
      <c r="B66" s="147">
        <f>VLOOKUP(SpaceModelUNIV[[#This Row],[Institution Name]],InputResearch[],3,FALSE)</f>
        <v>240</v>
      </c>
      <c r="C66" s="74">
        <v>11711</v>
      </c>
      <c r="D66" s="76">
        <f>SUMIFS(InputResearch[R&amp;D Exp - Inst foundation/501(c)(3)],InputResearch[Institution Name],SpaceModelUNIV[[#This Row],[Institution Name]])</f>
        <v>0</v>
      </c>
      <c r="E66" s="76">
        <f>SUMIFS(InputResearch[Pass-Thru from other Texas A&amp;M members],InputResearch[Institution Name],SpaceModelUNIV[[#This Row],[Institution Name]])</f>
        <v>0</v>
      </c>
      <c r="F66" s="76">
        <f>SUMIF(InputResearch[Institution Name],SpaceModelUNIV[[#This Row],[Institution Name]],InputResearch[Res. Exp.])</f>
        <v>2184946</v>
      </c>
      <c r="G66" s="76">
        <f>SUMIF(InputResearch[Institution Name],SpaceModelUNIV[[#This Row],[Institution Name]],InputResearch[E&amp;G Exp.])</f>
        <v>133359340</v>
      </c>
      <c r="H66" s="70"/>
    </row>
    <row r="67" spans="1:8">
      <c r="A67" s="59" t="s">
        <v>40</v>
      </c>
      <c r="B67" s="147">
        <f>VLOOKUP(SpaceModelUNIV[[#This Row],[Institution Name]],InputResearch[],3,FALSE)</f>
        <v>250</v>
      </c>
      <c r="C67" s="74">
        <v>12826</v>
      </c>
      <c r="D67" s="76">
        <f>SUMIFS(InputResearch[R&amp;D Exp - Inst foundation/501(c)(3)],InputResearch[Institution Name],SpaceModelUNIV[[#This Row],[Institution Name]])</f>
        <v>0</v>
      </c>
      <c r="E67" s="76">
        <f>SUMIFS(InputResearch[Pass-Thru from other Texas A&amp;M members],InputResearch[Institution Name],SpaceModelUNIV[[#This Row],[Institution Name]])</f>
        <v>0</v>
      </c>
      <c r="F67" s="76">
        <f>SUMIF(InputResearch[Institution Name],SpaceModelUNIV[[#This Row],[Institution Name]],InputResearch[Res. Exp.])</f>
        <v>1990793</v>
      </c>
      <c r="G67" s="76">
        <f>SUMIF(InputResearch[Institution Name],SpaceModelUNIV[[#This Row],[Institution Name]],InputResearch[E&amp;G Exp.])</f>
        <v>181911915</v>
      </c>
      <c r="H67" s="70"/>
    </row>
    <row r="68" spans="1:8">
      <c r="A68" s="59" t="s">
        <v>41</v>
      </c>
      <c r="B68" s="147">
        <f>VLOOKUP(SpaceModelUNIV[[#This Row],[Institution Name]],InputResearch[],3,FALSE)</f>
        <v>260</v>
      </c>
      <c r="C68" s="74">
        <v>13231</v>
      </c>
      <c r="D68" s="76">
        <f>SUMIFS(InputResearch[R&amp;D Exp - Inst foundation/501(c)(3)],InputResearch[Institution Name],SpaceModelUNIV[[#This Row],[Institution Name]])</f>
        <v>0</v>
      </c>
      <c r="E68" s="76">
        <f>SUMIFS(InputResearch[Pass-Thru from other Texas A&amp;M members],InputResearch[Institution Name],SpaceModelUNIV[[#This Row],[Institution Name]])</f>
        <v>0</v>
      </c>
      <c r="F68" s="76">
        <f>SUMIF(InputResearch[Institution Name],SpaceModelUNIV[[#This Row],[Institution Name]],InputResearch[Res. Exp.])</f>
        <v>765515</v>
      </c>
      <c r="G68" s="76">
        <f>SUMIF(InputResearch[Institution Name],SpaceModelUNIV[[#This Row],[Institution Name]],InputResearch[E&amp;G Exp.])</f>
        <v>55351909</v>
      </c>
      <c r="H68" s="70"/>
    </row>
    <row r="69" spans="1:8">
      <c r="A69" s="59" t="s">
        <v>42</v>
      </c>
      <c r="B69" s="147">
        <f>VLOOKUP(SpaceModelUNIV[[#This Row],[Institution Name]],InputResearch[],3,FALSE)</f>
        <v>270</v>
      </c>
      <c r="C69" s="74">
        <v>3581</v>
      </c>
      <c r="D69" s="76">
        <f>SUMIFS(InputResearch[R&amp;D Exp - Inst foundation/501(c)(3)],InputResearch[Institution Name],SpaceModelUNIV[[#This Row],[Institution Name]])</f>
        <v>0</v>
      </c>
      <c r="E69" s="76">
        <f>SUMIFS(InputResearch[Pass-Thru from other Texas A&amp;M members],InputResearch[Institution Name],SpaceModelUNIV[[#This Row],[Institution Name]])</f>
        <v>0</v>
      </c>
      <c r="F69" s="76">
        <f>SUMIF(InputResearch[Institution Name],SpaceModelUNIV[[#This Row],[Institution Name]],InputResearch[Res. Exp.])</f>
        <v>7843806</v>
      </c>
      <c r="G69" s="76">
        <f>SUMIF(InputResearch[Institution Name],SpaceModelUNIV[[#This Row],[Institution Name]],InputResearch[E&amp;G Exp.])</f>
        <v>195243619</v>
      </c>
      <c r="H69" s="70"/>
    </row>
    <row r="70" spans="1:8">
      <c r="A70" s="59" t="s">
        <v>717</v>
      </c>
      <c r="B70" s="147">
        <f>VLOOKUP(SpaceModelUNIV[[#This Row],[Institution Name]],InputResearch[],3,FALSE)</f>
        <v>281</v>
      </c>
      <c r="C70" s="74">
        <v>3606</v>
      </c>
      <c r="D70" s="76">
        <f>SUMIFS(InputResearch[R&amp;D Exp - Inst foundation/501(c)(3)],InputResearch[Institution Name],SpaceModelUNIV[[#This Row],[Institution Name]])</f>
        <v>0</v>
      </c>
      <c r="E70" s="76">
        <f>SUMIFS(InputResearch[Pass-Thru from other Texas A&amp;M members],InputResearch[Institution Name],SpaceModelUNIV[[#This Row],[Institution Name]])</f>
        <v>0</v>
      </c>
      <c r="F70" s="76">
        <f>SUMIF(InputResearch[Institution Name],SpaceModelUNIV[[#This Row],[Institution Name]],InputResearch[Res. Exp.])</f>
        <v>11255679</v>
      </c>
      <c r="G70" s="76">
        <f>SUMIF(InputResearch[Institution Name],SpaceModelUNIV[[#This Row],[Institution Name]],InputResearch[E&amp;G Exp.])</f>
        <v>315230803</v>
      </c>
      <c r="H70" s="70"/>
    </row>
    <row r="71" spans="1:8">
      <c r="A71" s="59" t="s">
        <v>44</v>
      </c>
      <c r="B71" s="147">
        <f>VLOOKUP(SpaceModelUNIV[[#This Row],[Institution Name]],InputResearch[],3,FALSE)</f>
        <v>290</v>
      </c>
      <c r="C71" s="74">
        <v>3615</v>
      </c>
      <c r="D71" s="76">
        <f>SUMIFS(InputResearch[R&amp;D Exp - Inst foundation/501(c)(3)],InputResearch[Institution Name],SpaceModelUNIV[[#This Row],[Institution Name]])</f>
        <v>0</v>
      </c>
      <c r="E71" s="76">
        <f>SUMIFS(InputResearch[Pass-Thru from other Texas A&amp;M members],InputResearch[Institution Name],SpaceModelUNIV[[#This Row],[Institution Name]])</f>
        <v>0</v>
      </c>
      <c r="F71" s="76">
        <f>SUMIF(InputResearch[Institution Name],SpaceModelUNIV[[#This Row],[Institution Name]],InputResearch[Res. Exp.])</f>
        <v>130931460</v>
      </c>
      <c r="G71" s="76">
        <f>SUMIF(InputResearch[Institution Name],SpaceModelUNIV[[#This Row],[Institution Name]],InputResearch[E&amp;G Exp.])</f>
        <v>574498437</v>
      </c>
      <c r="H71" s="70"/>
    </row>
    <row r="72" spans="1:8">
      <c r="A72" s="59" t="s">
        <v>45</v>
      </c>
      <c r="B72" s="147">
        <f>VLOOKUP(SpaceModelUNIV[[#This Row],[Institution Name]],InputResearch[],3,FALSE)</f>
        <v>300</v>
      </c>
      <c r="C72" s="74">
        <v>3625</v>
      </c>
      <c r="D72" s="76">
        <f>SUMIFS(InputResearch[R&amp;D Exp - Inst foundation/501(c)(3)],InputResearch[Institution Name],SpaceModelUNIV[[#This Row],[Institution Name]])</f>
        <v>0</v>
      </c>
      <c r="E72" s="76">
        <f>SUMIFS(InputResearch[Pass-Thru from other Texas A&amp;M members],InputResearch[Institution Name],SpaceModelUNIV[[#This Row],[Institution Name]])</f>
        <v>0</v>
      </c>
      <c r="F72" s="76">
        <f>SUMIF(InputResearch[Institution Name],SpaceModelUNIV[[#This Row],[Institution Name]],InputResearch[Res. Exp.])</f>
        <v>4646398</v>
      </c>
      <c r="G72" s="76">
        <f>SUMIF(InputResearch[Institution Name],SpaceModelUNIV[[#This Row],[Institution Name]],InputResearch[E&amp;G Exp.])</f>
        <v>48237735</v>
      </c>
      <c r="H72" s="70"/>
    </row>
    <row r="73" spans="1:8">
      <c r="A73" s="59" t="s">
        <v>46</v>
      </c>
      <c r="B73" s="147">
        <f>VLOOKUP(SpaceModelUNIV[[#This Row],[Institution Name]],InputResearch[],3,FALSE)</f>
        <v>310</v>
      </c>
      <c r="C73" s="74">
        <v>3644</v>
      </c>
      <c r="D73" s="76">
        <f>SUMIFS(InputResearch[R&amp;D Exp - Inst foundation/501(c)(3)],InputResearch[Institution Name],SpaceModelUNIV[[#This Row],[Institution Name]])</f>
        <v>0</v>
      </c>
      <c r="E73" s="76">
        <f>SUMIFS(InputResearch[Pass-Thru from other Texas A&amp;M members],InputResearch[Institution Name],SpaceModelUNIV[[#This Row],[Institution Name]])</f>
        <v>0</v>
      </c>
      <c r="F73" s="76">
        <f>SUMIF(InputResearch[Institution Name],SpaceModelUNIV[[#This Row],[Institution Name]],InputResearch[Res. Exp.])</f>
        <v>216376126</v>
      </c>
      <c r="G73" s="76">
        <f>SUMIF(InputResearch[Institution Name],SpaceModelUNIV[[#This Row],[Institution Name]],InputResearch[E&amp;G Exp.])</f>
        <v>870358991</v>
      </c>
      <c r="H73" s="70"/>
    </row>
    <row r="74" spans="1:8">
      <c r="A74" s="59" t="s">
        <v>47</v>
      </c>
      <c r="B74" s="147">
        <f>VLOOKUP(SpaceModelUNIV[[#This Row],[Institution Name]],InputResearch[],3,FALSE)</f>
        <v>320</v>
      </c>
      <c r="C74" s="74">
        <v>3541</v>
      </c>
      <c r="D74" s="76">
        <f>SUMIFS(InputResearch[R&amp;D Exp - Inst foundation/501(c)(3)],InputResearch[Institution Name],SpaceModelUNIV[[#This Row],[Institution Name]])</f>
        <v>0</v>
      </c>
      <c r="E74" s="76">
        <f>SUMIFS(InputResearch[Pass-Thru from other Texas A&amp;M members],InputResearch[Institution Name],SpaceModelUNIV[[#This Row],[Institution Name]])</f>
        <v>0</v>
      </c>
      <c r="F74" s="76">
        <f>SUMIF(InputResearch[Institution Name],SpaceModelUNIV[[#This Row],[Institution Name]],InputResearch[Res. Exp.])</f>
        <v>1009047</v>
      </c>
      <c r="G74" s="76">
        <f>SUMIF(InputResearch[Institution Name],SpaceModelUNIV[[#This Row],[Institution Name]],InputResearch[E&amp;G Exp.])</f>
        <v>116251315</v>
      </c>
      <c r="H74" s="70"/>
    </row>
    <row r="75" spans="1:8">
      <c r="A75" s="59" t="s">
        <v>48</v>
      </c>
      <c r="B75" s="147">
        <f>VLOOKUP(SpaceModelUNIV[[#This Row],[Institution Name]],InputResearch[],3,FALSE)</f>
        <v>330</v>
      </c>
      <c r="C75" s="74">
        <v>3594</v>
      </c>
      <c r="D75" s="76">
        <f>SUMIFS(InputResearch[R&amp;D Exp - Inst foundation/501(c)(3)],InputResearch[Institution Name],SpaceModelUNIV[[#This Row],[Institution Name]])</f>
        <v>0</v>
      </c>
      <c r="E75" s="76">
        <f>SUMIFS(InputResearch[Pass-Thru from other Texas A&amp;M members],InputResearch[Institution Name],SpaceModelUNIV[[#This Row],[Institution Name]])</f>
        <v>0</v>
      </c>
      <c r="F75" s="76">
        <f>SUMIF(InputResearch[Institution Name],SpaceModelUNIV[[#This Row],[Institution Name]],InputResearch[Res. Exp.])</f>
        <v>97108805</v>
      </c>
      <c r="G75" s="76">
        <f>SUMIF(InputResearch[Institution Name],SpaceModelUNIV[[#This Row],[Institution Name]],InputResearch[E&amp;G Exp.])</f>
        <v>739636637</v>
      </c>
      <c r="H75" s="70"/>
    </row>
    <row r="76" spans="1:8">
      <c r="A76" s="59" t="s">
        <v>49</v>
      </c>
      <c r="B76" s="147">
        <f>VLOOKUP(SpaceModelUNIV[[#This Row],[Institution Name]],InputResearch[],3,FALSE)</f>
        <v>333</v>
      </c>
      <c r="C76" s="74">
        <v>42421</v>
      </c>
      <c r="D76" s="76">
        <f>SUMIFS(InputResearch[R&amp;D Exp - Inst foundation/501(c)(3)],InputResearch[Institution Name],SpaceModelUNIV[[#This Row],[Institution Name]])</f>
        <v>0</v>
      </c>
      <c r="E76" s="76">
        <f>SUMIFS(InputResearch[Pass-Thru from other Texas A&amp;M members],InputResearch[Institution Name],SpaceModelUNIV[[#This Row],[Institution Name]])</f>
        <v>0</v>
      </c>
      <c r="F76" s="76">
        <f>SUMIF(InputResearch[Institution Name],SpaceModelUNIV[[#This Row],[Institution Name]],InputResearch[Res. Exp.])</f>
        <v>1465778</v>
      </c>
      <c r="G76" s="76">
        <f>SUMIF(InputResearch[Institution Name],SpaceModelUNIV[[#This Row],[Institution Name]],InputResearch[E&amp;G Exp.])</f>
        <v>72999146</v>
      </c>
      <c r="H76" s="70"/>
    </row>
    <row r="77" spans="1:8">
      <c r="A77" s="59" t="s">
        <v>50</v>
      </c>
      <c r="B77" s="147">
        <f>VLOOKUP(SpaceModelUNIV[[#This Row],[Institution Name]],InputResearch[],3,FALSE)</f>
        <v>340</v>
      </c>
      <c r="C77" s="74">
        <v>3592</v>
      </c>
      <c r="D77" s="76">
        <f>SUMIFS(InputResearch[R&amp;D Exp - Inst foundation/501(c)(3)],InputResearch[Institution Name],SpaceModelUNIV[[#This Row],[Institution Name]])</f>
        <v>0</v>
      </c>
      <c r="E77" s="76">
        <f>SUMIFS(InputResearch[Pass-Thru from other Texas A&amp;M members],InputResearch[Institution Name],SpaceModelUNIV[[#This Row],[Institution Name]])</f>
        <v>0</v>
      </c>
      <c r="F77" s="76">
        <f>SUMIF(InputResearch[Institution Name],SpaceModelUNIV[[#This Row],[Institution Name]],InputResearch[Res. Exp.])</f>
        <v>870118</v>
      </c>
      <c r="G77" s="76">
        <f>SUMIF(InputResearch[Institution Name],SpaceModelUNIV[[#This Row],[Institution Name]],InputResearch[E&amp;G Exp.])</f>
        <v>88854953</v>
      </c>
      <c r="H77" s="70"/>
    </row>
    <row r="78" spans="1:8">
      <c r="A78" s="59" t="s">
        <v>26</v>
      </c>
      <c r="B78" s="147">
        <f>VLOOKUP(SpaceModelUNIV[[#This Row],[Institution Name]],InputResearch[],3,FALSE)</f>
        <v>350</v>
      </c>
      <c r="C78" s="74">
        <v>3624</v>
      </c>
      <c r="D78" s="76">
        <f>SUMIFS(InputResearch[R&amp;D Exp - Inst foundation/501(c)(3)],InputResearch[Institution Name],SpaceModelUNIV[[#This Row],[Institution Name]])</f>
        <v>0</v>
      </c>
      <c r="E78" s="76">
        <f>SUMIFS(InputResearch[Pass-Thru from other Texas A&amp;M members],InputResearch[Institution Name],SpaceModelUNIV[[#This Row],[Institution Name]])</f>
        <v>0</v>
      </c>
      <c r="F78" s="76">
        <f>SUMIF(InputResearch[Institution Name],SpaceModelUNIV[[#This Row],[Institution Name]],InputResearch[Res. Exp.])</f>
        <v>3382035</v>
      </c>
      <c r="G78" s="76">
        <f>SUMIF(InputResearch[Institution Name],SpaceModelUNIV[[#This Row],[Institution Name]],InputResearch[E&amp;G Exp.])</f>
        <v>178692234</v>
      </c>
      <c r="H78" s="70"/>
    </row>
    <row r="79" spans="1:8">
      <c r="A79" s="59" t="s">
        <v>51</v>
      </c>
      <c r="B79" s="147">
        <f>VLOOKUP(SpaceModelUNIV[[#This Row],[Institution Name]],InputResearch[],3,FALSE)</f>
        <v>360</v>
      </c>
      <c r="C79" s="74">
        <v>3642</v>
      </c>
      <c r="D79" s="76">
        <f>SUMIFS(InputResearch[R&amp;D Exp - Inst foundation/501(c)(3)],InputResearch[Institution Name],SpaceModelUNIV[[#This Row],[Institution Name]])</f>
        <v>0</v>
      </c>
      <c r="E79" s="76">
        <f>SUMIFS(InputResearch[Pass-Thru from other Texas A&amp;M members],InputResearch[Institution Name],SpaceModelUNIV[[#This Row],[Institution Name]])</f>
        <v>0</v>
      </c>
      <c r="F79" s="76">
        <f>SUMIF(InputResearch[Institution Name],SpaceModelUNIV[[#This Row],[Institution Name]],InputResearch[Res. Exp.])</f>
        <v>8482463</v>
      </c>
      <c r="G79" s="76">
        <f>SUMIF(InputResearch[Institution Name],SpaceModelUNIV[[#This Row],[Institution Name]],InputResearch[E&amp;G Exp.])</f>
        <v>212153744</v>
      </c>
      <c r="H79" s="70"/>
    </row>
    <row r="80" spans="1:8">
      <c r="A80" s="59" t="s">
        <v>52</v>
      </c>
      <c r="B80" s="147">
        <f>VLOOKUP(SpaceModelUNIV[[#This Row],[Institution Name]],InputResearch[],3,FALSE)</f>
        <v>370</v>
      </c>
      <c r="C80" s="74">
        <v>3646</v>
      </c>
      <c r="D80" s="76">
        <f>SUMIFS(InputResearch[R&amp;D Exp - Inst foundation/501(c)(3)],InputResearch[Institution Name],SpaceModelUNIV[[#This Row],[Institution Name]])</f>
        <v>0</v>
      </c>
      <c r="E80" s="76">
        <f>SUMIFS(InputResearch[Pass-Thru from other Texas A&amp;M members],InputResearch[Institution Name],SpaceModelUNIV[[#This Row],[Institution Name]])</f>
        <v>0</v>
      </c>
      <c r="F80" s="76">
        <f>SUMIF(InputResearch[Institution Name],SpaceModelUNIV[[#This Row],[Institution Name]],InputResearch[Res. Exp.])</f>
        <v>6660350</v>
      </c>
      <c r="G80" s="76">
        <f>SUMIF(InputResearch[Institution Name],SpaceModelUNIV[[#This Row],[Institution Name]],InputResearch[E&amp;G Exp.])</f>
        <v>206090903</v>
      </c>
      <c r="H80" s="70"/>
    </row>
    <row r="81" spans="1:8">
      <c r="B81" s="145"/>
      <c r="C81" s="74"/>
      <c r="D81" s="334">
        <f>SUBTOTAL(109,SpaceModelUNIV[501(c)(3)¹])</f>
        <v>64841632</v>
      </c>
      <c r="E81" s="334">
        <f>SUBTOTAL(109,SpaceModelUNIV[TEES 
Pass-through¹])</f>
        <v>396894</v>
      </c>
      <c r="F81" s="334">
        <f>SUBTOTAL(109,SpaceModelUNIV[Research 
Expenditures²])</f>
        <v>2448168124</v>
      </c>
      <c r="G81" s="334">
        <f>SUBTOTAL(109,SpaceModelUNIV[Current E &amp; G 
Expenditures²])</f>
        <v>14020389948</v>
      </c>
      <c r="H81" s="70"/>
    </row>
    <row r="82" spans="1:8" ht="15.6">
      <c r="A82" s="480" t="s">
        <v>709</v>
      </c>
      <c r="B82" s="480"/>
      <c r="C82" s="480"/>
      <c r="D82" s="480"/>
      <c r="E82" s="480"/>
      <c r="F82" s="480"/>
      <c r="G82" s="70"/>
      <c r="H82" s="70"/>
    </row>
    <row r="83" spans="1:8" ht="15.6">
      <c r="A83" s="480" t="s">
        <v>708</v>
      </c>
      <c r="B83" s="480"/>
      <c r="C83" s="480"/>
      <c r="D83" s="480"/>
      <c r="E83" s="480"/>
      <c r="F83" s="480"/>
      <c r="G83" s="70"/>
      <c r="H83" s="70"/>
    </row>
    <row r="84" spans="1:8">
      <c r="A84" s="70"/>
      <c r="B84" s="70"/>
      <c r="C84" s="70"/>
      <c r="D84" s="70"/>
      <c r="E84" s="70"/>
      <c r="F84" s="70"/>
      <c r="G84" s="70"/>
      <c r="H84" s="70"/>
    </row>
    <row r="85" spans="1:8" ht="33" customHeight="1">
      <c r="A85" s="439" t="s">
        <v>842</v>
      </c>
      <c r="B85" s="440"/>
      <c r="C85" s="440"/>
      <c r="D85" s="440"/>
      <c r="E85" s="440"/>
      <c r="F85" s="440"/>
      <c r="G85" s="440"/>
      <c r="H85" s="70"/>
    </row>
    <row r="86" spans="1:8" ht="17.399999999999999">
      <c r="A86" s="479">
        <v>45390</v>
      </c>
      <c r="B86" s="479"/>
      <c r="C86" s="479"/>
      <c r="D86" s="479"/>
      <c r="E86" s="479"/>
      <c r="F86" s="479"/>
      <c r="G86" s="479"/>
      <c r="H86" s="70"/>
    </row>
    <row r="87" spans="1:8" ht="17.399999999999999">
      <c r="A87" s="263"/>
      <c r="B87" s="263"/>
      <c r="C87" s="263"/>
      <c r="D87" s="263"/>
      <c r="E87" s="263"/>
      <c r="F87" s="263"/>
      <c r="G87" s="263"/>
      <c r="H87" s="70"/>
    </row>
    <row r="88" spans="1:8" ht="31.2">
      <c r="A88" s="264" t="s">
        <v>1</v>
      </c>
      <c r="B88" s="265" t="s">
        <v>889</v>
      </c>
      <c r="C88" s="266" t="s">
        <v>2</v>
      </c>
      <c r="D88" s="267" t="s">
        <v>746</v>
      </c>
      <c r="E88" s="267" t="s">
        <v>748</v>
      </c>
      <c r="F88" s="267" t="s">
        <v>747</v>
      </c>
      <c r="G88" s="267" t="s">
        <v>749</v>
      </c>
      <c r="H88" s="70"/>
    </row>
    <row r="89" spans="1:8">
      <c r="A89" s="59" t="s">
        <v>27</v>
      </c>
      <c r="B89" s="59">
        <f>VLOOKUP(SpaceModelTAMUSS[[#This Row],[Institution Name]],InputResearch[],3,FALSE)</f>
        <v>130</v>
      </c>
      <c r="C89" s="159">
        <v>3632</v>
      </c>
      <c r="D89" s="76">
        <f>SUMIFS(InputResearch[R&amp;D Exp - Inst foundation/501(c)(3)],InputResearch[Institution Name],SpaceModelTAMUSS[[#This Row],[Institution Name]])</f>
        <v>65803046</v>
      </c>
      <c r="E89" s="76">
        <f>SUMIFS(InputResearch[Pass-Thru from other Texas A&amp;M members],InputResearch[Institution Name],SpaceModelTAMUSS[[#This Row],[Institution Name]])</f>
        <v>0</v>
      </c>
      <c r="F89" s="76">
        <f>SUMIF(InputResearch[Institution Name],SpaceModelTAMUSS[[#This Row],[Institution Name]],InputResearch[Res. Exp.])</f>
        <v>296707176</v>
      </c>
      <c r="G89" s="76">
        <f>SUMIF(InputResearch[Institution Name],SpaceModelTAMUSS[[#This Row],[Institution Name]],InputResearch[E&amp;G Exp.])</f>
        <v>1786892203</v>
      </c>
      <c r="H89" s="70"/>
    </row>
    <row r="90" spans="1:8">
      <c r="A90" s="59" t="s">
        <v>53</v>
      </c>
      <c r="B90" s="59">
        <f>VLOOKUP(SpaceModelTAMUSS[[#This Row],[Institution Name]],InputResearch[],3,FALSE)</f>
        <v>600</v>
      </c>
      <c r="C90" s="159">
        <v>556</v>
      </c>
      <c r="D90" s="76">
        <f>SUMIFS(InputResearch[R&amp;D Exp - Inst foundation/501(c)(3)],InputResearch[Institution Name],SpaceModelTAMUSS[[#This Row],[Institution Name]])</f>
        <v>274741</v>
      </c>
      <c r="E90" s="76">
        <f>SUMIFS(InputResearch[Pass-Thru from other Texas A&amp;M members],InputResearch[Institution Name],SpaceModelTAMUSS[[#This Row],[Institution Name]])</f>
        <v>826464</v>
      </c>
      <c r="F90" s="76">
        <f>SUMIF(InputResearch[Institution Name],SpaceModelTAMUSS[[#This Row],[Institution Name]],InputResearch[Res. Exp.])</f>
        <v>242878997</v>
      </c>
      <c r="G90" s="76">
        <f>SUMIF(InputResearch[Institution Name],SpaceModelTAMUSS[[#This Row],[Institution Name]],InputResearch[E&amp;G Exp.])</f>
        <v>249673418</v>
      </c>
      <c r="H90" s="70"/>
    </row>
    <row r="91" spans="1:8">
      <c r="A91" s="59" t="s">
        <v>54</v>
      </c>
      <c r="B91" s="59">
        <f>VLOOKUP(SpaceModelTAMUSS[[#This Row],[Institution Name]],InputResearch[],3,FALSE)</f>
        <v>605</v>
      </c>
      <c r="C91" s="159">
        <v>555</v>
      </c>
      <c r="D91" s="76">
        <f>SUMIFS(InputResearch[R&amp;D Exp - Inst foundation/501(c)(3)],InputResearch[Institution Name],SpaceModelTAMUSS[[#This Row],[Institution Name]])</f>
        <v>0</v>
      </c>
      <c r="E91" s="76">
        <f>SUMIFS(InputResearch[Pass-Thru from other Texas A&amp;M members],InputResearch[Institution Name],SpaceModelTAMUSS[[#This Row],[Institution Name]])</f>
        <v>0</v>
      </c>
      <c r="F91" s="76">
        <f>SUMIF(InputResearch[Institution Name],SpaceModelTAMUSS[[#This Row],[Institution Name]],InputResearch[Res. Exp.])</f>
        <v>1421969</v>
      </c>
      <c r="G91" s="76">
        <f>SUMIF(InputResearch[Institution Name],SpaceModelTAMUSS[[#This Row],[Institution Name]],InputResearch[E&amp;G Exp.])</f>
        <v>155499450</v>
      </c>
      <c r="H91" s="70"/>
    </row>
    <row r="92" spans="1:8">
      <c r="A92" s="59" t="s">
        <v>55</v>
      </c>
      <c r="B92" s="59">
        <f>VLOOKUP(SpaceModelTAMUSS[[#This Row],[Institution Name]],InputResearch[],3,FALSE)</f>
        <v>610</v>
      </c>
      <c r="C92" s="159">
        <v>712</v>
      </c>
      <c r="D92" s="76">
        <f>SUMIFS(InputResearch[R&amp;D Exp - Inst foundation/501(c)(3)],InputResearch[Institution Name],SpaceModelTAMUSS[[#This Row],[Institution Name]])</f>
        <v>-43480</v>
      </c>
      <c r="E92" s="76">
        <f>SUMIFS(InputResearch[Pass-Thru from other Texas A&amp;M members],InputResearch[Institution Name],SpaceModelTAMUSS[[#This Row],[Institution Name]])</f>
        <v>0</v>
      </c>
      <c r="F92" s="76">
        <f>SUMIF(InputResearch[Institution Name],SpaceModelTAMUSS[[#This Row],[Institution Name]],InputResearch[Res. Exp.])</f>
        <v>243728387</v>
      </c>
      <c r="G92" s="76">
        <f>SUMIF(InputResearch[Institution Name],SpaceModelTAMUSS[[#This Row],[Institution Name]],InputResearch[E&amp;G Exp.])</f>
        <v>243728387</v>
      </c>
      <c r="H92" s="70"/>
    </row>
    <row r="93" spans="1:8">
      <c r="A93" s="59" t="s">
        <v>56</v>
      </c>
      <c r="B93" s="59">
        <f>VLOOKUP(SpaceModelTAMUSS[[#This Row],[Institution Name]],InputResearch[],3,FALSE)</f>
        <v>615</v>
      </c>
      <c r="C93" s="159">
        <v>716</v>
      </c>
      <c r="D93" s="76">
        <f>SUMIFS(InputResearch[R&amp;D Exp - Inst foundation/501(c)(3)],InputResearch[Institution Name],SpaceModelTAMUSS[[#This Row],[Institution Name]])</f>
        <v>0</v>
      </c>
      <c r="E93" s="76">
        <f>SUMIFS(InputResearch[Pass-Thru from other Texas A&amp;M members],InputResearch[Institution Name],SpaceModelTAMUSS[[#This Row],[Institution Name]])</f>
        <v>0</v>
      </c>
      <c r="F93" s="76">
        <f>SUMIF(InputResearch[Institution Name],SpaceModelTAMUSS[[#This Row],[Institution Name]],InputResearch[Res. Exp.])</f>
        <v>0</v>
      </c>
      <c r="G93" s="76">
        <f>SUMIF(InputResearch[Institution Name],SpaceModelTAMUSS[[#This Row],[Institution Name]],InputResearch[E&amp;G Exp.])</f>
        <v>112022876</v>
      </c>
      <c r="H93" s="70"/>
    </row>
    <row r="94" spans="1:8">
      <c r="A94" s="59" t="s">
        <v>57</v>
      </c>
      <c r="B94" s="59">
        <f>VLOOKUP(SpaceModelTAMUSS[[#This Row],[Institution Name]],InputResearch[],3,FALSE)</f>
        <v>620</v>
      </c>
      <c r="C94" s="159">
        <v>576</v>
      </c>
      <c r="D94" s="76">
        <f>SUMIFS(InputResearch[R&amp;D Exp - Inst foundation/501(c)(3)],InputResearch[Institution Name],SpaceModelTAMUSS[[#This Row],[Institution Name]])</f>
        <v>0</v>
      </c>
      <c r="E94" s="76">
        <f>SUMIFS(InputResearch[Pass-Thru from other Texas A&amp;M members],InputResearch[Institution Name],SpaceModelTAMUSS[[#This Row],[Institution Name]])</f>
        <v>0</v>
      </c>
      <c r="F94" s="76">
        <f>SUMIF(InputResearch[Institution Name],SpaceModelTAMUSS[[#This Row],[Institution Name]],InputResearch[Res. Exp.])</f>
        <v>2728169</v>
      </c>
      <c r="G94" s="76">
        <f>SUMIF(InputResearch[Institution Name],SpaceModelTAMUSS[[#This Row],[Institution Name]],InputResearch[E&amp;G Exp.])</f>
        <v>125213687</v>
      </c>
      <c r="H94" s="70"/>
    </row>
    <row r="95" spans="1:8">
      <c r="A95" s="59" t="s">
        <v>58</v>
      </c>
      <c r="B95" s="59">
        <f>VLOOKUP(SpaceModelTAMUSS[[#This Row],[Institution Name]],InputResearch[],3,FALSE)</f>
        <v>625</v>
      </c>
      <c r="C95" s="159">
        <v>727</v>
      </c>
      <c r="D95" s="76">
        <f>SUMIFS(InputResearch[R&amp;D Exp - Inst foundation/501(c)(3)],InputResearch[Institution Name],SpaceModelTAMUSS[[#This Row],[Institution Name]])</f>
        <v>0</v>
      </c>
      <c r="E95" s="76">
        <f>SUMIFS(InputResearch[Pass-Thru from other Texas A&amp;M members],InputResearch[Institution Name],SpaceModelTAMUSS[[#This Row],[Institution Name]])</f>
        <v>0</v>
      </c>
      <c r="F95" s="76">
        <f>SUMIF(InputResearch[Institution Name],SpaceModelTAMUSS[[#This Row],[Institution Name]],InputResearch[Res. Exp.])</f>
        <v>92403253</v>
      </c>
      <c r="G95" s="76">
        <f>SUMIF(InputResearch[Institution Name],SpaceModelTAMUSS[[#This Row],[Institution Name]],InputResearch[E&amp;G Exp.])</f>
        <v>92403253</v>
      </c>
      <c r="H95" s="70"/>
    </row>
    <row r="96" spans="1:8">
      <c r="A96" s="59" t="s">
        <v>59</v>
      </c>
      <c r="B96" s="59">
        <f>VLOOKUP(SpaceModelTAMUSS[[#This Row],[Institution Name]],InputResearch[],3,FALSE)</f>
        <v>630</v>
      </c>
      <c r="C96" s="159">
        <v>557</v>
      </c>
      <c r="D96" s="76">
        <f>SUMIFS(InputResearch[R&amp;D Exp - Inst foundation/501(c)(3)],InputResearch[Institution Name],SpaceModelTAMUSS[[#This Row],[Institution Name]])</f>
        <v>0</v>
      </c>
      <c r="E96" s="76">
        <f>SUMIFS(InputResearch[Pass-Thru from other Texas A&amp;M members],InputResearch[Institution Name],SpaceModelTAMUSS[[#This Row],[Institution Name]])</f>
        <v>0</v>
      </c>
      <c r="F96" s="76">
        <f>SUMIF(InputResearch[Institution Name],SpaceModelTAMUSS[[#This Row],[Institution Name]],InputResearch[Res. Exp.])</f>
        <v>927216</v>
      </c>
      <c r="G96" s="76">
        <f>SUMIF(InputResearch[Institution Name],SpaceModelTAMUSS[[#This Row],[Institution Name]],InputResearch[E&amp;G Exp.])</f>
        <v>25268935</v>
      </c>
      <c r="H96" s="70"/>
    </row>
    <row r="97" spans="1:8">
      <c r="A97" s="59" t="s">
        <v>60</v>
      </c>
      <c r="B97" s="59">
        <f>VLOOKUP(SpaceModelTAMUSS[[#This Row],[Institution Name]],InputResearch[],3,FALSE)</f>
        <v>640</v>
      </c>
      <c r="C97" s="159">
        <v>575</v>
      </c>
      <c r="D97" s="76">
        <f>SUMIFS(InputResearch[R&amp;D Exp - Inst foundation/501(c)(3)],InputResearch[Institution Name],SpaceModelTAMUSS[[#This Row],[Institution Name]])</f>
        <v>0</v>
      </c>
      <c r="E97" s="76">
        <f>SUMIFS(InputResearch[Pass-Thru from other Texas A&amp;M members],InputResearch[Institution Name],SpaceModelTAMUSS[[#This Row],[Institution Name]])</f>
        <v>0</v>
      </c>
      <c r="F97" s="76">
        <f>SUMIF(InputResearch[Institution Name],SpaceModelTAMUSS[[#This Row],[Institution Name]],InputResearch[Res. Exp.])</f>
        <v>0</v>
      </c>
      <c r="G97" s="76">
        <f>SUMIF(InputResearch[Institution Name],SpaceModelTAMUSS[[#This Row],[Institution Name]],InputResearch[E&amp;G Exp.])</f>
        <v>1391452845</v>
      </c>
      <c r="H97" s="70"/>
    </row>
    <row r="98" spans="1:8">
      <c r="A98" s="59" t="s">
        <v>61</v>
      </c>
      <c r="B98" s="59">
        <f>VLOOKUP(SpaceModelTAMUSS[[#This Row],[Institution Name]],InputResearch[],3,FALSE)</f>
        <v>650</v>
      </c>
      <c r="C98" s="159">
        <v>708</v>
      </c>
      <c r="D98" s="76">
        <f>SUMIFS(InputResearch[R&amp;D Exp - Inst foundation/501(c)(3)],InputResearch[Institution Name],SpaceModelTAMUSS[[#This Row],[Institution Name]])</f>
        <v>0</v>
      </c>
      <c r="E98" s="76">
        <f>SUMIFS(InputResearch[Pass-Thru from other Texas A&amp;M members],InputResearch[Institution Name],SpaceModelTAMUSS[[#This Row],[Institution Name]])</f>
        <v>0</v>
      </c>
      <c r="F98" s="76">
        <f>SUMIF(InputResearch[Institution Name],SpaceModelTAMUSS[[#This Row],[Institution Name]],InputResearch[Res. Exp.])</f>
        <v>8521757</v>
      </c>
      <c r="G98" s="76">
        <f>SUMIF(InputResearch[Institution Name],SpaceModelTAMUSS[[#This Row],[Institution Name]],InputResearch[E&amp;G Exp.])</f>
        <v>19284112</v>
      </c>
      <c r="H98" s="70"/>
    </row>
    <row r="99" spans="1:8">
      <c r="A99" s="59" t="s">
        <v>829</v>
      </c>
      <c r="B99" s="59" t="str">
        <f>VLOOKUP(SpaceModelTAMUSS[[#This Row],[Institution Name]],InputResearch[],3,FALSE)</f>
        <v>S130</v>
      </c>
      <c r="C99" s="159">
        <v>3629</v>
      </c>
      <c r="D99" s="76">
        <f>SUMIFS(InputResearch[R&amp;D Exp - Inst foundation/501(c)(3)],InputResearch[Institution Name],SpaceModelTAMUSS[[#This Row],[Institution Name]])</f>
        <v>0</v>
      </c>
      <c r="E99" s="76">
        <f>SUMIFS(InputResearch[Pass-Thru from other Texas A&amp;M members],InputResearch[Institution Name],SpaceModelTAMUSS[[#This Row],[Institution Name]])</f>
        <v>0</v>
      </c>
      <c r="F99" s="76">
        <f>SUMIF(InputResearch[Institution Name],SpaceModelTAMUSS[[#This Row],[Institution Name]],InputResearch[Res. Exp.])</f>
        <v>240003</v>
      </c>
      <c r="G99" s="76">
        <f>SUMIF(InputResearch[Institution Name],SpaceModelTAMUSS[[#This Row],[Institution Name]],InputResearch[E&amp;G Exp.])</f>
        <v>239102389</v>
      </c>
      <c r="H99" s="70"/>
    </row>
    <row r="100" spans="1:8">
      <c r="D100" s="334">
        <f>SUBTOTAL(109,SpaceModelTAMUSS[501(c)(3)¹])</f>
        <v>66034307</v>
      </c>
      <c r="E100" s="334">
        <f>SUBTOTAL(109,SpaceModelTAMUSS[TEES 
Pass-through¹])</f>
        <v>826464</v>
      </c>
      <c r="F100" s="334">
        <f>SUBTOTAL(109,SpaceModelTAMUSS[Research 
Expenditures²])</f>
        <v>889556927</v>
      </c>
      <c r="G100" s="334">
        <f>SUBTOTAL(109,SpaceModelTAMUSS[Current E &amp; G 
Expenditures²])</f>
        <v>4440541555</v>
      </c>
      <c r="H100" s="70"/>
    </row>
    <row r="101" spans="1:8" ht="15.6">
      <c r="A101" s="480" t="s">
        <v>709</v>
      </c>
      <c r="B101" s="480"/>
      <c r="C101" s="480"/>
      <c r="D101" s="480"/>
      <c r="E101" s="480"/>
      <c r="F101" s="480"/>
      <c r="G101" s="70"/>
      <c r="H101" s="70"/>
    </row>
    <row r="102" spans="1:8" ht="15.6">
      <c r="A102" s="480" t="s">
        <v>708</v>
      </c>
      <c r="B102" s="480"/>
      <c r="C102" s="480"/>
      <c r="D102" s="480"/>
      <c r="E102" s="480"/>
      <c r="F102" s="480"/>
      <c r="G102" s="70"/>
      <c r="H102" s="70"/>
    </row>
    <row r="103" spans="1:8">
      <c r="A103" s="70"/>
      <c r="B103" s="70"/>
      <c r="C103" s="70"/>
      <c r="D103" s="70"/>
      <c r="E103" s="70"/>
      <c r="F103" s="70"/>
      <c r="G103" s="70"/>
      <c r="H103" s="70"/>
    </row>
  </sheetData>
  <sheetProtection algorithmName="SHA-512" hashValue="LvLrcmUimwhjRJvZfLt48fuot+D/Hi88e2EHW6jt/qtTSvhNkt/zmxsuxIuX2XXwoC7+XN3CDjL1KtF1pgyQIQ==" saltValue="1SanPayKfwoG+swFIGisaA==" spinCount="100000" sheet="1" objects="1" scenarios="1" formatColumns="0"/>
  <mergeCells count="17">
    <mergeCell ref="A1:F1"/>
    <mergeCell ref="A41:G41"/>
    <mergeCell ref="A42:G42"/>
    <mergeCell ref="A24:G24"/>
    <mergeCell ref="A25:G25"/>
    <mergeCell ref="A2:G2"/>
    <mergeCell ref="A3:G3"/>
    <mergeCell ref="A38:F38"/>
    <mergeCell ref="A39:F39"/>
    <mergeCell ref="A21:F21"/>
    <mergeCell ref="A22:F22"/>
    <mergeCell ref="A86:G86"/>
    <mergeCell ref="A85:G85"/>
    <mergeCell ref="A101:F101"/>
    <mergeCell ref="A102:F102"/>
    <mergeCell ref="A82:F82"/>
    <mergeCell ref="A83:F83"/>
  </mergeCells>
  <printOptions horizontalCentered="1"/>
  <pageMargins left="0.5" right="0.5" top="0.75" bottom="0.5" header="0.5" footer="0.3"/>
  <pageSetup scale="55" orientation="portrait" r:id="rId1"/>
  <headerFooter>
    <oddHeader>&amp;C&amp;"-,Bold"&amp;18&amp;K04+000Summary of Data for Academic Space Model - Fiscal Year 2023</oddHeader>
    <oddFooter>&amp;L&amp;"-,Italic"&amp;10 1) Source: FY 2023 Sources &amp; Uses Survey, Research Expenditure Worksheet
2) Source: FY 2023 Sources &amp; Uses Survey, Fund Group Detail (FGD) Worksheet, Space Projection Model Input&amp;RPrinted on: &amp;D</oddFooter>
  </headerFooter>
  <drawing r:id="rId2"/>
  <legacyDrawing r:id="rId3"/>
  <tableParts count="4">
    <tablePart r:id="rId4"/>
    <tablePart r:id="rId5"/>
    <tablePart r:id="rId6"/>
    <tablePart r:id="rId7"/>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8D4D5-F27B-486E-B540-7A0C2E0E20E3}">
  <sheetPr codeName="Sheet3">
    <tabColor theme="5"/>
    <pageSetUpPr fitToPage="1"/>
  </sheetPr>
  <dimension ref="A1:O194"/>
  <sheetViews>
    <sheetView zoomScale="85" zoomScaleNormal="85" workbookViewId="0">
      <pane ySplit="1" topLeftCell="A2" activePane="bottomLeft" state="frozen"/>
      <selection pane="bottomLeft" sqref="A1:L1"/>
    </sheetView>
  </sheetViews>
  <sheetFormatPr defaultColWidth="8.81640625" defaultRowHeight="15" outlineLevelCol="1"/>
  <cols>
    <col min="1" max="1" width="62.81640625" style="79" customWidth="1"/>
    <col min="2" max="2" width="10.81640625" style="80" hidden="1" customWidth="1" outlineLevel="1"/>
    <col min="3" max="3" width="12.81640625" style="79" hidden="1" customWidth="1" outlineLevel="1"/>
    <col min="4" max="4" width="18.81640625" style="79" customWidth="1" collapsed="1"/>
    <col min="5" max="6" width="22.81640625" style="79" hidden="1" customWidth="1" outlineLevel="1"/>
    <col min="7" max="7" width="18.81640625" style="79" customWidth="1" collapsed="1"/>
    <col min="8" max="8" width="18.81640625" style="79" customWidth="1"/>
    <col min="9" max="10" width="18.81640625" style="79" hidden="1" customWidth="1" outlineLevel="1"/>
    <col min="11" max="11" width="18.81640625" style="79" customWidth="1" collapsed="1"/>
    <col min="12" max="12" width="18" style="79" bestFit="1" customWidth="1"/>
    <col min="13" max="13" width="15.36328125" style="79" bestFit="1" customWidth="1"/>
    <col min="14" max="14" width="17.90625" style="79" customWidth="1"/>
    <col min="15" max="15" width="5.54296875" style="79" customWidth="1"/>
    <col min="16" max="16384" width="8.81640625" style="79"/>
  </cols>
  <sheetData>
    <row r="1" spans="1:15" ht="39.9" customHeight="1">
      <c r="A1" s="390" t="s">
        <v>854</v>
      </c>
      <c r="B1" s="390"/>
      <c r="C1" s="390"/>
      <c r="D1" s="390"/>
      <c r="E1" s="390"/>
      <c r="F1" s="390"/>
      <c r="G1" s="390"/>
      <c r="H1" s="390"/>
      <c r="I1" s="390"/>
      <c r="J1" s="390"/>
      <c r="K1" s="390"/>
      <c r="L1" s="390"/>
      <c r="M1" s="88"/>
      <c r="N1" s="88"/>
      <c r="O1" s="88"/>
    </row>
    <row r="2" spans="1:15" ht="33" customHeight="1">
      <c r="A2" s="439" t="s">
        <v>645</v>
      </c>
      <c r="B2" s="440"/>
      <c r="C2" s="440"/>
      <c r="D2" s="440"/>
      <c r="E2" s="440"/>
      <c r="F2" s="440"/>
      <c r="G2" s="440"/>
      <c r="H2" s="440"/>
      <c r="I2" s="440"/>
      <c r="J2" s="440"/>
      <c r="K2" s="440"/>
      <c r="L2" s="440"/>
      <c r="M2" s="440"/>
      <c r="N2" s="88"/>
      <c r="O2" s="88"/>
    </row>
    <row r="3" spans="1:15" ht="17.399999999999999">
      <c r="A3" s="438">
        <f>Hidden!$A$4</f>
        <v>45412</v>
      </c>
      <c r="B3" s="438"/>
      <c r="C3" s="438"/>
      <c r="D3" s="438"/>
      <c r="E3" s="438"/>
      <c r="F3" s="438"/>
      <c r="G3" s="438"/>
      <c r="H3" s="438"/>
      <c r="I3" s="438"/>
      <c r="J3" s="438"/>
      <c r="K3" s="438"/>
      <c r="L3" s="438"/>
      <c r="M3" s="438"/>
      <c r="N3" s="88"/>
      <c r="O3" s="88"/>
    </row>
    <row r="4" spans="1:15">
      <c r="A4" s="88"/>
      <c r="B4" s="89"/>
      <c r="C4" s="88"/>
      <c r="D4" s="88"/>
      <c r="E4" s="88"/>
      <c r="F4" s="88"/>
      <c r="G4" s="88"/>
      <c r="H4" s="88"/>
      <c r="I4" s="88"/>
      <c r="J4" s="88"/>
      <c r="K4" s="88"/>
      <c r="L4" s="88"/>
      <c r="M4" s="88"/>
      <c r="N4" s="88"/>
      <c r="O4" s="88"/>
    </row>
    <row r="5" spans="1:15" s="83" customFormat="1" ht="47.4">
      <c r="A5" s="81" t="s">
        <v>1</v>
      </c>
      <c r="B5" s="82" t="s">
        <v>889</v>
      </c>
      <c r="C5" s="82" t="s">
        <v>2</v>
      </c>
      <c r="D5" s="82" t="s">
        <v>100</v>
      </c>
      <c r="E5" s="82" t="s">
        <v>669</v>
      </c>
      <c r="F5" s="82" t="s">
        <v>670</v>
      </c>
      <c r="G5" s="269" t="s">
        <v>671</v>
      </c>
      <c r="H5" s="82" t="s">
        <v>672</v>
      </c>
      <c r="I5" s="82" t="s">
        <v>673</v>
      </c>
      <c r="J5" s="82" t="s">
        <v>674</v>
      </c>
      <c r="K5" s="269" t="s">
        <v>675</v>
      </c>
      <c r="L5" s="343" t="s">
        <v>847</v>
      </c>
      <c r="M5" s="335" t="s">
        <v>974</v>
      </c>
      <c r="N5" s="90"/>
      <c r="O5" s="90"/>
    </row>
    <row r="6" spans="1:15">
      <c r="A6" s="79" t="s">
        <v>385</v>
      </c>
      <c r="B6" s="80">
        <f>VLOOKUP(AccountabilityHRI[[#This Row],[Institution Name]],InputResearch[],3,FALSE)</f>
        <v>390</v>
      </c>
      <c r="C6" s="84">
        <v>30</v>
      </c>
      <c r="D6"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339686417</v>
      </c>
      <c r="E6"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51765936</v>
      </c>
      <c r="F6"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43975560</v>
      </c>
      <c r="G6" s="270">
        <f>SUM(AccountabilityHRI[[#This Row],[State 
Appropriation]],AccountabilityHRI[[#This Row],[State 
Contracts/Grants]])</f>
        <v>95741496</v>
      </c>
      <c r="H6"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76072143.999999985</v>
      </c>
      <c r="I6"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53679998</v>
      </c>
      <c r="J6"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150765871</v>
      </c>
      <c r="K6" s="270">
        <f>SUM(AccountabilityHRI[[#This Row],[Private 
For Profit]],AccountabilityHRI[[#This Row],[Private 
Nonprofit]])</f>
        <v>204445869</v>
      </c>
      <c r="L6" s="270">
        <f>SUM(AccountabilityHRI[[#This Row],[Federal]],AccountabilityHRI[[#This Row],[State]],AccountabilityHRI[[#This Row],[Institutional 
Resources]],AccountabilityHRI[[#This Row],[Private]])</f>
        <v>715945926</v>
      </c>
      <c r="M6" s="270">
        <f>IFERROR(ROUND(AccountabilityHRI[[#This Row],[Total Research 
Expenditures]]/VLOOKUP(AccountabilityHRI[[#This Row],[FICE]],FTSEHRI[[FICE]:[T/TT Fall
Faculty FTE⁴]],9,FALSE),2),"N/A")</f>
        <v>1812521.33</v>
      </c>
      <c r="N6" s="88"/>
      <c r="O6" s="88"/>
    </row>
    <row r="7" spans="1:15">
      <c r="A7" s="79" t="s">
        <v>386</v>
      </c>
      <c r="B7" s="80">
        <f>VLOOKUP(AccountabilityHRI[[#This Row],[Institution Name]],InputResearch[],3,FALSE)</f>
        <v>400</v>
      </c>
      <c r="C7" s="84">
        <v>104952</v>
      </c>
      <c r="D7"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150933962</v>
      </c>
      <c r="E7"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351411</v>
      </c>
      <c r="F7"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7127338.0000000009</v>
      </c>
      <c r="G7" s="270">
        <f>SUM(AccountabilityHRI[[#This Row],[State 
Appropriation]],AccountabilityHRI[[#This Row],[State 
Contracts/Grants]])</f>
        <v>7478749.0000000009</v>
      </c>
      <c r="H7"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27161402</v>
      </c>
      <c r="I7"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6137582</v>
      </c>
      <c r="J7"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10263404</v>
      </c>
      <c r="K7" s="270">
        <f>SUM(AccountabilityHRI[[#This Row],[Private 
For Profit]],AccountabilityHRI[[#This Row],[Private 
Nonprofit]])</f>
        <v>16400986</v>
      </c>
      <c r="L7" s="270">
        <f>SUM(AccountabilityHRI[[#This Row],[Federal]],AccountabilityHRI[[#This Row],[State]],AccountabilityHRI[[#This Row],[Institutional 
Resources]],AccountabilityHRI[[#This Row],[Private]])</f>
        <v>201975099</v>
      </c>
      <c r="M7" s="270">
        <f>IFERROR(ROUND(AccountabilityHRI[[#This Row],[Total Research 
Expenditures]]/VLOOKUP(AccountabilityHRI[[#This Row],[FICE]],FTSEHRI[[FICE]:[T/TT Fall
Faculty FTE⁴]],9,FALSE),2),"N/A")</f>
        <v>885855.7</v>
      </c>
      <c r="N7" s="88"/>
      <c r="O7" s="88"/>
    </row>
    <row r="8" spans="1:15">
      <c r="A8" s="79" t="s">
        <v>387</v>
      </c>
      <c r="B8" s="80">
        <f>VLOOKUP(AccountabilityHRI[[#This Row],[Institution Name]],InputResearch[],3,FALSE)</f>
        <v>410</v>
      </c>
      <c r="C8" s="84">
        <v>11618</v>
      </c>
      <c r="D8"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190523501</v>
      </c>
      <c r="E8"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26749100</v>
      </c>
      <c r="F8"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17287459</v>
      </c>
      <c r="G8" s="270">
        <f>SUM(AccountabilityHRI[[#This Row],[State 
Appropriation]],AccountabilityHRI[[#This Row],[State 
Contracts/Grants]])</f>
        <v>44036559</v>
      </c>
      <c r="H8"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42056740</v>
      </c>
      <c r="I8"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17535074</v>
      </c>
      <c r="J8"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44208062</v>
      </c>
      <c r="K8" s="270">
        <f>SUM(AccountabilityHRI[[#This Row],[Private 
For Profit]],AccountabilityHRI[[#This Row],[Private 
Nonprofit]])</f>
        <v>61743136</v>
      </c>
      <c r="L8" s="270">
        <f>SUM(AccountabilityHRI[[#This Row],[Federal]],AccountabilityHRI[[#This Row],[State]],AccountabilityHRI[[#This Row],[Institutional 
Resources]],AccountabilityHRI[[#This Row],[Private]])</f>
        <v>338359936</v>
      </c>
      <c r="M8" s="270">
        <f>IFERROR(ROUND(AccountabilityHRI[[#This Row],[Total Research 
Expenditures]]/VLOOKUP(AccountabilityHRI[[#This Row],[FICE]],FTSEHRI[[FICE]:[T/TT Fall
Faculty FTE⁴]],9,FALSE),2),"N/A")</f>
        <v>1034739.87</v>
      </c>
      <c r="N8" s="88"/>
      <c r="O8" s="88"/>
    </row>
    <row r="9" spans="1:15">
      <c r="A9" s="79" t="s">
        <v>388</v>
      </c>
      <c r="B9" s="80">
        <f>VLOOKUP(AccountabilityHRI[[#This Row],[Institution Name]],InputResearch[],3,FALSE)</f>
        <v>420</v>
      </c>
      <c r="C9" s="84">
        <v>40</v>
      </c>
      <c r="D9"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144827953</v>
      </c>
      <c r="E9"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24410243</v>
      </c>
      <c r="F9"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13633623</v>
      </c>
      <c r="G9" s="270">
        <f>SUM(AccountabilityHRI[[#This Row],[State 
Appropriation]],AccountabilityHRI[[#This Row],[State 
Contracts/Grants]])</f>
        <v>38043866</v>
      </c>
      <c r="H9"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39023732</v>
      </c>
      <c r="I9"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17148212</v>
      </c>
      <c r="J9"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21957028</v>
      </c>
      <c r="K9" s="270">
        <f>SUM(AccountabilityHRI[[#This Row],[Private 
For Profit]],AccountabilityHRI[[#This Row],[Private 
Nonprofit]])</f>
        <v>39105240</v>
      </c>
      <c r="L9" s="270">
        <f>SUM(AccountabilityHRI[[#This Row],[Federal]],AccountabilityHRI[[#This Row],[State]],AccountabilityHRI[[#This Row],[Institutional 
Resources]],AccountabilityHRI[[#This Row],[Private]])</f>
        <v>261000791</v>
      </c>
      <c r="M9" s="270">
        <f>IFERROR(ROUND(AccountabilityHRI[[#This Row],[Total Research 
Expenditures]]/VLOOKUP(AccountabilityHRI[[#This Row],[FICE]],FTSEHRI[[FICE]:[T/TT Fall
Faculty FTE⁴]],9,FALSE),2),"N/A")</f>
        <v>884748.44</v>
      </c>
      <c r="N9" s="88"/>
      <c r="O9" s="88"/>
    </row>
    <row r="10" spans="1:15">
      <c r="A10" s="79" t="s">
        <v>389</v>
      </c>
      <c r="B10" s="80">
        <f>VLOOKUP(AccountabilityHRI[[#This Row],[Institution Name]],InputResearch[],3,FALSE)</f>
        <v>430</v>
      </c>
      <c r="C10" s="84">
        <v>25554</v>
      </c>
      <c r="D10"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255359307</v>
      </c>
      <c r="E10"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259271165</v>
      </c>
      <c r="F10"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40799751</v>
      </c>
      <c r="G10" s="270">
        <f>SUM(AccountabilityHRI[[#This Row],[State 
Appropriation]],AccountabilityHRI[[#This Row],[State 
Contracts/Grants]])</f>
        <v>300070916</v>
      </c>
      <c r="H10"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166847759</v>
      </c>
      <c r="I10"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248261302</v>
      </c>
      <c r="J10"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190191487</v>
      </c>
      <c r="K10" s="270">
        <f>SUM(AccountabilityHRI[[#This Row],[Private 
For Profit]],AccountabilityHRI[[#This Row],[Private 
Nonprofit]])</f>
        <v>438452789</v>
      </c>
      <c r="L10" s="270">
        <f>SUM(AccountabilityHRI[[#This Row],[Federal]],AccountabilityHRI[[#This Row],[State]],AccountabilityHRI[[#This Row],[Institutional 
Resources]],AccountabilityHRI[[#This Row],[Private]])</f>
        <v>1160730771</v>
      </c>
      <c r="M10" s="270">
        <f>IFERROR(ROUND(AccountabilityHRI[[#This Row],[Total Research 
Expenditures]]/VLOOKUP(AccountabilityHRI[[#This Row],[FICE]],FTSEHRI[[FICE]:[T/TT Fall
Faculty FTE⁴]],9,FALSE),2),"N/A")</f>
        <v>1980769.23</v>
      </c>
      <c r="N10" s="88"/>
      <c r="O10" s="88"/>
    </row>
    <row r="11" spans="1:15">
      <c r="A11" s="79" t="s">
        <v>390</v>
      </c>
      <c r="B11" s="80">
        <f>VLOOKUP(AccountabilityHRI[[#This Row],[Institution Name]],InputResearch[],3,FALSE)</f>
        <v>440</v>
      </c>
      <c r="C11" s="84">
        <v>42439</v>
      </c>
      <c r="D11"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12554793</v>
      </c>
      <c r="E11"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1660635</v>
      </c>
      <c r="F11"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8628081</v>
      </c>
      <c r="G11" s="270">
        <f>SUM(AccountabilityHRI[[#This Row],[State 
Appropriation]],AccountabilityHRI[[#This Row],[State 
Contracts/Grants]])</f>
        <v>10288716</v>
      </c>
      <c r="H11"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-201256</v>
      </c>
      <c r="I11"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172451</v>
      </c>
      <c r="J11"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5468418</v>
      </c>
      <c r="K11" s="270">
        <f>SUM(AccountabilityHRI[[#This Row],[Private 
For Profit]],AccountabilityHRI[[#This Row],[Private 
Nonprofit]])</f>
        <v>5640869</v>
      </c>
      <c r="L11" s="270">
        <f>SUM(AccountabilityHRI[[#This Row],[Federal]],AccountabilityHRI[[#This Row],[State]],AccountabilityHRI[[#This Row],[Institutional 
Resources]],AccountabilityHRI[[#This Row],[Private]])</f>
        <v>28283122</v>
      </c>
      <c r="M11" s="270" t="str">
        <f>IFERROR(ROUND(AccountabilityHRI[[#This Row],[Total Research 
Expenditures]]/VLOOKUP(AccountabilityHRI[[#This Row],[FICE]],FTSEHRI[[FICE]:[T/TT Fall
Faculty FTE⁴]],9,FALSE),2),"N/A")</f>
        <v>N/A</v>
      </c>
      <c r="N11" s="88"/>
      <c r="O11" s="88"/>
    </row>
    <row r="12" spans="1:15">
      <c r="A12" s="79" t="s">
        <v>391</v>
      </c>
      <c r="B12" s="80">
        <f>VLOOKUP(AccountabilityHRI[[#This Row],[Institution Name]],InputResearch[],3,FALSE)</f>
        <v>450</v>
      </c>
      <c r="C12" s="84">
        <v>89</v>
      </c>
      <c r="D12"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67415359</v>
      </c>
      <c r="E12"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20903011</v>
      </c>
      <c r="F12"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9346526</v>
      </c>
      <c r="G12" s="270">
        <f>SUM(AccountabilityHRI[[#This Row],[State 
Appropriation]],AccountabilityHRI[[#This Row],[State 
Contracts/Grants]])</f>
        <v>30249537</v>
      </c>
      <c r="H12"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24481721</v>
      </c>
      <c r="I12"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36479791</v>
      </c>
      <c r="J12"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14076967</v>
      </c>
      <c r="K12" s="270">
        <f>SUM(AccountabilityHRI[[#This Row],[Private 
For Profit]],AccountabilityHRI[[#This Row],[Private 
Nonprofit]])</f>
        <v>50556758</v>
      </c>
      <c r="L12" s="270">
        <f>SUM(AccountabilityHRI[[#This Row],[Federal]],AccountabilityHRI[[#This Row],[State]],AccountabilityHRI[[#This Row],[Institutional 
Resources]],AccountabilityHRI[[#This Row],[Private]])</f>
        <v>172703375</v>
      </c>
      <c r="M12" s="270">
        <f>IFERROR(ROUND(AccountabilityHRI[[#This Row],[Total Research 
Expenditures]]/VLOOKUP(AccountabilityHRI[[#This Row],[FICE]],FTSEHRI[[FICE]:[T/TT Fall
Faculty FTE⁴]],9,FALSE),2),"N/A")</f>
        <v>938605.3</v>
      </c>
      <c r="N12" s="88"/>
      <c r="O12" s="88"/>
    </row>
    <row r="13" spans="1:15">
      <c r="A13" s="79" t="s">
        <v>392</v>
      </c>
      <c r="B13" s="80">
        <f>VLOOKUP(AccountabilityHRI[[#This Row],[Institution Name]],InputResearch[],3,FALSE)</f>
        <v>461</v>
      </c>
      <c r="C13" s="84">
        <v>130</v>
      </c>
      <c r="D13"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70886728</v>
      </c>
      <c r="E13"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2707614</v>
      </c>
      <c r="F13"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494790</v>
      </c>
      <c r="G13" s="270">
        <f>SUM(AccountabilityHRI[[#This Row],[State 
Appropriation]],AccountabilityHRI[[#This Row],[State 
Contracts/Grants]])</f>
        <v>3202404</v>
      </c>
      <c r="H13"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6437994</v>
      </c>
      <c r="I13"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1382697</v>
      </c>
      <c r="J13"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878880</v>
      </c>
      <c r="K13" s="270">
        <f>SUM(AccountabilityHRI[[#This Row],[Private 
For Profit]],AccountabilityHRI[[#This Row],[Private 
Nonprofit]])</f>
        <v>2261577</v>
      </c>
      <c r="L13" s="270">
        <f>SUM(AccountabilityHRI[[#This Row],[Federal]],AccountabilityHRI[[#This Row],[State]],AccountabilityHRI[[#This Row],[Institutional 
Resources]],AccountabilityHRI[[#This Row],[Private]])</f>
        <v>82788703</v>
      </c>
      <c r="M13" s="270">
        <f>IFERROR(ROUND(AccountabilityHRI[[#This Row],[Total Research 
Expenditures]]/VLOOKUP(AccountabilityHRI[[#This Row],[FICE]],FTSEHRI[[FICE]:[T/TT Fall
Faculty FTE⁴]],9,FALSE),2),"N/A")</f>
        <v>1478369.7</v>
      </c>
      <c r="N13" s="88"/>
      <c r="O13" s="88"/>
    </row>
    <row r="14" spans="1:15">
      <c r="A14" s="79" t="s">
        <v>393</v>
      </c>
      <c r="B14" s="80">
        <f>VLOOKUP(AccountabilityHRI[[#This Row],[Institution Name]],InputResearch[],3,FALSE)</f>
        <v>470</v>
      </c>
      <c r="C14" s="84">
        <v>412</v>
      </c>
      <c r="D14"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14630544</v>
      </c>
      <c r="E14"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15595923</v>
      </c>
      <c r="F14"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3432604</v>
      </c>
      <c r="G14" s="270">
        <f>SUM(AccountabilityHRI[[#This Row],[State 
Appropriation]],AccountabilityHRI[[#This Row],[State 
Contracts/Grants]])</f>
        <v>19028527</v>
      </c>
      <c r="H14"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9239387</v>
      </c>
      <c r="I14"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628365</v>
      </c>
      <c r="J14"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5152105</v>
      </c>
      <c r="K14" s="270">
        <f>SUM(AccountabilityHRI[[#This Row],[Private 
For Profit]],AccountabilityHRI[[#This Row],[Private 
Nonprofit]])</f>
        <v>5780470</v>
      </c>
      <c r="L14" s="270">
        <f>SUM(AccountabilityHRI[[#This Row],[Federal]],AccountabilityHRI[[#This Row],[State]],AccountabilityHRI[[#This Row],[Institutional 
Resources]],AccountabilityHRI[[#This Row],[Private]])</f>
        <v>48678928</v>
      </c>
      <c r="M14" s="270">
        <f>IFERROR(ROUND(AccountabilityHRI[[#This Row],[Total Research 
Expenditures]]/VLOOKUP(AccountabilityHRI[[#This Row],[FICE]],FTSEHRI[[FICE]:[T/TT Fall
Faculty FTE⁴]],9,FALSE),2),"N/A")</f>
        <v>377356.03</v>
      </c>
      <c r="N14" s="88"/>
      <c r="O14" s="88"/>
    </row>
    <row r="15" spans="1:15">
      <c r="A15" s="79" t="s">
        <v>394</v>
      </c>
      <c r="B15" s="80">
        <f>VLOOKUP(AccountabilityHRI[[#This Row],[Institution Name]],InputResearch[],3,FALSE)</f>
        <v>480</v>
      </c>
      <c r="C15" s="84">
        <v>862</v>
      </c>
      <c r="D15"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2397410</v>
      </c>
      <c r="E15"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4437461</v>
      </c>
      <c r="F15"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3023308</v>
      </c>
      <c r="G15" s="270">
        <f>SUM(AccountabilityHRI[[#This Row],[State 
Appropriation]],AccountabilityHRI[[#This Row],[State 
Contracts/Grants]])</f>
        <v>7460769</v>
      </c>
      <c r="H15"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2072574</v>
      </c>
      <c r="I15"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229474</v>
      </c>
      <c r="J15"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500959</v>
      </c>
      <c r="K15" s="270">
        <f>SUM(AccountabilityHRI[[#This Row],[Private 
For Profit]],AccountabilityHRI[[#This Row],[Private 
Nonprofit]])</f>
        <v>730433</v>
      </c>
      <c r="L15" s="270">
        <f>SUM(AccountabilityHRI[[#This Row],[Federal]],AccountabilityHRI[[#This Row],[State]],AccountabilityHRI[[#This Row],[Institutional 
Resources]],AccountabilityHRI[[#This Row],[Private]])</f>
        <v>12661186</v>
      </c>
      <c r="M15" s="270">
        <f>IFERROR(ROUND(AccountabilityHRI[[#This Row],[Total Research 
Expenditures]]/VLOOKUP(AccountabilityHRI[[#This Row],[FICE]],FTSEHRI[[FICE]:[T/TT Fall
Faculty FTE⁴]],9,FALSE),2),"N/A")</f>
        <v>703399.22</v>
      </c>
      <c r="N15" s="88"/>
      <c r="O15" s="88"/>
    </row>
    <row r="16" spans="1:15">
      <c r="A16" s="79" t="s">
        <v>839</v>
      </c>
      <c r="B16" s="80">
        <f>VLOOKUP(AccountabilityHRI[[#This Row],[Institution Name]],InputResearch[],3,FALSE)</f>
        <v>500</v>
      </c>
      <c r="C16" s="84">
        <v>203599</v>
      </c>
      <c r="D16"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2374505</v>
      </c>
      <c r="E16"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0</v>
      </c>
      <c r="F16"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193224</v>
      </c>
      <c r="G16" s="270">
        <f>SUM(AccountabilityHRI[[#This Row],[State 
Appropriation]],AccountabilityHRI[[#This Row],[State 
Contracts/Grants]])</f>
        <v>193224</v>
      </c>
      <c r="H16"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0</v>
      </c>
      <c r="I16"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0</v>
      </c>
      <c r="J16"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1847485</v>
      </c>
      <c r="K16" s="270">
        <f>SUM(AccountabilityHRI[[#This Row],[Private 
For Profit]],AccountabilityHRI[[#This Row],[Private 
Nonprofit]])</f>
        <v>1847485</v>
      </c>
      <c r="L16" s="270">
        <f>SUM(AccountabilityHRI[[#This Row],[Federal]],AccountabilityHRI[[#This Row],[State]],AccountabilityHRI[[#This Row],[Institutional 
Resources]],AccountabilityHRI[[#This Row],[Private]])</f>
        <v>4415214</v>
      </c>
      <c r="M16" s="270">
        <f>IFERROR(ROUND(AccountabilityHRI[[#This Row],[Total Research 
Expenditures]]/VLOOKUP(AccountabilityHRI[[#This Row],[FICE]],FTSEHRI[[FICE]:[T/TT Fall
Faculty FTE⁴]],9,FALSE),2),"N/A")</f>
        <v>126148.97</v>
      </c>
      <c r="N16" s="88"/>
      <c r="O16" s="88"/>
    </row>
    <row r="17" spans="1:15">
      <c r="A17" s="79" t="s">
        <v>837</v>
      </c>
      <c r="B17" s="80">
        <f>VLOOKUP(AccountabilityHRI[[#This Row],[Institution Name]],InputResearch[],3,FALSE)</f>
        <v>510</v>
      </c>
      <c r="C17" s="84">
        <v>203658</v>
      </c>
      <c r="D17"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16306704</v>
      </c>
      <c r="E17"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2566449</v>
      </c>
      <c r="F17"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3278526</v>
      </c>
      <c r="G17" s="270">
        <f>SUM(AccountabilityHRI[[#This Row],[State 
Appropriation]],AccountabilityHRI[[#This Row],[State 
Contracts/Grants]])</f>
        <v>5844975</v>
      </c>
      <c r="H17"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14417055</v>
      </c>
      <c r="I17"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3380006</v>
      </c>
      <c r="J17"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7027539</v>
      </c>
      <c r="K17" s="270">
        <f>SUM(AccountabilityHRI[[#This Row],[Private 
For Profit]],AccountabilityHRI[[#This Row],[Private 
Nonprofit]])</f>
        <v>10407545</v>
      </c>
      <c r="L17" s="270">
        <f>SUM(AccountabilityHRI[[#This Row],[Federal]],AccountabilityHRI[[#This Row],[State]],AccountabilityHRI[[#This Row],[Institutional 
Resources]],AccountabilityHRI[[#This Row],[Private]])</f>
        <v>46976279</v>
      </c>
      <c r="M17" s="270">
        <f>IFERROR(ROUND(AccountabilityHRI[[#This Row],[Total Research 
Expenditures]]/VLOOKUP(AccountabilityHRI[[#This Row],[FICE]],FTSEHRI[[FICE]:[T/TT Fall
Faculty FTE⁴]],9,FALSE),2),"N/A")</f>
        <v>1174406.98</v>
      </c>
      <c r="N17" s="88"/>
      <c r="O17" s="88"/>
    </row>
    <row r="18" spans="1:15">
      <c r="A18" s="79" t="s">
        <v>838</v>
      </c>
      <c r="B18" s="80">
        <f>VLOOKUP(AccountabilityHRI[[#This Row],[Institution Name]],InputResearch[],3,FALSE)</f>
        <v>520</v>
      </c>
      <c r="C18" s="84">
        <v>203652</v>
      </c>
      <c r="D18"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716469</v>
      </c>
      <c r="E18"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0</v>
      </c>
      <c r="F18"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85926</v>
      </c>
      <c r="G18" s="270">
        <f>SUM(AccountabilityHRI[[#This Row],[State 
Appropriation]],AccountabilityHRI[[#This Row],[State 
Contracts/Grants]])</f>
        <v>85926</v>
      </c>
      <c r="H18"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177967</v>
      </c>
      <c r="I18"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30565</v>
      </c>
      <c r="J18"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27620</v>
      </c>
      <c r="K18" s="270">
        <f>SUM(AccountabilityHRI[[#This Row],[Private 
For Profit]],AccountabilityHRI[[#This Row],[Private 
Nonprofit]])</f>
        <v>58185</v>
      </c>
      <c r="L18" s="270">
        <f>SUM(AccountabilityHRI[[#This Row],[Federal]],AccountabilityHRI[[#This Row],[State]],AccountabilityHRI[[#This Row],[Institutional 
Resources]],AccountabilityHRI[[#This Row],[Private]])</f>
        <v>1038547</v>
      </c>
      <c r="M18" s="270" t="str">
        <f>IFERROR(ROUND(AccountabilityHRI[[#This Row],[Total Research 
Expenditures]]/VLOOKUP(AccountabilityHRI[[#This Row],[FICE]],FTSEHRI[[FICE]:[T/TT Fall
Faculty FTE⁴]],9,FALSE),2),"N/A")</f>
        <v>N/A</v>
      </c>
      <c r="N18" s="88"/>
      <c r="O18" s="88"/>
    </row>
    <row r="19" spans="1:15">
      <c r="A19" s="79" t="s">
        <v>398</v>
      </c>
      <c r="B19" s="80">
        <f>VLOOKUP(AccountabilityHRI[[#This Row],[Institution Name]],InputResearch[],3,FALSE)</f>
        <v>530</v>
      </c>
      <c r="C19" s="84">
        <v>103606</v>
      </c>
      <c r="D19" s="85">
        <f>SUMIF(InputResearch[Institution Name],AccountabilityHRI[[#This Row],[Institution Name]],InputResearch[Agricultural Sci. Fed])
+SUMIF(InputResearch[Institution Name],AccountabilityHRI[[#This Row],[Institution Name]],InputResearch[Biological &amp; Other Life Sci. Fed])
+SUMIF(InputResearch[Institution Name],AccountabilityHRI[[#This Row],[Institution Name]],InputResearch[Comp. Sci. Fed])
+SUMIF(InputResearch[Institution Name],AccountabilityHRI[[#This Row],[Institution Name]],InputResearch[Engineering Fed])
+SUMIF(InputResearch[Institution Name],AccountabilityHRI[[#This Row],[Institution Name]],InputResearch[Env Sci. Fed])
+SUMIF(InputResearch[Institution Name],AccountabilityHRI[[#This Row],[Institution Name]],InputResearch[Math Fed])
+SUMIF(InputResearch[Institution Name],AccountabilityHRI[[#This Row],[Institution Name]],InputResearch[Medical Fed])
+SUMIF(InputResearch[Institution Name],AccountabilityHRI[[#This Row],[Institution Name]],InputResearch[Physical Sci. Fed])
+SUMIF(InputResearch[Institution Name],AccountabilityHRI[[#This Row],[Institution Name]],InputResearch[Psychology Fed])
+SUMIF(InputResearch[Institution Name],AccountabilityHRI[[#This Row],[Institution Name]],InputResearch[Social Sci. Fed])
+SUMIF(InputResearch[Institution Name],AccountabilityHRI[[#This Row],[Institution Name]],InputResearch[Other Sci. Fed])
+SUMIF(InputResearch[Institution Name],AccountabilityHRI[[#This Row],[Institution Name]],InputResearch[Arts &amp; Humanities Fed])
+SUMIF(InputResearch[Institution Name],AccountabilityHRI[[#This Row],[Institution Name]],InputResearch[Business Fed])
+SUMIF(InputResearch[Institution Name],AccountabilityHRI[[#This Row],[Institution Name]],InputResearch[Education Fed])
+SUMIF(InputResearch[Institution Name],AccountabilityHRI[[#This Row],[Institution Name]],InputResearch[Law Fed])
+SUMIF(InputResearch[Institution Name],AccountabilityHRI[[#This Row],[Institution Name]],InputResearch[Other Non-Sci. Fed])</f>
        <v>93220</v>
      </c>
      <c r="E19" s="85">
        <f>SUMIF(InputResearch[Institution Name],AccountabilityHRI[[#This Row],[Institution Name]],InputResearch[Agricultural Sci. St. Approp.])
+SUMIF(InputResearch[Institution Name],AccountabilityHRI[[#This Row],[Institution Name]],InputResearch[Biological &amp; Other Life Sci. St. Approp.])
+SUMIF(InputResearch[Institution Name],AccountabilityHRI[[#This Row],[Institution Name]],InputResearch[Comp. Sci. St. Approp.])
+SUMIF(InputResearch[Institution Name],AccountabilityHRI[[#This Row],[Institution Name]],InputResearch[Engineering St. Approp.])
+SUMIF(InputResearch[Institution Name],AccountabilityHRI[[#This Row],[Institution Name]],InputResearch[Env Sci. St. Approp.])
+SUMIF(InputResearch[Institution Name],AccountabilityHRI[[#This Row],[Institution Name]],InputResearch[Math St. Approp.])
+SUMIF(InputResearch[Institution Name],AccountabilityHRI[[#This Row],[Institution Name]],InputResearch[Medical St. Approp.])
+SUMIF(InputResearch[Institution Name],AccountabilityHRI[[#This Row],[Institution Name]],InputResearch[Physical Sci. St. Approp.])
+SUMIF(InputResearch[Institution Name],AccountabilityHRI[[#This Row],[Institution Name]],InputResearch[Psychology St. Approp.])
+SUMIF(InputResearch[Institution Name],AccountabilityHRI[[#This Row],[Institution Name]],InputResearch[Social Sci. St. Approp.])
+SUMIF(InputResearch[Institution Name],AccountabilityHRI[[#This Row],[Institution Name]],InputResearch[Other Sci. St. Approp.])
+SUMIF(InputResearch[Institution Name],AccountabilityHRI[[#This Row],[Institution Name]],InputResearch[Arts &amp; Humanities St. Approp.])
+SUMIF(InputResearch[Institution Name],AccountabilityHRI[[#This Row],[Institution Name]],InputResearch[Business St. Approp.])
+SUMIF(InputResearch[Institution Name],AccountabilityHRI[[#This Row],[Institution Name]],InputResearch[Education St. Approp.])
+SUMIF(InputResearch[Institution Name],AccountabilityHRI[[#This Row],[Institution Name]],InputResearch[Law St. Approp.])
+SUMIF(InputResearch[Institution Name],AccountabilityHRI[[#This Row],[Institution Name]],InputResearch[Other Non-Sci. St. Approp.])</f>
        <v>0</v>
      </c>
      <c r="F19" s="85">
        <f>SUMIF(InputResearch[Institution Name],AccountabilityHRI[[#This Row],[Institution Name]],InputResearch[Agricultural Sci. St. C&amp;G])
+SUMIF(InputResearch[Institution Name],AccountabilityHRI[[#This Row],[Institution Name]],InputResearch[Biological &amp; Other Life Sci. St. C&amp;G])
+SUMIF(InputResearch[Institution Name],AccountabilityHRI[[#This Row],[Institution Name]],InputResearch[Comp. Sci. St. C&amp;G])
+SUMIF(InputResearch[Institution Name],AccountabilityHRI[[#This Row],[Institution Name]],InputResearch[Engineering St. C&amp;G])
+SUMIF(InputResearch[Institution Name],AccountabilityHRI[[#This Row],[Institution Name]],InputResearch[Env Sci. St. C&amp;G])
+SUMIF(InputResearch[Institution Name],AccountabilityHRI[[#This Row],[Institution Name]],InputResearch[Math St. C&amp;G])
+SUMIF(InputResearch[Institution Name],AccountabilityHRI[[#This Row],[Institution Name]],InputResearch[Medical St. C&amp;G])
+SUMIF(InputResearch[Institution Name],AccountabilityHRI[[#This Row],[Institution Name]],InputResearch[Physical Sci. St. C&amp;G])
+SUMIF(InputResearch[Institution Name],AccountabilityHRI[[#This Row],[Institution Name]],InputResearch[Psychology St. C&amp;G])
+SUMIF(InputResearch[Institution Name],AccountabilityHRI[[#This Row],[Institution Name]],InputResearch[Social Sci. St. C&amp;G])
+SUMIF(InputResearch[Institution Name],AccountabilityHRI[[#This Row],[Institution Name]],InputResearch[Other Sci. St. C&amp;G])
+SUMIF(InputResearch[Institution Name],AccountabilityHRI[[#This Row],[Institution Name]],InputResearch[Arts &amp; Humanities St. C&amp;G])
+SUMIF(InputResearch[Institution Name],AccountabilityHRI[[#This Row],[Institution Name]],InputResearch[Business St. C&amp;G])
+SUMIF(InputResearch[Institution Name],AccountabilityHRI[[#This Row],[Institution Name]],InputResearch[Education St. C&amp;G])
+SUMIF(InputResearch[Institution Name],AccountabilityHRI[[#This Row],[Institution Name]],InputResearch[Law St. C&amp;G])
+SUMIF(InputResearch[Institution Name],AccountabilityHRI[[#This Row],[Institution Name]],InputResearch[Other Non-Sci. St. C&amp;G])</f>
        <v>0</v>
      </c>
      <c r="G19" s="270">
        <f>SUM(AccountabilityHRI[[#This Row],[State 
Appropriation]],AccountabilityHRI[[#This Row],[State 
Contracts/Grants]])</f>
        <v>0</v>
      </c>
      <c r="H19" s="85">
        <f>SUMIF(InputResearch[Institution Name],AccountabilityHRI[[#This Row],[Institution Name]],InputResearch[Agricultural Sci. Inst Res])
+SUMIF(InputResearch[Institution Name],AccountabilityHRI[[#This Row],[Institution Name]],InputResearch[Biological &amp; Other Life Sci. Inst Res])
+SUMIF(InputResearch[Institution Name],AccountabilityHRI[[#This Row],[Institution Name]],InputResearch[Comp. Sci. Inst Res])
+SUMIF(InputResearch[Institution Name],AccountabilityHRI[[#This Row],[Institution Name]],InputResearch[Engineering Inst Res])
+SUMIF(InputResearch[Institution Name],AccountabilityHRI[[#This Row],[Institution Name]],InputResearch[Env Sci. Inst Res])
+SUMIF(InputResearch[Institution Name],AccountabilityHRI[[#This Row],[Institution Name]],InputResearch[Math Inst Res])
+SUMIF(InputResearch[Institution Name],AccountabilityHRI[[#This Row],[Institution Name]],InputResearch[Medical Inst Res])
+SUMIF(InputResearch[Institution Name],AccountabilityHRI[[#This Row],[Institution Name]],InputResearch[Physical Sci. Inst Res])
+SUMIF(InputResearch[Institution Name],AccountabilityHRI[[#This Row],[Institution Name]],InputResearch[Psychology Inst Res])
+SUMIF(InputResearch[Institution Name],AccountabilityHRI[[#This Row],[Institution Name]],InputResearch[Social Sci. Inst Res])
+SUMIF(InputResearch[Institution Name],AccountabilityHRI[[#This Row],[Institution Name]],InputResearch[Other Sci. Inst Res])
+SUMIF(InputResearch[Institution Name],AccountabilityHRI[[#This Row],[Institution Name]],InputResearch[Arts &amp; Humanities Inst Res])
+SUMIF(InputResearch[Institution Name],AccountabilityHRI[[#This Row],[Institution Name]],InputResearch[Business Inst Res])
+SUMIF(InputResearch[Institution Name],AccountabilityHRI[[#This Row],[Institution Name]],InputResearch[Education Inst Res])
+SUMIF(InputResearch[Institution Name],AccountabilityHRI[[#This Row],[Institution Name]],InputResearch[Law Inst Res])
+SUMIF(InputResearch[Institution Name],AccountabilityHRI[[#This Row],[Institution Name]],InputResearch[Other Non-Sci. Inst Res])</f>
        <v>582591</v>
      </c>
      <c r="I19" s="85">
        <f>SUMIF(InputResearch[Institution Name],AccountabilityHRI[[#This Row],[Institution Name]],InputResearch[Agricultural Sci. PFP])
+SUMIF(InputResearch[Institution Name],AccountabilityHRI[[#This Row],[Institution Name]],InputResearch[Biological &amp; Other Life Sci. PFP])
+SUMIF(InputResearch[Institution Name],AccountabilityHRI[[#This Row],[Institution Name]],InputResearch[Comp. Sci. PFP])
+SUMIF(InputResearch[Institution Name],AccountabilityHRI[[#This Row],[Institution Name]],InputResearch[Engineering PFP])
+SUMIF(InputResearch[Institution Name],AccountabilityHRI[[#This Row],[Institution Name]],InputResearch[Env Sci. PFP])
+SUMIF(InputResearch[Institution Name],AccountabilityHRI[[#This Row],[Institution Name]],InputResearch[Math PFP])
+SUMIF(InputResearch[Institution Name],AccountabilityHRI[[#This Row],[Institution Name]],InputResearch[Medical PFP])
+SUMIF(InputResearch[Institution Name],AccountabilityHRI[[#This Row],[Institution Name]],InputResearch[Physical Sci. PFP])
+SUMIF(InputResearch[Institution Name],AccountabilityHRI[[#This Row],[Institution Name]],InputResearch[Psychology PFP])
+SUMIF(InputResearch[Institution Name],AccountabilityHRI[[#This Row],[Institution Name]],InputResearch[Social Sci. PFP])
+SUMIF(InputResearch[Institution Name],AccountabilityHRI[[#This Row],[Institution Name]],InputResearch[Other Sci. PFP])
+SUMIF(InputResearch[Institution Name],AccountabilityHRI[[#This Row],[Institution Name]],InputResearch[Arts &amp; Humanities PFP])
+SUMIF(InputResearch[Institution Name],AccountabilityHRI[[#This Row],[Institution Name]],InputResearch[Business PFP])
+SUMIF(InputResearch[Institution Name],AccountabilityHRI[[#This Row],[Institution Name]],InputResearch[Education PFP])
+SUMIF(InputResearch[Institution Name],AccountabilityHRI[[#This Row],[Institution Name]],InputResearch[Law PFP])
+SUMIF(InputResearch[Institution Name],AccountabilityHRI[[#This Row],[Institution Name]],InputResearch[Other Non-Sci. PFP])</f>
        <v>40348</v>
      </c>
      <c r="J19" s="85">
        <f>SUMIF(InputResearch[Institution Name],AccountabilityHRI[[#This Row],[Institution Name]],InputResearch[Agricultural Sci. PNP])
+SUMIF(InputResearch[Institution Name],AccountabilityHRI[[#This Row],[Institution Name]],InputResearch[Biological &amp; Other Life Sci. PNP])
+SUMIF(InputResearch[Institution Name],AccountabilityHRI[[#This Row],[Institution Name]],InputResearch[Comp. Sci. PNP])
+SUMIF(InputResearch[Institution Name],AccountabilityHRI[[#This Row],[Institution Name]],InputResearch[Engineering PNP])
+SUMIF(InputResearch[Institution Name],AccountabilityHRI[[#This Row],[Institution Name]],InputResearch[Env Sci. PNP])
+SUMIF(InputResearch[Institution Name],AccountabilityHRI[[#This Row],[Institution Name]],InputResearch[Math PNP])
+SUMIF(InputResearch[Institution Name],AccountabilityHRI[[#This Row],[Institution Name]],InputResearch[Medical PNP])
+SUMIF(InputResearch[Institution Name],AccountabilityHRI[[#This Row],[Institution Name]],InputResearch[Physical Sci. PNP])
+SUMIF(InputResearch[Institution Name],AccountabilityHRI[[#This Row],[Institution Name]],InputResearch[Psychology PNP])
+SUMIF(InputResearch[Institution Name],AccountabilityHRI[[#This Row],[Institution Name]],InputResearch[Social Sci. PNP])
+SUMIF(InputResearch[Institution Name],AccountabilityHRI[[#This Row],[Institution Name]],InputResearch[Other Sci. PNP])
+SUMIF(InputResearch[Institution Name],AccountabilityHRI[[#This Row],[Institution Name]],InputResearch[Arts &amp; Humanities PNP])
+SUMIF(InputResearch[Institution Name],AccountabilityHRI[[#This Row],[Institution Name]],InputResearch[Business PNP])
+SUMIF(InputResearch[Institution Name],AccountabilityHRI[[#This Row],[Institution Name]],InputResearch[Education PNP])
+SUMIF(InputResearch[Institution Name],AccountabilityHRI[[#This Row],[Institution Name]],InputResearch[Law PNP])
+SUMIF(InputResearch[Institution Name],AccountabilityHRI[[#This Row],[Institution Name]],InputResearch[Other Non-Sci. PNP])</f>
        <v>242</v>
      </c>
      <c r="K19" s="270">
        <f>SUM(AccountabilityHRI[[#This Row],[Private 
For Profit]],AccountabilityHRI[[#This Row],[Private 
Nonprofit]])</f>
        <v>40590</v>
      </c>
      <c r="L19" s="270">
        <f>SUM(AccountabilityHRI[[#This Row],[Federal]],AccountabilityHRI[[#This Row],[State]],AccountabilityHRI[[#This Row],[Institutional 
Resources]],AccountabilityHRI[[#This Row],[Private]])</f>
        <v>716401</v>
      </c>
      <c r="M19" s="270">
        <f>IFERROR(ROUND(AccountabilityHRI[[#This Row],[Total Research 
Expenditures]]/VLOOKUP(AccountabilityHRI[[#This Row],[FICE]],FTSEHRI[[FICE]:[T/TT Fall
Faculty FTE⁴]],9,FALSE),2),"N/A")</f>
        <v>39800.06</v>
      </c>
      <c r="N19" s="88"/>
      <c r="O19" s="88"/>
    </row>
    <row r="20" spans="1:15">
      <c r="A20" s="113"/>
      <c r="B20" s="212"/>
      <c r="C20" s="4"/>
      <c r="D20" s="333">
        <f>SUBTOTAL(109,AccountabilityHRI[Federal])</f>
        <v>1268706872</v>
      </c>
      <c r="E20" s="333">
        <f>SUBTOTAL(109,AccountabilityHRI[State 
Appropriation])</f>
        <v>410418948</v>
      </c>
      <c r="F20" s="333">
        <f>SUBTOTAL(109,AccountabilityHRI[State 
Contracts/Grants])</f>
        <v>151306716</v>
      </c>
      <c r="G20" s="333">
        <f>SUBTOTAL(109,AccountabilityHRI[State])</f>
        <v>561725664</v>
      </c>
      <c r="H20" s="333">
        <f>SUBTOTAL(109,AccountabilityHRI[Institutional 
Resources])</f>
        <v>408369810</v>
      </c>
      <c r="I20" s="333">
        <f>SUBTOTAL(109,AccountabilityHRI[Private 
For Profit])</f>
        <v>385105865</v>
      </c>
      <c r="J20" s="333">
        <f>SUBTOTAL(109,AccountabilityHRI[Private 
Nonprofit])</f>
        <v>452366067</v>
      </c>
      <c r="K20" s="333">
        <f>SUBTOTAL(109,AccountabilityHRI[Private])</f>
        <v>837471932</v>
      </c>
      <c r="L20" s="333">
        <f>SUBTOTAL(109,AccountabilityHRI[Total Research 
Expenditures])</f>
        <v>3076274278</v>
      </c>
      <c r="M20" s="333">
        <f>SUBTOTAL(109,AccountabilityHRI[Total Research 
Expenditures 
Per T/TT FTE¹])</f>
        <v>11436720.830000002</v>
      </c>
      <c r="N20" s="88"/>
      <c r="O20" s="88"/>
    </row>
    <row r="21" spans="1:15">
      <c r="A21" s="484" t="s">
        <v>977</v>
      </c>
      <c r="B21" s="484"/>
      <c r="C21" s="484"/>
      <c r="D21" s="484"/>
      <c r="E21" s="484"/>
      <c r="F21" s="484"/>
      <c r="G21" s="484"/>
      <c r="H21" s="484"/>
      <c r="I21" s="484"/>
      <c r="J21" s="484"/>
      <c r="K21" s="484"/>
      <c r="L21" s="484"/>
      <c r="M21" s="484"/>
      <c r="N21" s="88"/>
      <c r="O21" s="88"/>
    </row>
    <row r="22" spans="1:15">
      <c r="A22" s="88"/>
      <c r="B22" s="89"/>
      <c r="C22" s="88"/>
      <c r="D22" s="88"/>
      <c r="E22" s="88"/>
      <c r="F22" s="88"/>
      <c r="G22" s="88"/>
      <c r="H22" s="88"/>
      <c r="I22" s="88"/>
      <c r="J22" s="88"/>
      <c r="K22" s="271"/>
      <c r="L22" s="271"/>
      <c r="M22" s="88"/>
      <c r="N22" s="88"/>
      <c r="O22" s="88"/>
    </row>
    <row r="23" spans="1:15" ht="33" customHeight="1">
      <c r="A23" s="439" t="s">
        <v>992</v>
      </c>
      <c r="B23" s="440"/>
      <c r="C23" s="440"/>
      <c r="D23" s="440"/>
      <c r="E23" s="440"/>
      <c r="F23" s="440"/>
      <c r="G23" s="440"/>
      <c r="H23" s="440"/>
      <c r="I23" s="440"/>
      <c r="J23" s="440"/>
      <c r="K23" s="440"/>
      <c r="L23" s="440"/>
      <c r="M23" s="88"/>
      <c r="N23" s="88"/>
      <c r="O23" s="88"/>
    </row>
    <row r="24" spans="1:15" ht="17.399999999999999">
      <c r="A24" s="438">
        <f>Hidden!$A$4</f>
        <v>45412</v>
      </c>
      <c r="B24" s="438"/>
      <c r="C24" s="438"/>
      <c r="D24" s="438"/>
      <c r="E24" s="438"/>
      <c r="F24" s="438"/>
      <c r="G24" s="438"/>
      <c r="H24" s="438"/>
      <c r="I24" s="438"/>
      <c r="J24" s="438"/>
      <c r="K24" s="438"/>
      <c r="L24" s="438"/>
      <c r="M24" s="344"/>
      <c r="N24" s="88"/>
      <c r="O24" s="88"/>
    </row>
    <row r="25" spans="1:15">
      <c r="A25" s="88"/>
      <c r="B25" s="89"/>
      <c r="C25" s="88"/>
      <c r="D25" s="88"/>
      <c r="E25" s="88"/>
      <c r="F25" s="88"/>
      <c r="G25" s="88"/>
      <c r="H25" s="88"/>
      <c r="I25" s="88"/>
      <c r="J25" s="88"/>
      <c r="K25" s="88"/>
      <c r="L25" s="88"/>
      <c r="M25" s="88"/>
      <c r="N25" s="88"/>
      <c r="O25" s="88"/>
    </row>
    <row r="26" spans="1:15" s="83" customFormat="1" ht="30">
      <c r="A26" s="81" t="s">
        <v>1</v>
      </c>
      <c r="B26" s="82" t="s">
        <v>889</v>
      </c>
      <c r="C26" s="82" t="s">
        <v>2</v>
      </c>
      <c r="D26" s="82" t="s">
        <v>100</v>
      </c>
      <c r="E26" s="82" t="s">
        <v>669</v>
      </c>
      <c r="F26" s="82" t="s">
        <v>670</v>
      </c>
      <c r="G26" s="269" t="s">
        <v>671</v>
      </c>
      <c r="H26" s="82" t="s">
        <v>672</v>
      </c>
      <c r="I26" s="82" t="s">
        <v>673</v>
      </c>
      <c r="J26" s="82" t="s">
        <v>674</v>
      </c>
      <c r="K26" s="269" t="s">
        <v>675</v>
      </c>
      <c r="L26" s="343" t="s">
        <v>847</v>
      </c>
      <c r="M26" s="90"/>
      <c r="N26" s="90"/>
      <c r="O26" s="90"/>
    </row>
    <row r="27" spans="1:15">
      <c r="A27" s="79" t="s">
        <v>63</v>
      </c>
      <c r="B27" s="80">
        <f>VLOOKUP(AccountabilityTSTC[[#This Row],[Institution Name]],InputResearch[],3,FALSE)</f>
        <v>490</v>
      </c>
      <c r="C27" s="84">
        <v>36273</v>
      </c>
      <c r="D27" s="85">
        <f>SUMIF(InputResearch[Institution Name],AccountabilityTSTC[[#This Row],[Institution Name]],InputResearch[Agricultural Sci. Fed])
+SUMIF(InputResearch[Institution Name],AccountabilityTSTC[[#This Row],[Institution Name]],InputResearch[Biological &amp; Other Life Sci. Fed])
+SUMIF(InputResearch[Institution Name],AccountabilityTSTC[[#This Row],[Institution Name]],InputResearch[Comp. Sci. Fed])
+SUMIF(InputResearch[Institution Name],AccountabilityTSTC[[#This Row],[Institution Name]],InputResearch[Engineering Fed])
+SUMIF(InputResearch[Institution Name],AccountabilityTSTC[[#This Row],[Institution Name]],InputResearch[Env Sci. Fed])
+SUMIF(InputResearch[Institution Name],AccountabilityTSTC[[#This Row],[Institution Name]],InputResearch[Math Fed])
+SUMIF(InputResearch[Institution Name],AccountabilityTSTC[[#This Row],[Institution Name]],InputResearch[Medical Fed])
+SUMIF(InputResearch[Institution Name],AccountabilityTSTC[[#This Row],[Institution Name]],InputResearch[Physical Sci. Fed])
+SUMIF(InputResearch[Institution Name],AccountabilityTSTC[[#This Row],[Institution Name]],InputResearch[Psychology Fed])
+SUMIF(InputResearch[Institution Name],AccountabilityTSTC[[#This Row],[Institution Name]],InputResearch[Social Sci. Fed])
+SUMIF(InputResearch[Institution Name],AccountabilityTSTC[[#This Row],[Institution Name]],InputResearch[Other Sci. Fed])
+SUMIF(InputResearch[Institution Name],AccountabilityTSTC[[#This Row],[Institution Name]],InputResearch[Arts &amp; Humanities Fed])
+SUMIF(InputResearch[Institution Name],AccountabilityTSTC[[#This Row],[Institution Name]],InputResearch[Business Fed])
+SUMIF(InputResearch[Institution Name],AccountabilityTSTC[[#This Row],[Institution Name]],InputResearch[Education Fed])
+SUMIF(InputResearch[Institution Name],AccountabilityTSTC[[#This Row],[Institution Name]],InputResearch[Law Fed])
+SUMIF(InputResearch[Institution Name],AccountabilityTSTC[[#This Row],[Institution Name]],InputResearch[Other Non-Sci. Fed])</f>
        <v>0</v>
      </c>
      <c r="E27" s="85">
        <f>SUMIF(InputResearch[Institution Name],AccountabilityTSTC[[#This Row],[Institution Name]],InputResearch[Agricultural Sci. St. Approp.])
+SUMIF(InputResearch[Institution Name],AccountabilityTSTC[[#This Row],[Institution Name]],InputResearch[Biological &amp; Other Life Sci. St. Approp.])
+SUMIF(InputResearch[Institution Name],AccountabilityTSTC[[#This Row],[Institution Name]],InputResearch[Comp. Sci. St. Approp.])
+SUMIF(InputResearch[Institution Name],AccountabilityTSTC[[#This Row],[Institution Name]],InputResearch[Engineering St. Approp.])
+SUMIF(InputResearch[Institution Name],AccountabilityTSTC[[#This Row],[Institution Name]],InputResearch[Env Sci. St. Approp.])
+SUMIF(InputResearch[Institution Name],AccountabilityTSTC[[#This Row],[Institution Name]],InputResearch[Math St. Approp.])
+SUMIF(InputResearch[Institution Name],AccountabilityTSTC[[#This Row],[Institution Name]],InputResearch[Medical St. Approp.])
+SUMIF(InputResearch[Institution Name],AccountabilityTSTC[[#This Row],[Institution Name]],InputResearch[Physical Sci. St. Approp.])
+SUMIF(InputResearch[Institution Name],AccountabilityTSTC[[#This Row],[Institution Name]],InputResearch[Psychology St. Approp.])
+SUMIF(InputResearch[Institution Name],AccountabilityTSTC[[#This Row],[Institution Name]],InputResearch[Social Sci. St. Approp.])
+SUMIF(InputResearch[Institution Name],AccountabilityTSTC[[#This Row],[Institution Name]],InputResearch[Other Sci. St. Approp.])
+SUMIF(InputResearch[Institution Name],AccountabilityTSTC[[#This Row],[Institution Name]],InputResearch[Arts &amp; Humanities St. Approp.])
+SUMIF(InputResearch[Institution Name],AccountabilityTSTC[[#This Row],[Institution Name]],InputResearch[Business St. Approp.])
+SUMIF(InputResearch[Institution Name],AccountabilityTSTC[[#This Row],[Institution Name]],InputResearch[Education St. Approp.])
+SUMIF(InputResearch[Institution Name],AccountabilityTSTC[[#This Row],[Institution Name]],InputResearch[Law St. Approp.])
+SUMIF(InputResearch[Institution Name],AccountabilityTSTC[[#This Row],[Institution Name]],InputResearch[Other Non-Sci. St. Approp.])</f>
        <v>0</v>
      </c>
      <c r="F27" s="85">
        <f>SUMIF(InputResearch[Institution Name],AccountabilityTSTC[[#This Row],[Institution Name]],InputResearch[Agricultural Sci. St. C&amp;G])
+SUMIF(InputResearch[Institution Name],AccountabilityTSTC[[#This Row],[Institution Name]],InputResearch[Biological &amp; Other Life Sci. St. C&amp;G])
+SUMIF(InputResearch[Institution Name],AccountabilityTSTC[[#This Row],[Institution Name]],InputResearch[Comp. Sci. St. C&amp;G])
+SUMIF(InputResearch[Institution Name],AccountabilityTSTC[[#This Row],[Institution Name]],InputResearch[Engineering St. C&amp;G])
+SUMIF(InputResearch[Institution Name],AccountabilityTSTC[[#This Row],[Institution Name]],InputResearch[Env Sci. St. C&amp;G])
+SUMIF(InputResearch[Institution Name],AccountabilityTSTC[[#This Row],[Institution Name]],InputResearch[Math St. C&amp;G])
+SUMIF(InputResearch[Institution Name],AccountabilityTSTC[[#This Row],[Institution Name]],InputResearch[Medical St. C&amp;G])
+SUMIF(InputResearch[Institution Name],AccountabilityTSTC[[#This Row],[Institution Name]],InputResearch[Physical Sci. St. C&amp;G])
+SUMIF(InputResearch[Institution Name],AccountabilityTSTC[[#This Row],[Institution Name]],InputResearch[Psychology St. C&amp;G])
+SUMIF(InputResearch[Institution Name],AccountabilityTSTC[[#This Row],[Institution Name]],InputResearch[Social Sci. St. C&amp;G])
+SUMIF(InputResearch[Institution Name],AccountabilityTSTC[[#This Row],[Institution Name]],InputResearch[Other Sci. St. C&amp;G])
+SUMIF(InputResearch[Institution Name],AccountabilityTSTC[[#This Row],[Institution Name]],InputResearch[Arts &amp; Humanities St. C&amp;G])
+SUMIF(InputResearch[Institution Name],AccountabilityTSTC[[#This Row],[Institution Name]],InputResearch[Business St. C&amp;G])
+SUMIF(InputResearch[Institution Name],AccountabilityTSTC[[#This Row],[Institution Name]],InputResearch[Education St. C&amp;G])
+SUMIF(InputResearch[Institution Name],AccountabilityTSTC[[#This Row],[Institution Name]],InputResearch[Law St. C&amp;G])
+SUMIF(InputResearch[Institution Name],AccountabilityTSTC[[#This Row],[Institution Name]],InputResearch[Other Non-Sci. St. C&amp;G])</f>
        <v>0</v>
      </c>
      <c r="G27" s="270">
        <f>SUM(AccountabilityTSTC[[#This Row],[State 
Appropriation]],AccountabilityTSTC[[#This Row],[State 
Contracts/Grants]])</f>
        <v>0</v>
      </c>
      <c r="H27" s="85">
        <f>SUMIF(InputResearch[Institution Name],AccountabilityTSTC[[#This Row],[Institution Name]],InputResearch[Agricultural Sci. Inst Res])
+SUMIF(InputResearch[Institution Name],AccountabilityTSTC[[#This Row],[Institution Name]],InputResearch[Biological &amp; Other Life Sci. Inst Res])
+SUMIF(InputResearch[Institution Name],AccountabilityTSTC[[#This Row],[Institution Name]],InputResearch[Comp. Sci. Inst Res])
+SUMIF(InputResearch[Institution Name],AccountabilityTSTC[[#This Row],[Institution Name]],InputResearch[Engineering Inst Res])
+SUMIF(InputResearch[Institution Name],AccountabilityTSTC[[#This Row],[Institution Name]],InputResearch[Env Sci. Inst Res])
+SUMIF(InputResearch[Institution Name],AccountabilityTSTC[[#This Row],[Institution Name]],InputResearch[Math Inst Res])
+SUMIF(InputResearch[Institution Name],AccountabilityTSTC[[#This Row],[Institution Name]],InputResearch[Medical Inst Res])
+SUMIF(InputResearch[Institution Name],AccountabilityTSTC[[#This Row],[Institution Name]],InputResearch[Physical Sci. Inst Res])
+SUMIF(InputResearch[Institution Name],AccountabilityTSTC[[#This Row],[Institution Name]],InputResearch[Psychology Inst Res])
+SUMIF(InputResearch[Institution Name],AccountabilityTSTC[[#This Row],[Institution Name]],InputResearch[Social Sci. Inst Res])
+SUMIF(InputResearch[Institution Name],AccountabilityTSTC[[#This Row],[Institution Name]],InputResearch[Other Sci. Inst Res])
+SUMIF(InputResearch[Institution Name],AccountabilityTSTC[[#This Row],[Institution Name]],InputResearch[Arts &amp; Humanities Inst Res])
+SUMIF(InputResearch[Institution Name],AccountabilityTSTC[[#This Row],[Institution Name]],InputResearch[Business Inst Res])
+SUMIF(InputResearch[Institution Name],AccountabilityTSTC[[#This Row],[Institution Name]],InputResearch[Education Inst Res])
+SUMIF(InputResearch[Institution Name],AccountabilityTSTC[[#This Row],[Institution Name]],InputResearch[Law Inst Res])
+SUMIF(InputResearch[Institution Name],AccountabilityTSTC[[#This Row],[Institution Name]],InputResearch[Other Non-Sci. Inst Res])</f>
        <v>0</v>
      </c>
      <c r="I27" s="85">
        <f>SUMIF(InputResearch[Institution Name],AccountabilityTSTC[[#This Row],[Institution Name]],InputResearch[Agricultural Sci. PFP])
+SUMIF(InputResearch[Institution Name],AccountabilityTSTC[[#This Row],[Institution Name]],InputResearch[Biological &amp; Other Life Sci. PFP])
+SUMIF(InputResearch[Institution Name],AccountabilityTSTC[[#This Row],[Institution Name]],InputResearch[Comp. Sci. PFP])
+SUMIF(InputResearch[Institution Name],AccountabilityTSTC[[#This Row],[Institution Name]],InputResearch[Engineering PFP])
+SUMIF(InputResearch[Institution Name],AccountabilityTSTC[[#This Row],[Institution Name]],InputResearch[Env Sci. PFP])
+SUMIF(InputResearch[Institution Name],AccountabilityTSTC[[#This Row],[Institution Name]],InputResearch[Math PFP])
+SUMIF(InputResearch[Institution Name],AccountabilityTSTC[[#This Row],[Institution Name]],InputResearch[Medical PFP])
+SUMIF(InputResearch[Institution Name],AccountabilityTSTC[[#This Row],[Institution Name]],InputResearch[Physical Sci. PFP])
+SUMIF(InputResearch[Institution Name],AccountabilityTSTC[[#This Row],[Institution Name]],InputResearch[Psychology PFP])
+SUMIF(InputResearch[Institution Name],AccountabilityTSTC[[#This Row],[Institution Name]],InputResearch[Social Sci. PFP])
+SUMIF(InputResearch[Institution Name],AccountabilityTSTC[[#This Row],[Institution Name]],InputResearch[Other Sci. PFP])
+SUMIF(InputResearch[Institution Name],AccountabilityTSTC[[#This Row],[Institution Name]],InputResearch[Arts &amp; Humanities PFP])
+SUMIF(InputResearch[Institution Name],AccountabilityTSTC[[#This Row],[Institution Name]],InputResearch[Business PFP])
+SUMIF(InputResearch[Institution Name],AccountabilityTSTC[[#This Row],[Institution Name]],InputResearch[Education PFP])
+SUMIF(InputResearch[Institution Name],AccountabilityTSTC[[#This Row],[Institution Name]],InputResearch[Law PFP])
+SUMIF(InputResearch[Institution Name],AccountabilityTSTC[[#This Row],[Institution Name]],InputResearch[Other Non-Sci. PFP])</f>
        <v>0</v>
      </c>
      <c r="J27" s="85">
        <f>SUMIF(InputResearch[Institution Name],AccountabilityTSTC[[#This Row],[Institution Name]],InputResearch[Agricultural Sci. PNP])
+SUMIF(InputResearch[Institution Name],AccountabilityTSTC[[#This Row],[Institution Name]],InputResearch[Biological &amp; Other Life Sci. PNP])
+SUMIF(InputResearch[Institution Name],AccountabilityTSTC[[#This Row],[Institution Name]],InputResearch[Comp. Sci. PNP])
+SUMIF(InputResearch[Institution Name],AccountabilityTSTC[[#This Row],[Institution Name]],InputResearch[Engineering PNP])
+SUMIF(InputResearch[Institution Name],AccountabilityTSTC[[#This Row],[Institution Name]],InputResearch[Env Sci. PNP])
+SUMIF(InputResearch[Institution Name],AccountabilityTSTC[[#This Row],[Institution Name]],InputResearch[Math PNP])
+SUMIF(InputResearch[Institution Name],AccountabilityTSTC[[#This Row],[Institution Name]],InputResearch[Medical PNP])
+SUMIF(InputResearch[Institution Name],AccountabilityTSTC[[#This Row],[Institution Name]],InputResearch[Physical Sci. PNP])
+SUMIF(InputResearch[Institution Name],AccountabilityTSTC[[#This Row],[Institution Name]],InputResearch[Psychology PNP])
+SUMIF(InputResearch[Institution Name],AccountabilityTSTC[[#This Row],[Institution Name]],InputResearch[Social Sci. PNP])
+SUMIF(InputResearch[Institution Name],AccountabilityTSTC[[#This Row],[Institution Name]],InputResearch[Other Sci. PNP])
+SUMIF(InputResearch[Institution Name],AccountabilityTSTC[[#This Row],[Institution Name]],InputResearch[Arts &amp; Humanities PNP])
+SUMIF(InputResearch[Institution Name],AccountabilityTSTC[[#This Row],[Institution Name]],InputResearch[Business PNP])
+SUMIF(InputResearch[Institution Name],AccountabilityTSTC[[#This Row],[Institution Name]],InputResearch[Education PNP])
+SUMIF(InputResearch[Institution Name],AccountabilityTSTC[[#This Row],[Institution Name]],InputResearch[Law PNP])
+SUMIF(InputResearch[Institution Name],AccountabilityTSTC[[#This Row],[Institution Name]],InputResearch[Other Non-Sci. PNP])</f>
        <v>0</v>
      </c>
      <c r="K27" s="270">
        <f>SUM(AccountabilityTSTC[[#This Row],[Private 
For Profit]],AccountabilityTSTC[[#This Row],[Private 
Nonprofit]])</f>
        <v>0</v>
      </c>
      <c r="L27" s="270">
        <f>SUM(AccountabilityTSTC[[#This Row],[Federal]],AccountabilityTSTC[[#This Row],[State]],AccountabilityTSTC[[#This Row],[Institutional 
Resources]],AccountabilityTSTC[[#This Row],[Private]])</f>
        <v>0</v>
      </c>
      <c r="M27" s="88"/>
      <c r="N27" s="88"/>
      <c r="O27" s="88"/>
    </row>
    <row r="28" spans="1:15">
      <c r="A28" s="79" t="s">
        <v>64</v>
      </c>
      <c r="B28" s="80">
        <f>VLOOKUP(AccountabilityTSTC[[#This Row],[Institution Name]],InputResearch[],3,FALSE)</f>
        <v>500</v>
      </c>
      <c r="C28" s="84">
        <v>23582</v>
      </c>
      <c r="D28" s="85">
        <f>SUMIF(InputResearch[Institution Name],AccountabilityTSTC[[#This Row],[Institution Name]],InputResearch[Agricultural Sci. Fed])
+SUMIF(InputResearch[Institution Name],AccountabilityTSTC[[#This Row],[Institution Name]],InputResearch[Biological &amp; Other Life Sci. Fed])
+SUMIF(InputResearch[Institution Name],AccountabilityTSTC[[#This Row],[Institution Name]],InputResearch[Comp. Sci. Fed])
+SUMIF(InputResearch[Institution Name],AccountabilityTSTC[[#This Row],[Institution Name]],InputResearch[Engineering Fed])
+SUMIF(InputResearch[Institution Name],AccountabilityTSTC[[#This Row],[Institution Name]],InputResearch[Env Sci. Fed])
+SUMIF(InputResearch[Institution Name],AccountabilityTSTC[[#This Row],[Institution Name]],InputResearch[Math Fed])
+SUMIF(InputResearch[Institution Name],AccountabilityTSTC[[#This Row],[Institution Name]],InputResearch[Medical Fed])
+SUMIF(InputResearch[Institution Name],AccountabilityTSTC[[#This Row],[Institution Name]],InputResearch[Physical Sci. Fed])
+SUMIF(InputResearch[Institution Name],AccountabilityTSTC[[#This Row],[Institution Name]],InputResearch[Psychology Fed])
+SUMIF(InputResearch[Institution Name],AccountabilityTSTC[[#This Row],[Institution Name]],InputResearch[Social Sci. Fed])
+SUMIF(InputResearch[Institution Name],AccountabilityTSTC[[#This Row],[Institution Name]],InputResearch[Other Sci. Fed])
+SUMIF(InputResearch[Institution Name],AccountabilityTSTC[[#This Row],[Institution Name]],InputResearch[Arts &amp; Humanities Fed])
+SUMIF(InputResearch[Institution Name],AccountabilityTSTC[[#This Row],[Institution Name]],InputResearch[Business Fed])
+SUMIF(InputResearch[Institution Name],AccountabilityTSTC[[#This Row],[Institution Name]],InputResearch[Education Fed])
+SUMIF(InputResearch[Institution Name],AccountabilityTSTC[[#This Row],[Institution Name]],InputResearch[Law Fed])
+SUMIF(InputResearch[Institution Name],AccountabilityTSTC[[#This Row],[Institution Name]],InputResearch[Other Non-Sci. Fed])</f>
        <v>0</v>
      </c>
      <c r="E28" s="85">
        <f>SUMIF(InputResearch[Institution Name],AccountabilityTSTC[[#This Row],[Institution Name]],InputResearch[Agricultural Sci. St. Approp.])
+SUMIF(InputResearch[Institution Name],AccountabilityTSTC[[#This Row],[Institution Name]],InputResearch[Biological &amp; Other Life Sci. St. Approp.])
+SUMIF(InputResearch[Institution Name],AccountabilityTSTC[[#This Row],[Institution Name]],InputResearch[Comp. Sci. St. Approp.])
+SUMIF(InputResearch[Institution Name],AccountabilityTSTC[[#This Row],[Institution Name]],InputResearch[Engineering St. Approp.])
+SUMIF(InputResearch[Institution Name],AccountabilityTSTC[[#This Row],[Institution Name]],InputResearch[Env Sci. St. Approp.])
+SUMIF(InputResearch[Institution Name],AccountabilityTSTC[[#This Row],[Institution Name]],InputResearch[Math St. Approp.])
+SUMIF(InputResearch[Institution Name],AccountabilityTSTC[[#This Row],[Institution Name]],InputResearch[Medical St. Approp.])
+SUMIF(InputResearch[Institution Name],AccountabilityTSTC[[#This Row],[Institution Name]],InputResearch[Physical Sci. St. Approp.])
+SUMIF(InputResearch[Institution Name],AccountabilityTSTC[[#This Row],[Institution Name]],InputResearch[Psychology St. Approp.])
+SUMIF(InputResearch[Institution Name],AccountabilityTSTC[[#This Row],[Institution Name]],InputResearch[Social Sci. St. Approp.])
+SUMIF(InputResearch[Institution Name],AccountabilityTSTC[[#This Row],[Institution Name]],InputResearch[Other Sci. St. Approp.])
+SUMIF(InputResearch[Institution Name],AccountabilityTSTC[[#This Row],[Institution Name]],InputResearch[Arts &amp; Humanities St. Approp.])
+SUMIF(InputResearch[Institution Name],AccountabilityTSTC[[#This Row],[Institution Name]],InputResearch[Business St. Approp.])
+SUMIF(InputResearch[Institution Name],AccountabilityTSTC[[#This Row],[Institution Name]],InputResearch[Education St. Approp.])
+SUMIF(InputResearch[Institution Name],AccountabilityTSTC[[#This Row],[Institution Name]],InputResearch[Law St. Approp.])
+SUMIF(InputResearch[Institution Name],AccountabilityTSTC[[#This Row],[Institution Name]],InputResearch[Other Non-Sci. St. Approp.])</f>
        <v>0</v>
      </c>
      <c r="F28" s="85">
        <f>SUMIF(InputResearch[Institution Name],AccountabilityTSTC[[#This Row],[Institution Name]],InputResearch[Agricultural Sci. St. C&amp;G])
+SUMIF(InputResearch[Institution Name],AccountabilityTSTC[[#This Row],[Institution Name]],InputResearch[Biological &amp; Other Life Sci. St. C&amp;G])
+SUMIF(InputResearch[Institution Name],AccountabilityTSTC[[#This Row],[Institution Name]],InputResearch[Comp. Sci. St. C&amp;G])
+SUMIF(InputResearch[Institution Name],AccountabilityTSTC[[#This Row],[Institution Name]],InputResearch[Engineering St. C&amp;G])
+SUMIF(InputResearch[Institution Name],AccountabilityTSTC[[#This Row],[Institution Name]],InputResearch[Env Sci. St. C&amp;G])
+SUMIF(InputResearch[Institution Name],AccountabilityTSTC[[#This Row],[Institution Name]],InputResearch[Math St. C&amp;G])
+SUMIF(InputResearch[Institution Name],AccountabilityTSTC[[#This Row],[Institution Name]],InputResearch[Medical St. C&amp;G])
+SUMIF(InputResearch[Institution Name],AccountabilityTSTC[[#This Row],[Institution Name]],InputResearch[Physical Sci. St. C&amp;G])
+SUMIF(InputResearch[Institution Name],AccountabilityTSTC[[#This Row],[Institution Name]],InputResearch[Psychology St. C&amp;G])
+SUMIF(InputResearch[Institution Name],AccountabilityTSTC[[#This Row],[Institution Name]],InputResearch[Social Sci. St. C&amp;G])
+SUMIF(InputResearch[Institution Name],AccountabilityTSTC[[#This Row],[Institution Name]],InputResearch[Other Sci. St. C&amp;G])
+SUMIF(InputResearch[Institution Name],AccountabilityTSTC[[#This Row],[Institution Name]],InputResearch[Arts &amp; Humanities St. C&amp;G])
+SUMIF(InputResearch[Institution Name],AccountabilityTSTC[[#This Row],[Institution Name]],InputResearch[Business St. C&amp;G])
+SUMIF(InputResearch[Institution Name],AccountabilityTSTC[[#This Row],[Institution Name]],InputResearch[Education St. C&amp;G])
+SUMIF(InputResearch[Institution Name],AccountabilityTSTC[[#This Row],[Institution Name]],InputResearch[Law St. C&amp;G])
+SUMIF(InputResearch[Institution Name],AccountabilityTSTC[[#This Row],[Institution Name]],InputResearch[Other Non-Sci. St. C&amp;G])</f>
        <v>0</v>
      </c>
      <c r="G28" s="270">
        <f>SUM(AccountabilityTSTC[[#This Row],[State 
Appropriation]],AccountabilityTSTC[[#This Row],[State 
Contracts/Grants]])</f>
        <v>0</v>
      </c>
      <c r="H28" s="85">
        <f>SUMIF(InputResearch[Institution Name],AccountabilityTSTC[[#This Row],[Institution Name]],InputResearch[Agricultural Sci. Inst Res])
+SUMIF(InputResearch[Institution Name],AccountabilityTSTC[[#This Row],[Institution Name]],InputResearch[Biological &amp; Other Life Sci. Inst Res])
+SUMIF(InputResearch[Institution Name],AccountabilityTSTC[[#This Row],[Institution Name]],InputResearch[Comp. Sci. Inst Res])
+SUMIF(InputResearch[Institution Name],AccountabilityTSTC[[#This Row],[Institution Name]],InputResearch[Engineering Inst Res])
+SUMIF(InputResearch[Institution Name],AccountabilityTSTC[[#This Row],[Institution Name]],InputResearch[Env Sci. Inst Res])
+SUMIF(InputResearch[Institution Name],AccountabilityTSTC[[#This Row],[Institution Name]],InputResearch[Math Inst Res])
+SUMIF(InputResearch[Institution Name],AccountabilityTSTC[[#This Row],[Institution Name]],InputResearch[Medical Inst Res])
+SUMIF(InputResearch[Institution Name],AccountabilityTSTC[[#This Row],[Institution Name]],InputResearch[Physical Sci. Inst Res])
+SUMIF(InputResearch[Institution Name],AccountabilityTSTC[[#This Row],[Institution Name]],InputResearch[Psychology Inst Res])
+SUMIF(InputResearch[Institution Name],AccountabilityTSTC[[#This Row],[Institution Name]],InputResearch[Social Sci. Inst Res])
+SUMIF(InputResearch[Institution Name],AccountabilityTSTC[[#This Row],[Institution Name]],InputResearch[Other Sci. Inst Res])
+SUMIF(InputResearch[Institution Name],AccountabilityTSTC[[#This Row],[Institution Name]],InputResearch[Arts &amp; Humanities Inst Res])
+SUMIF(InputResearch[Institution Name],AccountabilityTSTC[[#This Row],[Institution Name]],InputResearch[Business Inst Res])
+SUMIF(InputResearch[Institution Name],AccountabilityTSTC[[#This Row],[Institution Name]],InputResearch[Education Inst Res])
+SUMIF(InputResearch[Institution Name],AccountabilityTSTC[[#This Row],[Institution Name]],InputResearch[Law Inst Res])
+SUMIF(InputResearch[Institution Name],AccountabilityTSTC[[#This Row],[Institution Name]],InputResearch[Other Non-Sci. Inst Res])</f>
        <v>0</v>
      </c>
      <c r="I28" s="85">
        <f>SUMIF(InputResearch[Institution Name],AccountabilityTSTC[[#This Row],[Institution Name]],InputResearch[Agricultural Sci. PFP])
+SUMIF(InputResearch[Institution Name],AccountabilityTSTC[[#This Row],[Institution Name]],InputResearch[Biological &amp; Other Life Sci. PFP])
+SUMIF(InputResearch[Institution Name],AccountabilityTSTC[[#This Row],[Institution Name]],InputResearch[Comp. Sci. PFP])
+SUMIF(InputResearch[Institution Name],AccountabilityTSTC[[#This Row],[Institution Name]],InputResearch[Engineering PFP])
+SUMIF(InputResearch[Institution Name],AccountabilityTSTC[[#This Row],[Institution Name]],InputResearch[Env Sci. PFP])
+SUMIF(InputResearch[Institution Name],AccountabilityTSTC[[#This Row],[Institution Name]],InputResearch[Math PFP])
+SUMIF(InputResearch[Institution Name],AccountabilityTSTC[[#This Row],[Institution Name]],InputResearch[Medical PFP])
+SUMIF(InputResearch[Institution Name],AccountabilityTSTC[[#This Row],[Institution Name]],InputResearch[Physical Sci. PFP])
+SUMIF(InputResearch[Institution Name],AccountabilityTSTC[[#This Row],[Institution Name]],InputResearch[Psychology PFP])
+SUMIF(InputResearch[Institution Name],AccountabilityTSTC[[#This Row],[Institution Name]],InputResearch[Social Sci. PFP])
+SUMIF(InputResearch[Institution Name],AccountabilityTSTC[[#This Row],[Institution Name]],InputResearch[Other Sci. PFP])
+SUMIF(InputResearch[Institution Name],AccountabilityTSTC[[#This Row],[Institution Name]],InputResearch[Arts &amp; Humanities PFP])
+SUMIF(InputResearch[Institution Name],AccountabilityTSTC[[#This Row],[Institution Name]],InputResearch[Business PFP])
+SUMIF(InputResearch[Institution Name],AccountabilityTSTC[[#This Row],[Institution Name]],InputResearch[Education PFP])
+SUMIF(InputResearch[Institution Name],AccountabilityTSTC[[#This Row],[Institution Name]],InputResearch[Law PFP])
+SUMIF(InputResearch[Institution Name],AccountabilityTSTC[[#This Row],[Institution Name]],InputResearch[Other Non-Sci. PFP])</f>
        <v>0</v>
      </c>
      <c r="J28" s="85">
        <f>SUMIF(InputResearch[Institution Name],AccountabilityTSTC[[#This Row],[Institution Name]],InputResearch[Agricultural Sci. PNP])
+SUMIF(InputResearch[Institution Name],AccountabilityTSTC[[#This Row],[Institution Name]],InputResearch[Biological &amp; Other Life Sci. PNP])
+SUMIF(InputResearch[Institution Name],AccountabilityTSTC[[#This Row],[Institution Name]],InputResearch[Comp. Sci. PNP])
+SUMIF(InputResearch[Institution Name],AccountabilityTSTC[[#This Row],[Institution Name]],InputResearch[Engineering PNP])
+SUMIF(InputResearch[Institution Name],AccountabilityTSTC[[#This Row],[Institution Name]],InputResearch[Env Sci. PNP])
+SUMIF(InputResearch[Institution Name],AccountabilityTSTC[[#This Row],[Institution Name]],InputResearch[Math PNP])
+SUMIF(InputResearch[Institution Name],AccountabilityTSTC[[#This Row],[Institution Name]],InputResearch[Medical PNP])
+SUMIF(InputResearch[Institution Name],AccountabilityTSTC[[#This Row],[Institution Name]],InputResearch[Physical Sci. PNP])
+SUMIF(InputResearch[Institution Name],AccountabilityTSTC[[#This Row],[Institution Name]],InputResearch[Psychology PNP])
+SUMIF(InputResearch[Institution Name],AccountabilityTSTC[[#This Row],[Institution Name]],InputResearch[Social Sci. PNP])
+SUMIF(InputResearch[Institution Name],AccountabilityTSTC[[#This Row],[Institution Name]],InputResearch[Other Sci. PNP])
+SUMIF(InputResearch[Institution Name],AccountabilityTSTC[[#This Row],[Institution Name]],InputResearch[Arts &amp; Humanities PNP])
+SUMIF(InputResearch[Institution Name],AccountabilityTSTC[[#This Row],[Institution Name]],InputResearch[Business PNP])
+SUMIF(InputResearch[Institution Name],AccountabilityTSTC[[#This Row],[Institution Name]],InputResearch[Education PNP])
+SUMIF(InputResearch[Institution Name],AccountabilityTSTC[[#This Row],[Institution Name]],InputResearch[Law PNP])
+SUMIF(InputResearch[Institution Name],AccountabilityTSTC[[#This Row],[Institution Name]],InputResearch[Other Non-Sci. PNP])</f>
        <v>0</v>
      </c>
      <c r="K28" s="270">
        <f>SUM(AccountabilityTSTC[[#This Row],[Private 
For Profit]],AccountabilityTSTC[[#This Row],[Private 
Nonprofit]])</f>
        <v>0</v>
      </c>
      <c r="L28" s="270">
        <f>SUM(AccountabilityTSTC[[#This Row],[Federal]],AccountabilityTSTC[[#This Row],[State]],AccountabilityTSTC[[#This Row],[Institutional 
Resources]],AccountabilityTSTC[[#This Row],[Private]])</f>
        <v>0</v>
      </c>
      <c r="M28" s="88"/>
      <c r="N28" s="88"/>
      <c r="O28" s="88"/>
    </row>
    <row r="29" spans="1:15">
      <c r="A29" s="79" t="s">
        <v>65</v>
      </c>
      <c r="B29" s="80">
        <f>VLOOKUP(AccountabilityTSTC[[#This Row],[Institution Name]],InputResearch[],3,FALSE)</f>
        <v>510</v>
      </c>
      <c r="C29" s="84">
        <v>23485</v>
      </c>
      <c r="D29" s="85">
        <f>SUMIF(InputResearch[Institution Name],AccountabilityTSTC[[#This Row],[Institution Name]],InputResearch[Agricultural Sci. Fed])
+SUMIF(InputResearch[Institution Name],AccountabilityTSTC[[#This Row],[Institution Name]],InputResearch[Biological &amp; Other Life Sci. Fed])
+SUMIF(InputResearch[Institution Name],AccountabilityTSTC[[#This Row],[Institution Name]],InputResearch[Comp. Sci. Fed])
+SUMIF(InputResearch[Institution Name],AccountabilityTSTC[[#This Row],[Institution Name]],InputResearch[Engineering Fed])
+SUMIF(InputResearch[Institution Name],AccountabilityTSTC[[#This Row],[Institution Name]],InputResearch[Env Sci. Fed])
+SUMIF(InputResearch[Institution Name],AccountabilityTSTC[[#This Row],[Institution Name]],InputResearch[Math Fed])
+SUMIF(InputResearch[Institution Name],AccountabilityTSTC[[#This Row],[Institution Name]],InputResearch[Medical Fed])
+SUMIF(InputResearch[Institution Name],AccountabilityTSTC[[#This Row],[Institution Name]],InputResearch[Physical Sci. Fed])
+SUMIF(InputResearch[Institution Name],AccountabilityTSTC[[#This Row],[Institution Name]],InputResearch[Psychology Fed])
+SUMIF(InputResearch[Institution Name],AccountabilityTSTC[[#This Row],[Institution Name]],InputResearch[Social Sci. Fed])
+SUMIF(InputResearch[Institution Name],AccountabilityTSTC[[#This Row],[Institution Name]],InputResearch[Other Sci. Fed])
+SUMIF(InputResearch[Institution Name],AccountabilityTSTC[[#This Row],[Institution Name]],InputResearch[Arts &amp; Humanities Fed])
+SUMIF(InputResearch[Institution Name],AccountabilityTSTC[[#This Row],[Institution Name]],InputResearch[Business Fed])
+SUMIF(InputResearch[Institution Name],AccountabilityTSTC[[#This Row],[Institution Name]],InputResearch[Education Fed])
+SUMIF(InputResearch[Institution Name],AccountabilityTSTC[[#This Row],[Institution Name]],InputResearch[Law Fed])
+SUMIF(InputResearch[Institution Name],AccountabilityTSTC[[#This Row],[Institution Name]],InputResearch[Other Non-Sci. Fed])</f>
        <v>0</v>
      </c>
      <c r="E29" s="85">
        <f>SUMIF(InputResearch[Institution Name],AccountabilityTSTC[[#This Row],[Institution Name]],InputResearch[Agricultural Sci. St. Approp.])
+SUMIF(InputResearch[Institution Name],AccountabilityTSTC[[#This Row],[Institution Name]],InputResearch[Biological &amp; Other Life Sci. St. Approp.])
+SUMIF(InputResearch[Institution Name],AccountabilityTSTC[[#This Row],[Institution Name]],InputResearch[Comp. Sci. St. Approp.])
+SUMIF(InputResearch[Institution Name],AccountabilityTSTC[[#This Row],[Institution Name]],InputResearch[Engineering St. Approp.])
+SUMIF(InputResearch[Institution Name],AccountabilityTSTC[[#This Row],[Institution Name]],InputResearch[Env Sci. St. Approp.])
+SUMIF(InputResearch[Institution Name],AccountabilityTSTC[[#This Row],[Institution Name]],InputResearch[Math St. Approp.])
+SUMIF(InputResearch[Institution Name],AccountabilityTSTC[[#This Row],[Institution Name]],InputResearch[Medical St. Approp.])
+SUMIF(InputResearch[Institution Name],AccountabilityTSTC[[#This Row],[Institution Name]],InputResearch[Physical Sci. St. Approp.])
+SUMIF(InputResearch[Institution Name],AccountabilityTSTC[[#This Row],[Institution Name]],InputResearch[Psychology St. Approp.])
+SUMIF(InputResearch[Institution Name],AccountabilityTSTC[[#This Row],[Institution Name]],InputResearch[Social Sci. St. Approp.])
+SUMIF(InputResearch[Institution Name],AccountabilityTSTC[[#This Row],[Institution Name]],InputResearch[Other Sci. St. Approp.])
+SUMIF(InputResearch[Institution Name],AccountabilityTSTC[[#This Row],[Institution Name]],InputResearch[Arts &amp; Humanities St. Approp.])
+SUMIF(InputResearch[Institution Name],AccountabilityTSTC[[#This Row],[Institution Name]],InputResearch[Business St. Approp.])
+SUMIF(InputResearch[Institution Name],AccountabilityTSTC[[#This Row],[Institution Name]],InputResearch[Education St. Approp.])
+SUMIF(InputResearch[Institution Name],AccountabilityTSTC[[#This Row],[Institution Name]],InputResearch[Law St. Approp.])
+SUMIF(InputResearch[Institution Name],AccountabilityTSTC[[#This Row],[Institution Name]],InputResearch[Other Non-Sci. St. Approp.])</f>
        <v>0</v>
      </c>
      <c r="F29" s="85">
        <f>SUMIF(InputResearch[Institution Name],AccountabilityTSTC[[#This Row],[Institution Name]],InputResearch[Agricultural Sci. St. C&amp;G])
+SUMIF(InputResearch[Institution Name],AccountabilityTSTC[[#This Row],[Institution Name]],InputResearch[Biological &amp; Other Life Sci. St. C&amp;G])
+SUMIF(InputResearch[Institution Name],AccountabilityTSTC[[#This Row],[Institution Name]],InputResearch[Comp. Sci. St. C&amp;G])
+SUMIF(InputResearch[Institution Name],AccountabilityTSTC[[#This Row],[Institution Name]],InputResearch[Engineering St. C&amp;G])
+SUMIF(InputResearch[Institution Name],AccountabilityTSTC[[#This Row],[Institution Name]],InputResearch[Env Sci. St. C&amp;G])
+SUMIF(InputResearch[Institution Name],AccountabilityTSTC[[#This Row],[Institution Name]],InputResearch[Math St. C&amp;G])
+SUMIF(InputResearch[Institution Name],AccountabilityTSTC[[#This Row],[Institution Name]],InputResearch[Medical St. C&amp;G])
+SUMIF(InputResearch[Institution Name],AccountabilityTSTC[[#This Row],[Institution Name]],InputResearch[Physical Sci. St. C&amp;G])
+SUMIF(InputResearch[Institution Name],AccountabilityTSTC[[#This Row],[Institution Name]],InputResearch[Psychology St. C&amp;G])
+SUMIF(InputResearch[Institution Name],AccountabilityTSTC[[#This Row],[Institution Name]],InputResearch[Social Sci. St. C&amp;G])
+SUMIF(InputResearch[Institution Name],AccountabilityTSTC[[#This Row],[Institution Name]],InputResearch[Other Sci. St. C&amp;G])
+SUMIF(InputResearch[Institution Name],AccountabilityTSTC[[#This Row],[Institution Name]],InputResearch[Arts &amp; Humanities St. C&amp;G])
+SUMIF(InputResearch[Institution Name],AccountabilityTSTC[[#This Row],[Institution Name]],InputResearch[Business St. C&amp;G])
+SUMIF(InputResearch[Institution Name],AccountabilityTSTC[[#This Row],[Institution Name]],InputResearch[Education St. C&amp;G])
+SUMIF(InputResearch[Institution Name],AccountabilityTSTC[[#This Row],[Institution Name]],InputResearch[Law St. C&amp;G])
+SUMIF(InputResearch[Institution Name],AccountabilityTSTC[[#This Row],[Institution Name]],InputResearch[Other Non-Sci. St. C&amp;G])</f>
        <v>0</v>
      </c>
      <c r="G29" s="270">
        <f>SUM(AccountabilityTSTC[[#This Row],[State 
Appropriation]],AccountabilityTSTC[[#This Row],[State 
Contracts/Grants]])</f>
        <v>0</v>
      </c>
      <c r="H29" s="85">
        <f>SUMIF(InputResearch[Institution Name],AccountabilityTSTC[[#This Row],[Institution Name]],InputResearch[Agricultural Sci. Inst Res])
+SUMIF(InputResearch[Institution Name],AccountabilityTSTC[[#This Row],[Institution Name]],InputResearch[Biological &amp; Other Life Sci. Inst Res])
+SUMIF(InputResearch[Institution Name],AccountabilityTSTC[[#This Row],[Institution Name]],InputResearch[Comp. Sci. Inst Res])
+SUMIF(InputResearch[Institution Name],AccountabilityTSTC[[#This Row],[Institution Name]],InputResearch[Engineering Inst Res])
+SUMIF(InputResearch[Institution Name],AccountabilityTSTC[[#This Row],[Institution Name]],InputResearch[Env Sci. Inst Res])
+SUMIF(InputResearch[Institution Name],AccountabilityTSTC[[#This Row],[Institution Name]],InputResearch[Math Inst Res])
+SUMIF(InputResearch[Institution Name],AccountabilityTSTC[[#This Row],[Institution Name]],InputResearch[Medical Inst Res])
+SUMIF(InputResearch[Institution Name],AccountabilityTSTC[[#This Row],[Institution Name]],InputResearch[Physical Sci. Inst Res])
+SUMIF(InputResearch[Institution Name],AccountabilityTSTC[[#This Row],[Institution Name]],InputResearch[Psychology Inst Res])
+SUMIF(InputResearch[Institution Name],AccountabilityTSTC[[#This Row],[Institution Name]],InputResearch[Social Sci. Inst Res])
+SUMIF(InputResearch[Institution Name],AccountabilityTSTC[[#This Row],[Institution Name]],InputResearch[Other Sci. Inst Res])
+SUMIF(InputResearch[Institution Name],AccountabilityTSTC[[#This Row],[Institution Name]],InputResearch[Arts &amp; Humanities Inst Res])
+SUMIF(InputResearch[Institution Name],AccountabilityTSTC[[#This Row],[Institution Name]],InputResearch[Business Inst Res])
+SUMIF(InputResearch[Institution Name],AccountabilityTSTC[[#This Row],[Institution Name]],InputResearch[Education Inst Res])
+SUMIF(InputResearch[Institution Name],AccountabilityTSTC[[#This Row],[Institution Name]],InputResearch[Law Inst Res])
+SUMIF(InputResearch[Institution Name],AccountabilityTSTC[[#This Row],[Institution Name]],InputResearch[Other Non-Sci. Inst Res])</f>
        <v>0</v>
      </c>
      <c r="I29" s="85">
        <f>SUMIF(InputResearch[Institution Name],AccountabilityTSTC[[#This Row],[Institution Name]],InputResearch[Agricultural Sci. PFP])
+SUMIF(InputResearch[Institution Name],AccountabilityTSTC[[#This Row],[Institution Name]],InputResearch[Biological &amp; Other Life Sci. PFP])
+SUMIF(InputResearch[Institution Name],AccountabilityTSTC[[#This Row],[Institution Name]],InputResearch[Comp. Sci. PFP])
+SUMIF(InputResearch[Institution Name],AccountabilityTSTC[[#This Row],[Institution Name]],InputResearch[Engineering PFP])
+SUMIF(InputResearch[Institution Name],AccountabilityTSTC[[#This Row],[Institution Name]],InputResearch[Env Sci. PFP])
+SUMIF(InputResearch[Institution Name],AccountabilityTSTC[[#This Row],[Institution Name]],InputResearch[Math PFP])
+SUMIF(InputResearch[Institution Name],AccountabilityTSTC[[#This Row],[Institution Name]],InputResearch[Medical PFP])
+SUMIF(InputResearch[Institution Name],AccountabilityTSTC[[#This Row],[Institution Name]],InputResearch[Physical Sci. PFP])
+SUMIF(InputResearch[Institution Name],AccountabilityTSTC[[#This Row],[Institution Name]],InputResearch[Psychology PFP])
+SUMIF(InputResearch[Institution Name],AccountabilityTSTC[[#This Row],[Institution Name]],InputResearch[Social Sci. PFP])
+SUMIF(InputResearch[Institution Name],AccountabilityTSTC[[#This Row],[Institution Name]],InputResearch[Other Sci. PFP])
+SUMIF(InputResearch[Institution Name],AccountabilityTSTC[[#This Row],[Institution Name]],InputResearch[Arts &amp; Humanities PFP])
+SUMIF(InputResearch[Institution Name],AccountabilityTSTC[[#This Row],[Institution Name]],InputResearch[Business PFP])
+SUMIF(InputResearch[Institution Name],AccountabilityTSTC[[#This Row],[Institution Name]],InputResearch[Education PFP])
+SUMIF(InputResearch[Institution Name],AccountabilityTSTC[[#This Row],[Institution Name]],InputResearch[Law PFP])
+SUMIF(InputResearch[Institution Name],AccountabilityTSTC[[#This Row],[Institution Name]],InputResearch[Other Non-Sci. PFP])</f>
        <v>0</v>
      </c>
      <c r="J29" s="85">
        <f>SUMIF(InputResearch[Institution Name],AccountabilityTSTC[[#This Row],[Institution Name]],InputResearch[Agricultural Sci. PNP])
+SUMIF(InputResearch[Institution Name],AccountabilityTSTC[[#This Row],[Institution Name]],InputResearch[Biological &amp; Other Life Sci. PNP])
+SUMIF(InputResearch[Institution Name],AccountabilityTSTC[[#This Row],[Institution Name]],InputResearch[Comp. Sci. PNP])
+SUMIF(InputResearch[Institution Name],AccountabilityTSTC[[#This Row],[Institution Name]],InputResearch[Engineering PNP])
+SUMIF(InputResearch[Institution Name],AccountabilityTSTC[[#This Row],[Institution Name]],InputResearch[Env Sci. PNP])
+SUMIF(InputResearch[Institution Name],AccountabilityTSTC[[#This Row],[Institution Name]],InputResearch[Math PNP])
+SUMIF(InputResearch[Institution Name],AccountabilityTSTC[[#This Row],[Institution Name]],InputResearch[Medical PNP])
+SUMIF(InputResearch[Institution Name],AccountabilityTSTC[[#This Row],[Institution Name]],InputResearch[Physical Sci. PNP])
+SUMIF(InputResearch[Institution Name],AccountabilityTSTC[[#This Row],[Institution Name]],InputResearch[Psychology PNP])
+SUMIF(InputResearch[Institution Name],AccountabilityTSTC[[#This Row],[Institution Name]],InputResearch[Social Sci. PNP])
+SUMIF(InputResearch[Institution Name],AccountabilityTSTC[[#This Row],[Institution Name]],InputResearch[Other Sci. PNP])
+SUMIF(InputResearch[Institution Name],AccountabilityTSTC[[#This Row],[Institution Name]],InputResearch[Arts &amp; Humanities PNP])
+SUMIF(InputResearch[Institution Name],AccountabilityTSTC[[#This Row],[Institution Name]],InputResearch[Business PNP])
+SUMIF(InputResearch[Institution Name],AccountabilityTSTC[[#This Row],[Institution Name]],InputResearch[Education PNP])
+SUMIF(InputResearch[Institution Name],AccountabilityTSTC[[#This Row],[Institution Name]],InputResearch[Law PNP])
+SUMIF(InputResearch[Institution Name],AccountabilityTSTC[[#This Row],[Institution Name]],InputResearch[Other Non-Sci. PNP])</f>
        <v>0</v>
      </c>
      <c r="K29" s="270">
        <f>SUM(AccountabilityTSTC[[#This Row],[Private 
For Profit]],AccountabilityTSTC[[#This Row],[Private 
Nonprofit]])</f>
        <v>0</v>
      </c>
      <c r="L29" s="270">
        <f>SUM(AccountabilityTSTC[[#This Row],[Federal]],AccountabilityTSTC[[#This Row],[State]],AccountabilityTSTC[[#This Row],[Institutional 
Resources]],AccountabilityTSTC[[#This Row],[Private]])</f>
        <v>0</v>
      </c>
      <c r="M29" s="88"/>
      <c r="N29" s="88"/>
      <c r="O29" s="88"/>
    </row>
    <row r="30" spans="1:15">
      <c r="A30" s="79" t="s">
        <v>66</v>
      </c>
      <c r="B30" s="80">
        <f>VLOOKUP(AccountabilityTSTC[[#This Row],[Institution Name]],InputResearch[],3,FALSE)</f>
        <v>520</v>
      </c>
      <c r="C30" s="84">
        <v>9225</v>
      </c>
      <c r="D30" s="85">
        <f>SUMIF(InputResearch[Institution Name],AccountabilityTSTC[[#This Row],[Institution Name]],InputResearch[Agricultural Sci. Fed])
+SUMIF(InputResearch[Institution Name],AccountabilityTSTC[[#This Row],[Institution Name]],InputResearch[Biological &amp; Other Life Sci. Fed])
+SUMIF(InputResearch[Institution Name],AccountabilityTSTC[[#This Row],[Institution Name]],InputResearch[Comp. Sci. Fed])
+SUMIF(InputResearch[Institution Name],AccountabilityTSTC[[#This Row],[Institution Name]],InputResearch[Engineering Fed])
+SUMIF(InputResearch[Institution Name],AccountabilityTSTC[[#This Row],[Institution Name]],InputResearch[Env Sci. Fed])
+SUMIF(InputResearch[Institution Name],AccountabilityTSTC[[#This Row],[Institution Name]],InputResearch[Math Fed])
+SUMIF(InputResearch[Institution Name],AccountabilityTSTC[[#This Row],[Institution Name]],InputResearch[Medical Fed])
+SUMIF(InputResearch[Institution Name],AccountabilityTSTC[[#This Row],[Institution Name]],InputResearch[Physical Sci. Fed])
+SUMIF(InputResearch[Institution Name],AccountabilityTSTC[[#This Row],[Institution Name]],InputResearch[Psychology Fed])
+SUMIF(InputResearch[Institution Name],AccountabilityTSTC[[#This Row],[Institution Name]],InputResearch[Social Sci. Fed])
+SUMIF(InputResearch[Institution Name],AccountabilityTSTC[[#This Row],[Institution Name]],InputResearch[Other Sci. Fed])
+SUMIF(InputResearch[Institution Name],AccountabilityTSTC[[#This Row],[Institution Name]],InputResearch[Arts &amp; Humanities Fed])
+SUMIF(InputResearch[Institution Name],AccountabilityTSTC[[#This Row],[Institution Name]],InputResearch[Business Fed])
+SUMIF(InputResearch[Institution Name],AccountabilityTSTC[[#This Row],[Institution Name]],InputResearch[Education Fed])
+SUMIF(InputResearch[Institution Name],AccountabilityTSTC[[#This Row],[Institution Name]],InputResearch[Law Fed])
+SUMIF(InputResearch[Institution Name],AccountabilityTSTC[[#This Row],[Institution Name]],InputResearch[Other Non-Sci. Fed])</f>
        <v>0</v>
      </c>
      <c r="E30" s="85">
        <f>SUMIF(InputResearch[Institution Name],AccountabilityTSTC[[#This Row],[Institution Name]],InputResearch[Agricultural Sci. St. Approp.])
+SUMIF(InputResearch[Institution Name],AccountabilityTSTC[[#This Row],[Institution Name]],InputResearch[Biological &amp; Other Life Sci. St. Approp.])
+SUMIF(InputResearch[Institution Name],AccountabilityTSTC[[#This Row],[Institution Name]],InputResearch[Comp. Sci. St. Approp.])
+SUMIF(InputResearch[Institution Name],AccountabilityTSTC[[#This Row],[Institution Name]],InputResearch[Engineering St. Approp.])
+SUMIF(InputResearch[Institution Name],AccountabilityTSTC[[#This Row],[Institution Name]],InputResearch[Env Sci. St. Approp.])
+SUMIF(InputResearch[Institution Name],AccountabilityTSTC[[#This Row],[Institution Name]],InputResearch[Math St. Approp.])
+SUMIF(InputResearch[Institution Name],AccountabilityTSTC[[#This Row],[Institution Name]],InputResearch[Medical St. Approp.])
+SUMIF(InputResearch[Institution Name],AccountabilityTSTC[[#This Row],[Institution Name]],InputResearch[Physical Sci. St. Approp.])
+SUMIF(InputResearch[Institution Name],AccountabilityTSTC[[#This Row],[Institution Name]],InputResearch[Psychology St. Approp.])
+SUMIF(InputResearch[Institution Name],AccountabilityTSTC[[#This Row],[Institution Name]],InputResearch[Social Sci. St. Approp.])
+SUMIF(InputResearch[Institution Name],AccountabilityTSTC[[#This Row],[Institution Name]],InputResearch[Other Sci. St. Approp.])
+SUMIF(InputResearch[Institution Name],AccountabilityTSTC[[#This Row],[Institution Name]],InputResearch[Arts &amp; Humanities St. Approp.])
+SUMIF(InputResearch[Institution Name],AccountabilityTSTC[[#This Row],[Institution Name]],InputResearch[Business St. Approp.])
+SUMIF(InputResearch[Institution Name],AccountabilityTSTC[[#This Row],[Institution Name]],InputResearch[Education St. Approp.])
+SUMIF(InputResearch[Institution Name],AccountabilityTSTC[[#This Row],[Institution Name]],InputResearch[Law St. Approp.])
+SUMIF(InputResearch[Institution Name],AccountabilityTSTC[[#This Row],[Institution Name]],InputResearch[Other Non-Sci. St. Approp.])</f>
        <v>0</v>
      </c>
      <c r="F30" s="85">
        <f>SUMIF(InputResearch[Institution Name],AccountabilityTSTC[[#This Row],[Institution Name]],InputResearch[Agricultural Sci. St. C&amp;G])
+SUMIF(InputResearch[Institution Name],AccountabilityTSTC[[#This Row],[Institution Name]],InputResearch[Biological &amp; Other Life Sci. St. C&amp;G])
+SUMIF(InputResearch[Institution Name],AccountabilityTSTC[[#This Row],[Institution Name]],InputResearch[Comp. Sci. St. C&amp;G])
+SUMIF(InputResearch[Institution Name],AccountabilityTSTC[[#This Row],[Institution Name]],InputResearch[Engineering St. C&amp;G])
+SUMIF(InputResearch[Institution Name],AccountabilityTSTC[[#This Row],[Institution Name]],InputResearch[Env Sci. St. C&amp;G])
+SUMIF(InputResearch[Institution Name],AccountabilityTSTC[[#This Row],[Institution Name]],InputResearch[Math St. C&amp;G])
+SUMIF(InputResearch[Institution Name],AccountabilityTSTC[[#This Row],[Institution Name]],InputResearch[Medical St. C&amp;G])
+SUMIF(InputResearch[Institution Name],AccountabilityTSTC[[#This Row],[Institution Name]],InputResearch[Physical Sci. St. C&amp;G])
+SUMIF(InputResearch[Institution Name],AccountabilityTSTC[[#This Row],[Institution Name]],InputResearch[Psychology St. C&amp;G])
+SUMIF(InputResearch[Institution Name],AccountabilityTSTC[[#This Row],[Institution Name]],InputResearch[Social Sci. St. C&amp;G])
+SUMIF(InputResearch[Institution Name],AccountabilityTSTC[[#This Row],[Institution Name]],InputResearch[Other Sci. St. C&amp;G])
+SUMIF(InputResearch[Institution Name],AccountabilityTSTC[[#This Row],[Institution Name]],InputResearch[Arts &amp; Humanities St. C&amp;G])
+SUMIF(InputResearch[Institution Name],AccountabilityTSTC[[#This Row],[Institution Name]],InputResearch[Business St. C&amp;G])
+SUMIF(InputResearch[Institution Name],AccountabilityTSTC[[#This Row],[Institution Name]],InputResearch[Education St. C&amp;G])
+SUMIF(InputResearch[Institution Name],AccountabilityTSTC[[#This Row],[Institution Name]],InputResearch[Law St. C&amp;G])
+SUMIF(InputResearch[Institution Name],AccountabilityTSTC[[#This Row],[Institution Name]],InputResearch[Other Non-Sci. St. C&amp;G])</f>
        <v>95852</v>
      </c>
      <c r="G30" s="270">
        <f>SUM(AccountabilityTSTC[[#This Row],[State 
Appropriation]],AccountabilityTSTC[[#This Row],[State 
Contracts/Grants]])</f>
        <v>95852</v>
      </c>
      <c r="H30" s="85">
        <f>SUMIF(InputResearch[Institution Name],AccountabilityTSTC[[#This Row],[Institution Name]],InputResearch[Agricultural Sci. Inst Res])
+SUMIF(InputResearch[Institution Name],AccountabilityTSTC[[#This Row],[Institution Name]],InputResearch[Biological &amp; Other Life Sci. Inst Res])
+SUMIF(InputResearch[Institution Name],AccountabilityTSTC[[#This Row],[Institution Name]],InputResearch[Comp. Sci. Inst Res])
+SUMIF(InputResearch[Institution Name],AccountabilityTSTC[[#This Row],[Institution Name]],InputResearch[Engineering Inst Res])
+SUMIF(InputResearch[Institution Name],AccountabilityTSTC[[#This Row],[Institution Name]],InputResearch[Env Sci. Inst Res])
+SUMIF(InputResearch[Institution Name],AccountabilityTSTC[[#This Row],[Institution Name]],InputResearch[Math Inst Res])
+SUMIF(InputResearch[Institution Name],AccountabilityTSTC[[#This Row],[Institution Name]],InputResearch[Medical Inst Res])
+SUMIF(InputResearch[Institution Name],AccountabilityTSTC[[#This Row],[Institution Name]],InputResearch[Physical Sci. Inst Res])
+SUMIF(InputResearch[Institution Name],AccountabilityTSTC[[#This Row],[Institution Name]],InputResearch[Psychology Inst Res])
+SUMIF(InputResearch[Institution Name],AccountabilityTSTC[[#This Row],[Institution Name]],InputResearch[Social Sci. Inst Res])
+SUMIF(InputResearch[Institution Name],AccountabilityTSTC[[#This Row],[Institution Name]],InputResearch[Other Sci. Inst Res])
+SUMIF(InputResearch[Institution Name],AccountabilityTSTC[[#This Row],[Institution Name]],InputResearch[Arts &amp; Humanities Inst Res])
+SUMIF(InputResearch[Institution Name],AccountabilityTSTC[[#This Row],[Institution Name]],InputResearch[Business Inst Res])
+SUMIF(InputResearch[Institution Name],AccountabilityTSTC[[#This Row],[Institution Name]],InputResearch[Education Inst Res])
+SUMIF(InputResearch[Institution Name],AccountabilityTSTC[[#This Row],[Institution Name]],InputResearch[Law Inst Res])
+SUMIF(InputResearch[Institution Name],AccountabilityTSTC[[#This Row],[Institution Name]],InputResearch[Other Non-Sci. Inst Res])</f>
        <v>0</v>
      </c>
      <c r="I30" s="85">
        <f>SUMIF(InputResearch[Institution Name],AccountabilityTSTC[[#This Row],[Institution Name]],InputResearch[Agricultural Sci. PFP])
+SUMIF(InputResearch[Institution Name],AccountabilityTSTC[[#This Row],[Institution Name]],InputResearch[Biological &amp; Other Life Sci. PFP])
+SUMIF(InputResearch[Institution Name],AccountabilityTSTC[[#This Row],[Institution Name]],InputResearch[Comp. Sci. PFP])
+SUMIF(InputResearch[Institution Name],AccountabilityTSTC[[#This Row],[Institution Name]],InputResearch[Engineering PFP])
+SUMIF(InputResearch[Institution Name],AccountabilityTSTC[[#This Row],[Institution Name]],InputResearch[Env Sci. PFP])
+SUMIF(InputResearch[Institution Name],AccountabilityTSTC[[#This Row],[Institution Name]],InputResearch[Math PFP])
+SUMIF(InputResearch[Institution Name],AccountabilityTSTC[[#This Row],[Institution Name]],InputResearch[Medical PFP])
+SUMIF(InputResearch[Institution Name],AccountabilityTSTC[[#This Row],[Institution Name]],InputResearch[Physical Sci. PFP])
+SUMIF(InputResearch[Institution Name],AccountabilityTSTC[[#This Row],[Institution Name]],InputResearch[Psychology PFP])
+SUMIF(InputResearch[Institution Name],AccountabilityTSTC[[#This Row],[Institution Name]],InputResearch[Social Sci. PFP])
+SUMIF(InputResearch[Institution Name],AccountabilityTSTC[[#This Row],[Institution Name]],InputResearch[Other Sci. PFP])
+SUMIF(InputResearch[Institution Name],AccountabilityTSTC[[#This Row],[Institution Name]],InputResearch[Arts &amp; Humanities PFP])
+SUMIF(InputResearch[Institution Name],AccountabilityTSTC[[#This Row],[Institution Name]],InputResearch[Business PFP])
+SUMIF(InputResearch[Institution Name],AccountabilityTSTC[[#This Row],[Institution Name]],InputResearch[Education PFP])
+SUMIF(InputResearch[Institution Name],AccountabilityTSTC[[#This Row],[Institution Name]],InputResearch[Law PFP])
+SUMIF(InputResearch[Institution Name],AccountabilityTSTC[[#This Row],[Institution Name]],InputResearch[Other Non-Sci. PFP])</f>
        <v>0</v>
      </c>
      <c r="J30" s="85">
        <f>SUMIF(InputResearch[Institution Name],AccountabilityTSTC[[#This Row],[Institution Name]],InputResearch[Agricultural Sci. PNP])
+SUMIF(InputResearch[Institution Name],AccountabilityTSTC[[#This Row],[Institution Name]],InputResearch[Biological &amp; Other Life Sci. PNP])
+SUMIF(InputResearch[Institution Name],AccountabilityTSTC[[#This Row],[Institution Name]],InputResearch[Comp. Sci. PNP])
+SUMIF(InputResearch[Institution Name],AccountabilityTSTC[[#This Row],[Institution Name]],InputResearch[Engineering PNP])
+SUMIF(InputResearch[Institution Name],AccountabilityTSTC[[#This Row],[Institution Name]],InputResearch[Env Sci. PNP])
+SUMIF(InputResearch[Institution Name],AccountabilityTSTC[[#This Row],[Institution Name]],InputResearch[Math PNP])
+SUMIF(InputResearch[Institution Name],AccountabilityTSTC[[#This Row],[Institution Name]],InputResearch[Medical PNP])
+SUMIF(InputResearch[Institution Name],AccountabilityTSTC[[#This Row],[Institution Name]],InputResearch[Physical Sci. PNP])
+SUMIF(InputResearch[Institution Name],AccountabilityTSTC[[#This Row],[Institution Name]],InputResearch[Psychology PNP])
+SUMIF(InputResearch[Institution Name],AccountabilityTSTC[[#This Row],[Institution Name]],InputResearch[Social Sci. PNP])
+SUMIF(InputResearch[Institution Name],AccountabilityTSTC[[#This Row],[Institution Name]],InputResearch[Other Sci. PNP])
+SUMIF(InputResearch[Institution Name],AccountabilityTSTC[[#This Row],[Institution Name]],InputResearch[Arts &amp; Humanities PNP])
+SUMIF(InputResearch[Institution Name],AccountabilityTSTC[[#This Row],[Institution Name]],InputResearch[Business PNP])
+SUMIF(InputResearch[Institution Name],AccountabilityTSTC[[#This Row],[Institution Name]],InputResearch[Education PNP])
+SUMIF(InputResearch[Institution Name],AccountabilityTSTC[[#This Row],[Institution Name]],InputResearch[Law PNP])
+SUMIF(InputResearch[Institution Name],AccountabilityTSTC[[#This Row],[Institution Name]],InputResearch[Other Non-Sci. PNP])</f>
        <v>0</v>
      </c>
      <c r="K30" s="270">
        <f>SUM(AccountabilityTSTC[[#This Row],[Private 
For Profit]],AccountabilityTSTC[[#This Row],[Private 
Nonprofit]])</f>
        <v>0</v>
      </c>
      <c r="L30" s="270">
        <f>SUM(AccountabilityTSTC[[#This Row],[Federal]],AccountabilityTSTC[[#This Row],[State]],AccountabilityTSTC[[#This Row],[Institutional 
Resources]],AccountabilityTSTC[[#This Row],[Private]])</f>
        <v>95852</v>
      </c>
      <c r="M30" s="88"/>
      <c r="N30" s="88"/>
      <c r="O30" s="88"/>
    </row>
    <row r="31" spans="1:15">
      <c r="A31" s="79" t="s">
        <v>67</v>
      </c>
      <c r="B31" s="80">
        <f>VLOOKUP(AccountabilityTSTC[[#This Row],[Institution Name]],InputResearch[],3,FALSE)</f>
        <v>530</v>
      </c>
      <c r="C31" s="84">
        <v>9932</v>
      </c>
      <c r="D31" s="85">
        <f>SUMIF(InputResearch[Institution Name],AccountabilityTSTC[[#This Row],[Institution Name]],InputResearch[Agricultural Sci. Fed])
+SUMIF(InputResearch[Institution Name],AccountabilityTSTC[[#This Row],[Institution Name]],InputResearch[Biological &amp; Other Life Sci. Fed])
+SUMIF(InputResearch[Institution Name],AccountabilityTSTC[[#This Row],[Institution Name]],InputResearch[Comp. Sci. Fed])
+SUMIF(InputResearch[Institution Name],AccountabilityTSTC[[#This Row],[Institution Name]],InputResearch[Engineering Fed])
+SUMIF(InputResearch[Institution Name],AccountabilityTSTC[[#This Row],[Institution Name]],InputResearch[Env Sci. Fed])
+SUMIF(InputResearch[Institution Name],AccountabilityTSTC[[#This Row],[Institution Name]],InputResearch[Math Fed])
+SUMIF(InputResearch[Institution Name],AccountabilityTSTC[[#This Row],[Institution Name]],InputResearch[Medical Fed])
+SUMIF(InputResearch[Institution Name],AccountabilityTSTC[[#This Row],[Institution Name]],InputResearch[Physical Sci. Fed])
+SUMIF(InputResearch[Institution Name],AccountabilityTSTC[[#This Row],[Institution Name]],InputResearch[Psychology Fed])
+SUMIF(InputResearch[Institution Name],AccountabilityTSTC[[#This Row],[Institution Name]],InputResearch[Social Sci. Fed])
+SUMIF(InputResearch[Institution Name],AccountabilityTSTC[[#This Row],[Institution Name]],InputResearch[Other Sci. Fed])
+SUMIF(InputResearch[Institution Name],AccountabilityTSTC[[#This Row],[Institution Name]],InputResearch[Arts &amp; Humanities Fed])
+SUMIF(InputResearch[Institution Name],AccountabilityTSTC[[#This Row],[Institution Name]],InputResearch[Business Fed])
+SUMIF(InputResearch[Institution Name],AccountabilityTSTC[[#This Row],[Institution Name]],InputResearch[Education Fed])
+SUMIF(InputResearch[Institution Name],AccountabilityTSTC[[#This Row],[Institution Name]],InputResearch[Law Fed])
+SUMIF(InputResearch[Institution Name],AccountabilityTSTC[[#This Row],[Institution Name]],InputResearch[Other Non-Sci. Fed])</f>
        <v>0</v>
      </c>
      <c r="E31" s="85">
        <f>SUMIF(InputResearch[Institution Name],AccountabilityTSTC[[#This Row],[Institution Name]],InputResearch[Agricultural Sci. St. Approp.])
+SUMIF(InputResearch[Institution Name],AccountabilityTSTC[[#This Row],[Institution Name]],InputResearch[Biological &amp; Other Life Sci. St. Approp.])
+SUMIF(InputResearch[Institution Name],AccountabilityTSTC[[#This Row],[Institution Name]],InputResearch[Comp. Sci. St. Approp.])
+SUMIF(InputResearch[Institution Name],AccountabilityTSTC[[#This Row],[Institution Name]],InputResearch[Engineering St. Approp.])
+SUMIF(InputResearch[Institution Name],AccountabilityTSTC[[#This Row],[Institution Name]],InputResearch[Env Sci. St. Approp.])
+SUMIF(InputResearch[Institution Name],AccountabilityTSTC[[#This Row],[Institution Name]],InputResearch[Math St. Approp.])
+SUMIF(InputResearch[Institution Name],AccountabilityTSTC[[#This Row],[Institution Name]],InputResearch[Medical St. Approp.])
+SUMIF(InputResearch[Institution Name],AccountabilityTSTC[[#This Row],[Institution Name]],InputResearch[Physical Sci. St. Approp.])
+SUMIF(InputResearch[Institution Name],AccountabilityTSTC[[#This Row],[Institution Name]],InputResearch[Psychology St. Approp.])
+SUMIF(InputResearch[Institution Name],AccountabilityTSTC[[#This Row],[Institution Name]],InputResearch[Social Sci. St. Approp.])
+SUMIF(InputResearch[Institution Name],AccountabilityTSTC[[#This Row],[Institution Name]],InputResearch[Other Sci. St. Approp.])
+SUMIF(InputResearch[Institution Name],AccountabilityTSTC[[#This Row],[Institution Name]],InputResearch[Arts &amp; Humanities St. Approp.])
+SUMIF(InputResearch[Institution Name],AccountabilityTSTC[[#This Row],[Institution Name]],InputResearch[Business St. Approp.])
+SUMIF(InputResearch[Institution Name],AccountabilityTSTC[[#This Row],[Institution Name]],InputResearch[Education St. Approp.])
+SUMIF(InputResearch[Institution Name],AccountabilityTSTC[[#This Row],[Institution Name]],InputResearch[Law St. Approp.])
+SUMIF(InputResearch[Institution Name],AccountabilityTSTC[[#This Row],[Institution Name]],InputResearch[Other Non-Sci. St. Approp.])</f>
        <v>0</v>
      </c>
      <c r="F31" s="85">
        <f>SUMIF(InputResearch[Institution Name],AccountabilityTSTC[[#This Row],[Institution Name]],InputResearch[Agricultural Sci. St. C&amp;G])
+SUMIF(InputResearch[Institution Name],AccountabilityTSTC[[#This Row],[Institution Name]],InputResearch[Biological &amp; Other Life Sci. St. C&amp;G])
+SUMIF(InputResearch[Institution Name],AccountabilityTSTC[[#This Row],[Institution Name]],InputResearch[Comp. Sci. St. C&amp;G])
+SUMIF(InputResearch[Institution Name],AccountabilityTSTC[[#This Row],[Institution Name]],InputResearch[Engineering St. C&amp;G])
+SUMIF(InputResearch[Institution Name],AccountabilityTSTC[[#This Row],[Institution Name]],InputResearch[Env Sci. St. C&amp;G])
+SUMIF(InputResearch[Institution Name],AccountabilityTSTC[[#This Row],[Institution Name]],InputResearch[Math St. C&amp;G])
+SUMIF(InputResearch[Institution Name],AccountabilityTSTC[[#This Row],[Institution Name]],InputResearch[Medical St. C&amp;G])
+SUMIF(InputResearch[Institution Name],AccountabilityTSTC[[#This Row],[Institution Name]],InputResearch[Physical Sci. St. C&amp;G])
+SUMIF(InputResearch[Institution Name],AccountabilityTSTC[[#This Row],[Institution Name]],InputResearch[Psychology St. C&amp;G])
+SUMIF(InputResearch[Institution Name],AccountabilityTSTC[[#This Row],[Institution Name]],InputResearch[Social Sci. St. C&amp;G])
+SUMIF(InputResearch[Institution Name],AccountabilityTSTC[[#This Row],[Institution Name]],InputResearch[Other Sci. St. C&amp;G])
+SUMIF(InputResearch[Institution Name],AccountabilityTSTC[[#This Row],[Institution Name]],InputResearch[Arts &amp; Humanities St. C&amp;G])
+SUMIF(InputResearch[Institution Name],AccountabilityTSTC[[#This Row],[Institution Name]],InputResearch[Business St. C&amp;G])
+SUMIF(InputResearch[Institution Name],AccountabilityTSTC[[#This Row],[Institution Name]],InputResearch[Education St. C&amp;G])
+SUMIF(InputResearch[Institution Name],AccountabilityTSTC[[#This Row],[Institution Name]],InputResearch[Law St. C&amp;G])
+SUMIF(InputResearch[Institution Name],AccountabilityTSTC[[#This Row],[Institution Name]],InputResearch[Other Non-Sci. St. C&amp;G])</f>
        <v>0</v>
      </c>
      <c r="G31" s="270">
        <f>SUM(AccountabilityTSTC[[#This Row],[State 
Appropriation]],AccountabilityTSTC[[#This Row],[State 
Contracts/Grants]])</f>
        <v>0</v>
      </c>
      <c r="H31" s="85">
        <f>SUMIF(InputResearch[Institution Name],AccountabilityTSTC[[#This Row],[Institution Name]],InputResearch[Agricultural Sci. Inst Res])
+SUMIF(InputResearch[Institution Name],AccountabilityTSTC[[#This Row],[Institution Name]],InputResearch[Biological &amp; Other Life Sci. Inst Res])
+SUMIF(InputResearch[Institution Name],AccountabilityTSTC[[#This Row],[Institution Name]],InputResearch[Comp. Sci. Inst Res])
+SUMIF(InputResearch[Institution Name],AccountabilityTSTC[[#This Row],[Institution Name]],InputResearch[Engineering Inst Res])
+SUMIF(InputResearch[Institution Name],AccountabilityTSTC[[#This Row],[Institution Name]],InputResearch[Env Sci. Inst Res])
+SUMIF(InputResearch[Institution Name],AccountabilityTSTC[[#This Row],[Institution Name]],InputResearch[Math Inst Res])
+SUMIF(InputResearch[Institution Name],AccountabilityTSTC[[#This Row],[Institution Name]],InputResearch[Medical Inst Res])
+SUMIF(InputResearch[Institution Name],AccountabilityTSTC[[#This Row],[Institution Name]],InputResearch[Physical Sci. Inst Res])
+SUMIF(InputResearch[Institution Name],AccountabilityTSTC[[#This Row],[Institution Name]],InputResearch[Psychology Inst Res])
+SUMIF(InputResearch[Institution Name],AccountabilityTSTC[[#This Row],[Institution Name]],InputResearch[Social Sci. Inst Res])
+SUMIF(InputResearch[Institution Name],AccountabilityTSTC[[#This Row],[Institution Name]],InputResearch[Other Sci. Inst Res])
+SUMIF(InputResearch[Institution Name],AccountabilityTSTC[[#This Row],[Institution Name]],InputResearch[Arts &amp; Humanities Inst Res])
+SUMIF(InputResearch[Institution Name],AccountabilityTSTC[[#This Row],[Institution Name]],InputResearch[Business Inst Res])
+SUMIF(InputResearch[Institution Name],AccountabilityTSTC[[#This Row],[Institution Name]],InputResearch[Education Inst Res])
+SUMIF(InputResearch[Institution Name],AccountabilityTSTC[[#This Row],[Institution Name]],InputResearch[Law Inst Res])
+SUMIF(InputResearch[Institution Name],AccountabilityTSTC[[#This Row],[Institution Name]],InputResearch[Other Non-Sci. Inst Res])</f>
        <v>0</v>
      </c>
      <c r="I31" s="85">
        <f>SUMIF(InputResearch[Institution Name],AccountabilityTSTC[[#This Row],[Institution Name]],InputResearch[Agricultural Sci. PFP])
+SUMIF(InputResearch[Institution Name],AccountabilityTSTC[[#This Row],[Institution Name]],InputResearch[Biological &amp; Other Life Sci. PFP])
+SUMIF(InputResearch[Institution Name],AccountabilityTSTC[[#This Row],[Institution Name]],InputResearch[Comp. Sci. PFP])
+SUMIF(InputResearch[Institution Name],AccountabilityTSTC[[#This Row],[Institution Name]],InputResearch[Engineering PFP])
+SUMIF(InputResearch[Institution Name],AccountabilityTSTC[[#This Row],[Institution Name]],InputResearch[Env Sci. PFP])
+SUMIF(InputResearch[Institution Name],AccountabilityTSTC[[#This Row],[Institution Name]],InputResearch[Math PFP])
+SUMIF(InputResearch[Institution Name],AccountabilityTSTC[[#This Row],[Institution Name]],InputResearch[Medical PFP])
+SUMIF(InputResearch[Institution Name],AccountabilityTSTC[[#This Row],[Institution Name]],InputResearch[Physical Sci. PFP])
+SUMIF(InputResearch[Institution Name],AccountabilityTSTC[[#This Row],[Institution Name]],InputResearch[Psychology PFP])
+SUMIF(InputResearch[Institution Name],AccountabilityTSTC[[#This Row],[Institution Name]],InputResearch[Social Sci. PFP])
+SUMIF(InputResearch[Institution Name],AccountabilityTSTC[[#This Row],[Institution Name]],InputResearch[Other Sci. PFP])
+SUMIF(InputResearch[Institution Name],AccountabilityTSTC[[#This Row],[Institution Name]],InputResearch[Arts &amp; Humanities PFP])
+SUMIF(InputResearch[Institution Name],AccountabilityTSTC[[#This Row],[Institution Name]],InputResearch[Business PFP])
+SUMIF(InputResearch[Institution Name],AccountabilityTSTC[[#This Row],[Institution Name]],InputResearch[Education PFP])
+SUMIF(InputResearch[Institution Name],AccountabilityTSTC[[#This Row],[Institution Name]],InputResearch[Law PFP])
+SUMIF(InputResearch[Institution Name],AccountabilityTSTC[[#This Row],[Institution Name]],InputResearch[Other Non-Sci. PFP])</f>
        <v>0</v>
      </c>
      <c r="J31" s="85">
        <f>SUMIF(InputResearch[Institution Name],AccountabilityTSTC[[#This Row],[Institution Name]],InputResearch[Agricultural Sci. PNP])
+SUMIF(InputResearch[Institution Name],AccountabilityTSTC[[#This Row],[Institution Name]],InputResearch[Biological &amp; Other Life Sci. PNP])
+SUMIF(InputResearch[Institution Name],AccountabilityTSTC[[#This Row],[Institution Name]],InputResearch[Comp. Sci. PNP])
+SUMIF(InputResearch[Institution Name],AccountabilityTSTC[[#This Row],[Institution Name]],InputResearch[Engineering PNP])
+SUMIF(InputResearch[Institution Name],AccountabilityTSTC[[#This Row],[Institution Name]],InputResearch[Env Sci. PNP])
+SUMIF(InputResearch[Institution Name],AccountabilityTSTC[[#This Row],[Institution Name]],InputResearch[Math PNP])
+SUMIF(InputResearch[Institution Name],AccountabilityTSTC[[#This Row],[Institution Name]],InputResearch[Medical PNP])
+SUMIF(InputResearch[Institution Name],AccountabilityTSTC[[#This Row],[Institution Name]],InputResearch[Physical Sci. PNP])
+SUMIF(InputResearch[Institution Name],AccountabilityTSTC[[#This Row],[Institution Name]],InputResearch[Psychology PNP])
+SUMIF(InputResearch[Institution Name],AccountabilityTSTC[[#This Row],[Institution Name]],InputResearch[Social Sci. PNP])
+SUMIF(InputResearch[Institution Name],AccountabilityTSTC[[#This Row],[Institution Name]],InputResearch[Other Sci. PNP])
+SUMIF(InputResearch[Institution Name],AccountabilityTSTC[[#This Row],[Institution Name]],InputResearch[Arts &amp; Humanities PNP])
+SUMIF(InputResearch[Institution Name],AccountabilityTSTC[[#This Row],[Institution Name]],InputResearch[Business PNP])
+SUMIF(InputResearch[Institution Name],AccountabilityTSTC[[#This Row],[Institution Name]],InputResearch[Education PNP])
+SUMIF(InputResearch[Institution Name],AccountabilityTSTC[[#This Row],[Institution Name]],InputResearch[Law PNP])
+SUMIF(InputResearch[Institution Name],AccountabilityTSTC[[#This Row],[Institution Name]],InputResearch[Other Non-Sci. PNP])</f>
        <v>0</v>
      </c>
      <c r="K31" s="270">
        <f>SUM(AccountabilityTSTC[[#This Row],[Private 
For Profit]],AccountabilityTSTC[[#This Row],[Private 
Nonprofit]])</f>
        <v>0</v>
      </c>
      <c r="L31" s="270">
        <f>SUM(AccountabilityTSTC[[#This Row],[Federal]],AccountabilityTSTC[[#This Row],[State]],AccountabilityTSTC[[#This Row],[Institutional 
Resources]],AccountabilityTSTC[[#This Row],[Private]])</f>
        <v>0</v>
      </c>
      <c r="M31" s="88"/>
      <c r="N31" s="88"/>
      <c r="O31" s="88"/>
    </row>
    <row r="32" spans="1:15">
      <c r="A32" s="79" t="s">
        <v>68</v>
      </c>
      <c r="B32" s="80">
        <f>VLOOKUP(AccountabilityTSTC[[#This Row],[Institution Name]],InputResearch[],3,FALSE)</f>
        <v>540</v>
      </c>
      <c r="C32" s="84">
        <v>33965</v>
      </c>
      <c r="D32" s="85">
        <f>SUMIF(InputResearch[Institution Name],AccountabilityTSTC[[#This Row],[Institution Name]],InputResearch[Agricultural Sci. Fed])
+SUMIF(InputResearch[Institution Name],AccountabilityTSTC[[#This Row],[Institution Name]],InputResearch[Biological &amp; Other Life Sci. Fed])
+SUMIF(InputResearch[Institution Name],AccountabilityTSTC[[#This Row],[Institution Name]],InputResearch[Comp. Sci. Fed])
+SUMIF(InputResearch[Institution Name],AccountabilityTSTC[[#This Row],[Institution Name]],InputResearch[Engineering Fed])
+SUMIF(InputResearch[Institution Name],AccountabilityTSTC[[#This Row],[Institution Name]],InputResearch[Env Sci. Fed])
+SUMIF(InputResearch[Institution Name],AccountabilityTSTC[[#This Row],[Institution Name]],InputResearch[Math Fed])
+SUMIF(InputResearch[Institution Name],AccountabilityTSTC[[#This Row],[Institution Name]],InputResearch[Medical Fed])
+SUMIF(InputResearch[Institution Name],AccountabilityTSTC[[#This Row],[Institution Name]],InputResearch[Physical Sci. Fed])
+SUMIF(InputResearch[Institution Name],AccountabilityTSTC[[#This Row],[Institution Name]],InputResearch[Psychology Fed])
+SUMIF(InputResearch[Institution Name],AccountabilityTSTC[[#This Row],[Institution Name]],InputResearch[Social Sci. Fed])
+SUMIF(InputResearch[Institution Name],AccountabilityTSTC[[#This Row],[Institution Name]],InputResearch[Other Sci. Fed])
+SUMIF(InputResearch[Institution Name],AccountabilityTSTC[[#This Row],[Institution Name]],InputResearch[Arts &amp; Humanities Fed])
+SUMIF(InputResearch[Institution Name],AccountabilityTSTC[[#This Row],[Institution Name]],InputResearch[Business Fed])
+SUMIF(InputResearch[Institution Name],AccountabilityTSTC[[#This Row],[Institution Name]],InputResearch[Education Fed])
+SUMIF(InputResearch[Institution Name],AccountabilityTSTC[[#This Row],[Institution Name]],InputResearch[Law Fed])
+SUMIF(InputResearch[Institution Name],AccountabilityTSTC[[#This Row],[Institution Name]],InputResearch[Other Non-Sci. Fed])</f>
        <v>0</v>
      </c>
      <c r="E32" s="85">
        <f>SUMIF(InputResearch[Institution Name],AccountabilityTSTC[[#This Row],[Institution Name]],InputResearch[Agricultural Sci. St. Approp.])
+SUMIF(InputResearch[Institution Name],AccountabilityTSTC[[#This Row],[Institution Name]],InputResearch[Biological &amp; Other Life Sci. St. Approp.])
+SUMIF(InputResearch[Institution Name],AccountabilityTSTC[[#This Row],[Institution Name]],InputResearch[Comp. Sci. St. Approp.])
+SUMIF(InputResearch[Institution Name],AccountabilityTSTC[[#This Row],[Institution Name]],InputResearch[Engineering St. Approp.])
+SUMIF(InputResearch[Institution Name],AccountabilityTSTC[[#This Row],[Institution Name]],InputResearch[Env Sci. St. Approp.])
+SUMIF(InputResearch[Institution Name],AccountabilityTSTC[[#This Row],[Institution Name]],InputResearch[Math St. Approp.])
+SUMIF(InputResearch[Institution Name],AccountabilityTSTC[[#This Row],[Institution Name]],InputResearch[Medical St. Approp.])
+SUMIF(InputResearch[Institution Name],AccountabilityTSTC[[#This Row],[Institution Name]],InputResearch[Physical Sci. St. Approp.])
+SUMIF(InputResearch[Institution Name],AccountabilityTSTC[[#This Row],[Institution Name]],InputResearch[Psychology St. Approp.])
+SUMIF(InputResearch[Institution Name],AccountabilityTSTC[[#This Row],[Institution Name]],InputResearch[Social Sci. St. Approp.])
+SUMIF(InputResearch[Institution Name],AccountabilityTSTC[[#This Row],[Institution Name]],InputResearch[Other Sci. St. Approp.])
+SUMIF(InputResearch[Institution Name],AccountabilityTSTC[[#This Row],[Institution Name]],InputResearch[Arts &amp; Humanities St. Approp.])
+SUMIF(InputResearch[Institution Name],AccountabilityTSTC[[#This Row],[Institution Name]],InputResearch[Business St. Approp.])
+SUMIF(InputResearch[Institution Name],AccountabilityTSTC[[#This Row],[Institution Name]],InputResearch[Education St. Approp.])
+SUMIF(InputResearch[Institution Name],AccountabilityTSTC[[#This Row],[Institution Name]],InputResearch[Law St. Approp.])
+SUMIF(InputResearch[Institution Name],AccountabilityTSTC[[#This Row],[Institution Name]],InputResearch[Other Non-Sci. St. Approp.])</f>
        <v>0</v>
      </c>
      <c r="F32" s="85">
        <f>SUMIF(InputResearch[Institution Name],AccountabilityTSTC[[#This Row],[Institution Name]],InputResearch[Agricultural Sci. St. C&amp;G])
+SUMIF(InputResearch[Institution Name],AccountabilityTSTC[[#This Row],[Institution Name]],InputResearch[Biological &amp; Other Life Sci. St. C&amp;G])
+SUMIF(InputResearch[Institution Name],AccountabilityTSTC[[#This Row],[Institution Name]],InputResearch[Comp. Sci. St. C&amp;G])
+SUMIF(InputResearch[Institution Name],AccountabilityTSTC[[#This Row],[Institution Name]],InputResearch[Engineering St. C&amp;G])
+SUMIF(InputResearch[Institution Name],AccountabilityTSTC[[#This Row],[Institution Name]],InputResearch[Env Sci. St. C&amp;G])
+SUMIF(InputResearch[Institution Name],AccountabilityTSTC[[#This Row],[Institution Name]],InputResearch[Math St. C&amp;G])
+SUMIF(InputResearch[Institution Name],AccountabilityTSTC[[#This Row],[Institution Name]],InputResearch[Medical St. C&amp;G])
+SUMIF(InputResearch[Institution Name],AccountabilityTSTC[[#This Row],[Institution Name]],InputResearch[Physical Sci. St. C&amp;G])
+SUMIF(InputResearch[Institution Name],AccountabilityTSTC[[#This Row],[Institution Name]],InputResearch[Psychology St. C&amp;G])
+SUMIF(InputResearch[Institution Name],AccountabilityTSTC[[#This Row],[Institution Name]],InputResearch[Social Sci. St. C&amp;G])
+SUMIF(InputResearch[Institution Name],AccountabilityTSTC[[#This Row],[Institution Name]],InputResearch[Other Sci. St. C&amp;G])
+SUMIF(InputResearch[Institution Name],AccountabilityTSTC[[#This Row],[Institution Name]],InputResearch[Arts &amp; Humanities St. C&amp;G])
+SUMIF(InputResearch[Institution Name],AccountabilityTSTC[[#This Row],[Institution Name]],InputResearch[Business St. C&amp;G])
+SUMIF(InputResearch[Institution Name],AccountabilityTSTC[[#This Row],[Institution Name]],InputResearch[Education St. C&amp;G])
+SUMIF(InputResearch[Institution Name],AccountabilityTSTC[[#This Row],[Institution Name]],InputResearch[Law St. C&amp;G])
+SUMIF(InputResearch[Institution Name],AccountabilityTSTC[[#This Row],[Institution Name]],InputResearch[Other Non-Sci. St. C&amp;G])</f>
        <v>0</v>
      </c>
      <c r="G32" s="270">
        <f>SUM(AccountabilityTSTC[[#This Row],[State 
Appropriation]],AccountabilityTSTC[[#This Row],[State 
Contracts/Grants]])</f>
        <v>0</v>
      </c>
      <c r="H32" s="85">
        <f>SUMIF(InputResearch[Institution Name],AccountabilityTSTC[[#This Row],[Institution Name]],InputResearch[Agricultural Sci. Inst Res])
+SUMIF(InputResearch[Institution Name],AccountabilityTSTC[[#This Row],[Institution Name]],InputResearch[Biological &amp; Other Life Sci. Inst Res])
+SUMIF(InputResearch[Institution Name],AccountabilityTSTC[[#This Row],[Institution Name]],InputResearch[Comp. Sci. Inst Res])
+SUMIF(InputResearch[Institution Name],AccountabilityTSTC[[#This Row],[Institution Name]],InputResearch[Engineering Inst Res])
+SUMIF(InputResearch[Institution Name],AccountabilityTSTC[[#This Row],[Institution Name]],InputResearch[Env Sci. Inst Res])
+SUMIF(InputResearch[Institution Name],AccountabilityTSTC[[#This Row],[Institution Name]],InputResearch[Math Inst Res])
+SUMIF(InputResearch[Institution Name],AccountabilityTSTC[[#This Row],[Institution Name]],InputResearch[Medical Inst Res])
+SUMIF(InputResearch[Institution Name],AccountabilityTSTC[[#This Row],[Institution Name]],InputResearch[Physical Sci. Inst Res])
+SUMIF(InputResearch[Institution Name],AccountabilityTSTC[[#This Row],[Institution Name]],InputResearch[Psychology Inst Res])
+SUMIF(InputResearch[Institution Name],AccountabilityTSTC[[#This Row],[Institution Name]],InputResearch[Social Sci. Inst Res])
+SUMIF(InputResearch[Institution Name],AccountabilityTSTC[[#This Row],[Institution Name]],InputResearch[Other Sci. Inst Res])
+SUMIF(InputResearch[Institution Name],AccountabilityTSTC[[#This Row],[Institution Name]],InputResearch[Arts &amp; Humanities Inst Res])
+SUMIF(InputResearch[Institution Name],AccountabilityTSTC[[#This Row],[Institution Name]],InputResearch[Business Inst Res])
+SUMIF(InputResearch[Institution Name],AccountabilityTSTC[[#This Row],[Institution Name]],InputResearch[Education Inst Res])
+SUMIF(InputResearch[Institution Name],AccountabilityTSTC[[#This Row],[Institution Name]],InputResearch[Law Inst Res])
+SUMIF(InputResearch[Institution Name],AccountabilityTSTC[[#This Row],[Institution Name]],InputResearch[Other Non-Sci. Inst Res])</f>
        <v>0</v>
      </c>
      <c r="I32" s="85">
        <f>SUMIF(InputResearch[Institution Name],AccountabilityTSTC[[#This Row],[Institution Name]],InputResearch[Agricultural Sci. PFP])
+SUMIF(InputResearch[Institution Name],AccountabilityTSTC[[#This Row],[Institution Name]],InputResearch[Biological &amp; Other Life Sci. PFP])
+SUMIF(InputResearch[Institution Name],AccountabilityTSTC[[#This Row],[Institution Name]],InputResearch[Comp. Sci. PFP])
+SUMIF(InputResearch[Institution Name],AccountabilityTSTC[[#This Row],[Institution Name]],InputResearch[Engineering PFP])
+SUMIF(InputResearch[Institution Name],AccountabilityTSTC[[#This Row],[Institution Name]],InputResearch[Env Sci. PFP])
+SUMIF(InputResearch[Institution Name],AccountabilityTSTC[[#This Row],[Institution Name]],InputResearch[Math PFP])
+SUMIF(InputResearch[Institution Name],AccountabilityTSTC[[#This Row],[Institution Name]],InputResearch[Medical PFP])
+SUMIF(InputResearch[Institution Name],AccountabilityTSTC[[#This Row],[Institution Name]],InputResearch[Physical Sci. PFP])
+SUMIF(InputResearch[Institution Name],AccountabilityTSTC[[#This Row],[Institution Name]],InputResearch[Psychology PFP])
+SUMIF(InputResearch[Institution Name],AccountabilityTSTC[[#This Row],[Institution Name]],InputResearch[Social Sci. PFP])
+SUMIF(InputResearch[Institution Name],AccountabilityTSTC[[#This Row],[Institution Name]],InputResearch[Other Sci. PFP])
+SUMIF(InputResearch[Institution Name],AccountabilityTSTC[[#This Row],[Institution Name]],InputResearch[Arts &amp; Humanities PFP])
+SUMIF(InputResearch[Institution Name],AccountabilityTSTC[[#This Row],[Institution Name]],InputResearch[Business PFP])
+SUMIF(InputResearch[Institution Name],AccountabilityTSTC[[#This Row],[Institution Name]],InputResearch[Education PFP])
+SUMIF(InputResearch[Institution Name],AccountabilityTSTC[[#This Row],[Institution Name]],InputResearch[Law PFP])
+SUMIF(InputResearch[Institution Name],AccountabilityTSTC[[#This Row],[Institution Name]],InputResearch[Other Non-Sci. PFP])</f>
        <v>0</v>
      </c>
      <c r="J32" s="85">
        <f>SUMIF(InputResearch[Institution Name],AccountabilityTSTC[[#This Row],[Institution Name]],InputResearch[Agricultural Sci. PNP])
+SUMIF(InputResearch[Institution Name],AccountabilityTSTC[[#This Row],[Institution Name]],InputResearch[Biological &amp; Other Life Sci. PNP])
+SUMIF(InputResearch[Institution Name],AccountabilityTSTC[[#This Row],[Institution Name]],InputResearch[Comp. Sci. PNP])
+SUMIF(InputResearch[Institution Name],AccountabilityTSTC[[#This Row],[Institution Name]],InputResearch[Engineering PNP])
+SUMIF(InputResearch[Institution Name],AccountabilityTSTC[[#This Row],[Institution Name]],InputResearch[Env Sci. PNP])
+SUMIF(InputResearch[Institution Name],AccountabilityTSTC[[#This Row],[Institution Name]],InputResearch[Math PNP])
+SUMIF(InputResearch[Institution Name],AccountabilityTSTC[[#This Row],[Institution Name]],InputResearch[Medical PNP])
+SUMIF(InputResearch[Institution Name],AccountabilityTSTC[[#This Row],[Institution Name]],InputResearch[Physical Sci. PNP])
+SUMIF(InputResearch[Institution Name],AccountabilityTSTC[[#This Row],[Institution Name]],InputResearch[Psychology PNP])
+SUMIF(InputResearch[Institution Name],AccountabilityTSTC[[#This Row],[Institution Name]],InputResearch[Social Sci. PNP])
+SUMIF(InputResearch[Institution Name],AccountabilityTSTC[[#This Row],[Institution Name]],InputResearch[Other Sci. PNP])
+SUMIF(InputResearch[Institution Name],AccountabilityTSTC[[#This Row],[Institution Name]],InputResearch[Arts &amp; Humanities PNP])
+SUMIF(InputResearch[Institution Name],AccountabilityTSTC[[#This Row],[Institution Name]],InputResearch[Business PNP])
+SUMIF(InputResearch[Institution Name],AccountabilityTSTC[[#This Row],[Institution Name]],InputResearch[Education PNP])
+SUMIF(InputResearch[Institution Name],AccountabilityTSTC[[#This Row],[Institution Name]],InputResearch[Law PNP])
+SUMIF(InputResearch[Institution Name],AccountabilityTSTC[[#This Row],[Institution Name]],InputResearch[Other Non-Sci. PNP])</f>
        <v>0</v>
      </c>
      <c r="K32" s="270">
        <f>SUM(AccountabilityTSTC[[#This Row],[Private 
For Profit]],AccountabilityTSTC[[#This Row],[Private 
Nonprofit]])</f>
        <v>0</v>
      </c>
      <c r="L32" s="270">
        <f>SUM(AccountabilityTSTC[[#This Row],[Federal]],AccountabilityTSTC[[#This Row],[State]],AccountabilityTSTC[[#This Row],[Institutional 
Resources]],AccountabilityTSTC[[#This Row],[Private]])</f>
        <v>0</v>
      </c>
      <c r="M32" s="88"/>
      <c r="N32" s="88"/>
      <c r="O32" s="88"/>
    </row>
    <row r="33" spans="1:15">
      <c r="A33" s="79" t="s">
        <v>69</v>
      </c>
      <c r="B33" s="80">
        <f>VLOOKUP(AccountabilityTSTC[[#This Row],[Institution Name]],InputResearch[],3,FALSE)</f>
        <v>550</v>
      </c>
      <c r="C33" s="84">
        <v>3634</v>
      </c>
      <c r="D33" s="85">
        <f>SUMIF(InputResearch[Institution Name],AccountabilityTSTC[[#This Row],[Institution Name]],InputResearch[Agricultural Sci. Fed])
+SUMIF(InputResearch[Institution Name],AccountabilityTSTC[[#This Row],[Institution Name]],InputResearch[Biological &amp; Other Life Sci. Fed])
+SUMIF(InputResearch[Institution Name],AccountabilityTSTC[[#This Row],[Institution Name]],InputResearch[Comp. Sci. Fed])
+SUMIF(InputResearch[Institution Name],AccountabilityTSTC[[#This Row],[Institution Name]],InputResearch[Engineering Fed])
+SUMIF(InputResearch[Institution Name],AccountabilityTSTC[[#This Row],[Institution Name]],InputResearch[Env Sci. Fed])
+SUMIF(InputResearch[Institution Name],AccountabilityTSTC[[#This Row],[Institution Name]],InputResearch[Math Fed])
+SUMIF(InputResearch[Institution Name],AccountabilityTSTC[[#This Row],[Institution Name]],InputResearch[Medical Fed])
+SUMIF(InputResearch[Institution Name],AccountabilityTSTC[[#This Row],[Institution Name]],InputResearch[Physical Sci. Fed])
+SUMIF(InputResearch[Institution Name],AccountabilityTSTC[[#This Row],[Institution Name]],InputResearch[Psychology Fed])
+SUMIF(InputResearch[Institution Name],AccountabilityTSTC[[#This Row],[Institution Name]],InputResearch[Social Sci. Fed])
+SUMIF(InputResearch[Institution Name],AccountabilityTSTC[[#This Row],[Institution Name]],InputResearch[Other Sci. Fed])
+SUMIF(InputResearch[Institution Name],AccountabilityTSTC[[#This Row],[Institution Name]],InputResearch[Arts &amp; Humanities Fed])
+SUMIF(InputResearch[Institution Name],AccountabilityTSTC[[#This Row],[Institution Name]],InputResearch[Business Fed])
+SUMIF(InputResearch[Institution Name],AccountabilityTSTC[[#This Row],[Institution Name]],InputResearch[Education Fed])
+SUMIF(InputResearch[Institution Name],AccountabilityTSTC[[#This Row],[Institution Name]],InputResearch[Law Fed])
+SUMIF(InputResearch[Institution Name],AccountabilityTSTC[[#This Row],[Institution Name]],InputResearch[Other Non-Sci. Fed])</f>
        <v>0</v>
      </c>
      <c r="E33" s="85">
        <f>SUMIF(InputResearch[Institution Name],AccountabilityTSTC[[#This Row],[Institution Name]],InputResearch[Agricultural Sci. St. Approp.])
+SUMIF(InputResearch[Institution Name],AccountabilityTSTC[[#This Row],[Institution Name]],InputResearch[Biological &amp; Other Life Sci. St. Approp.])
+SUMIF(InputResearch[Institution Name],AccountabilityTSTC[[#This Row],[Institution Name]],InputResearch[Comp. Sci. St. Approp.])
+SUMIF(InputResearch[Institution Name],AccountabilityTSTC[[#This Row],[Institution Name]],InputResearch[Engineering St. Approp.])
+SUMIF(InputResearch[Institution Name],AccountabilityTSTC[[#This Row],[Institution Name]],InputResearch[Env Sci. St. Approp.])
+SUMIF(InputResearch[Institution Name],AccountabilityTSTC[[#This Row],[Institution Name]],InputResearch[Math St. Approp.])
+SUMIF(InputResearch[Institution Name],AccountabilityTSTC[[#This Row],[Institution Name]],InputResearch[Medical St. Approp.])
+SUMIF(InputResearch[Institution Name],AccountabilityTSTC[[#This Row],[Institution Name]],InputResearch[Physical Sci. St. Approp.])
+SUMIF(InputResearch[Institution Name],AccountabilityTSTC[[#This Row],[Institution Name]],InputResearch[Psychology St. Approp.])
+SUMIF(InputResearch[Institution Name],AccountabilityTSTC[[#This Row],[Institution Name]],InputResearch[Social Sci. St. Approp.])
+SUMIF(InputResearch[Institution Name],AccountabilityTSTC[[#This Row],[Institution Name]],InputResearch[Other Sci. St. Approp.])
+SUMIF(InputResearch[Institution Name],AccountabilityTSTC[[#This Row],[Institution Name]],InputResearch[Arts &amp; Humanities St. Approp.])
+SUMIF(InputResearch[Institution Name],AccountabilityTSTC[[#This Row],[Institution Name]],InputResearch[Business St. Approp.])
+SUMIF(InputResearch[Institution Name],AccountabilityTSTC[[#This Row],[Institution Name]],InputResearch[Education St. Approp.])
+SUMIF(InputResearch[Institution Name],AccountabilityTSTC[[#This Row],[Institution Name]],InputResearch[Law St. Approp.])
+SUMIF(InputResearch[Institution Name],AccountabilityTSTC[[#This Row],[Institution Name]],InputResearch[Other Non-Sci. St. Approp.])</f>
        <v>0</v>
      </c>
      <c r="F33" s="85">
        <f>SUMIF(InputResearch[Institution Name],AccountabilityTSTC[[#This Row],[Institution Name]],InputResearch[Agricultural Sci. St. C&amp;G])
+SUMIF(InputResearch[Institution Name],AccountabilityTSTC[[#This Row],[Institution Name]],InputResearch[Biological &amp; Other Life Sci. St. C&amp;G])
+SUMIF(InputResearch[Institution Name],AccountabilityTSTC[[#This Row],[Institution Name]],InputResearch[Comp. Sci. St. C&amp;G])
+SUMIF(InputResearch[Institution Name],AccountabilityTSTC[[#This Row],[Institution Name]],InputResearch[Engineering St. C&amp;G])
+SUMIF(InputResearch[Institution Name],AccountabilityTSTC[[#This Row],[Institution Name]],InputResearch[Env Sci. St. C&amp;G])
+SUMIF(InputResearch[Institution Name],AccountabilityTSTC[[#This Row],[Institution Name]],InputResearch[Math St. C&amp;G])
+SUMIF(InputResearch[Institution Name],AccountabilityTSTC[[#This Row],[Institution Name]],InputResearch[Medical St. C&amp;G])
+SUMIF(InputResearch[Institution Name],AccountabilityTSTC[[#This Row],[Institution Name]],InputResearch[Physical Sci. St. C&amp;G])
+SUMIF(InputResearch[Institution Name],AccountabilityTSTC[[#This Row],[Institution Name]],InputResearch[Psychology St. C&amp;G])
+SUMIF(InputResearch[Institution Name],AccountabilityTSTC[[#This Row],[Institution Name]],InputResearch[Social Sci. St. C&amp;G])
+SUMIF(InputResearch[Institution Name],AccountabilityTSTC[[#This Row],[Institution Name]],InputResearch[Other Sci. St. C&amp;G])
+SUMIF(InputResearch[Institution Name],AccountabilityTSTC[[#This Row],[Institution Name]],InputResearch[Arts &amp; Humanities St. C&amp;G])
+SUMIF(InputResearch[Institution Name],AccountabilityTSTC[[#This Row],[Institution Name]],InputResearch[Business St. C&amp;G])
+SUMIF(InputResearch[Institution Name],AccountabilityTSTC[[#This Row],[Institution Name]],InputResearch[Education St. C&amp;G])
+SUMIF(InputResearch[Institution Name],AccountabilityTSTC[[#This Row],[Institution Name]],InputResearch[Law St. C&amp;G])
+SUMIF(InputResearch[Institution Name],AccountabilityTSTC[[#This Row],[Institution Name]],InputResearch[Other Non-Sci. St. C&amp;G])</f>
        <v>0</v>
      </c>
      <c r="G33" s="270">
        <f>SUM(AccountabilityTSTC[[#This Row],[State 
Appropriation]],AccountabilityTSTC[[#This Row],[State 
Contracts/Grants]])</f>
        <v>0</v>
      </c>
      <c r="H33" s="85">
        <f>SUMIF(InputResearch[Institution Name],AccountabilityTSTC[[#This Row],[Institution Name]],InputResearch[Agricultural Sci. Inst Res])
+SUMIF(InputResearch[Institution Name],AccountabilityTSTC[[#This Row],[Institution Name]],InputResearch[Biological &amp; Other Life Sci. Inst Res])
+SUMIF(InputResearch[Institution Name],AccountabilityTSTC[[#This Row],[Institution Name]],InputResearch[Comp. Sci. Inst Res])
+SUMIF(InputResearch[Institution Name],AccountabilityTSTC[[#This Row],[Institution Name]],InputResearch[Engineering Inst Res])
+SUMIF(InputResearch[Institution Name],AccountabilityTSTC[[#This Row],[Institution Name]],InputResearch[Env Sci. Inst Res])
+SUMIF(InputResearch[Institution Name],AccountabilityTSTC[[#This Row],[Institution Name]],InputResearch[Math Inst Res])
+SUMIF(InputResearch[Institution Name],AccountabilityTSTC[[#This Row],[Institution Name]],InputResearch[Medical Inst Res])
+SUMIF(InputResearch[Institution Name],AccountabilityTSTC[[#This Row],[Institution Name]],InputResearch[Physical Sci. Inst Res])
+SUMIF(InputResearch[Institution Name],AccountabilityTSTC[[#This Row],[Institution Name]],InputResearch[Psychology Inst Res])
+SUMIF(InputResearch[Institution Name],AccountabilityTSTC[[#This Row],[Institution Name]],InputResearch[Social Sci. Inst Res])
+SUMIF(InputResearch[Institution Name],AccountabilityTSTC[[#This Row],[Institution Name]],InputResearch[Other Sci. Inst Res])
+SUMIF(InputResearch[Institution Name],AccountabilityTSTC[[#This Row],[Institution Name]],InputResearch[Arts &amp; Humanities Inst Res])
+SUMIF(InputResearch[Institution Name],AccountabilityTSTC[[#This Row],[Institution Name]],InputResearch[Business Inst Res])
+SUMIF(InputResearch[Institution Name],AccountabilityTSTC[[#This Row],[Institution Name]],InputResearch[Education Inst Res])
+SUMIF(InputResearch[Institution Name],AccountabilityTSTC[[#This Row],[Institution Name]],InputResearch[Law Inst Res])
+SUMIF(InputResearch[Institution Name],AccountabilityTSTC[[#This Row],[Institution Name]],InputResearch[Other Non-Sci. Inst Res])</f>
        <v>0</v>
      </c>
      <c r="I33" s="85">
        <f>SUMIF(InputResearch[Institution Name],AccountabilityTSTC[[#This Row],[Institution Name]],InputResearch[Agricultural Sci. PFP])
+SUMIF(InputResearch[Institution Name],AccountabilityTSTC[[#This Row],[Institution Name]],InputResearch[Biological &amp; Other Life Sci. PFP])
+SUMIF(InputResearch[Institution Name],AccountabilityTSTC[[#This Row],[Institution Name]],InputResearch[Comp. Sci. PFP])
+SUMIF(InputResearch[Institution Name],AccountabilityTSTC[[#This Row],[Institution Name]],InputResearch[Engineering PFP])
+SUMIF(InputResearch[Institution Name],AccountabilityTSTC[[#This Row],[Institution Name]],InputResearch[Env Sci. PFP])
+SUMIF(InputResearch[Institution Name],AccountabilityTSTC[[#This Row],[Institution Name]],InputResearch[Math PFP])
+SUMIF(InputResearch[Institution Name],AccountabilityTSTC[[#This Row],[Institution Name]],InputResearch[Medical PFP])
+SUMIF(InputResearch[Institution Name],AccountabilityTSTC[[#This Row],[Institution Name]],InputResearch[Physical Sci. PFP])
+SUMIF(InputResearch[Institution Name],AccountabilityTSTC[[#This Row],[Institution Name]],InputResearch[Psychology PFP])
+SUMIF(InputResearch[Institution Name],AccountabilityTSTC[[#This Row],[Institution Name]],InputResearch[Social Sci. PFP])
+SUMIF(InputResearch[Institution Name],AccountabilityTSTC[[#This Row],[Institution Name]],InputResearch[Other Sci. PFP])
+SUMIF(InputResearch[Institution Name],AccountabilityTSTC[[#This Row],[Institution Name]],InputResearch[Arts &amp; Humanities PFP])
+SUMIF(InputResearch[Institution Name],AccountabilityTSTC[[#This Row],[Institution Name]],InputResearch[Business PFP])
+SUMIF(InputResearch[Institution Name],AccountabilityTSTC[[#This Row],[Institution Name]],InputResearch[Education PFP])
+SUMIF(InputResearch[Institution Name],AccountabilityTSTC[[#This Row],[Institution Name]],InputResearch[Law PFP])
+SUMIF(InputResearch[Institution Name],AccountabilityTSTC[[#This Row],[Institution Name]],InputResearch[Other Non-Sci. PFP])</f>
        <v>0</v>
      </c>
      <c r="J33" s="85">
        <f>SUMIF(InputResearch[Institution Name],AccountabilityTSTC[[#This Row],[Institution Name]],InputResearch[Agricultural Sci. PNP])
+SUMIF(InputResearch[Institution Name],AccountabilityTSTC[[#This Row],[Institution Name]],InputResearch[Biological &amp; Other Life Sci. PNP])
+SUMIF(InputResearch[Institution Name],AccountabilityTSTC[[#This Row],[Institution Name]],InputResearch[Comp. Sci. PNP])
+SUMIF(InputResearch[Institution Name],AccountabilityTSTC[[#This Row],[Institution Name]],InputResearch[Engineering PNP])
+SUMIF(InputResearch[Institution Name],AccountabilityTSTC[[#This Row],[Institution Name]],InputResearch[Env Sci. PNP])
+SUMIF(InputResearch[Institution Name],AccountabilityTSTC[[#This Row],[Institution Name]],InputResearch[Math PNP])
+SUMIF(InputResearch[Institution Name],AccountabilityTSTC[[#This Row],[Institution Name]],InputResearch[Medical PNP])
+SUMIF(InputResearch[Institution Name],AccountabilityTSTC[[#This Row],[Institution Name]],InputResearch[Physical Sci. PNP])
+SUMIF(InputResearch[Institution Name],AccountabilityTSTC[[#This Row],[Institution Name]],InputResearch[Psychology PNP])
+SUMIF(InputResearch[Institution Name],AccountabilityTSTC[[#This Row],[Institution Name]],InputResearch[Social Sci. PNP])
+SUMIF(InputResearch[Institution Name],AccountabilityTSTC[[#This Row],[Institution Name]],InputResearch[Other Sci. PNP])
+SUMIF(InputResearch[Institution Name],AccountabilityTSTC[[#This Row],[Institution Name]],InputResearch[Arts &amp; Humanities PNP])
+SUMIF(InputResearch[Institution Name],AccountabilityTSTC[[#This Row],[Institution Name]],InputResearch[Business PNP])
+SUMIF(InputResearch[Institution Name],AccountabilityTSTC[[#This Row],[Institution Name]],InputResearch[Education PNP])
+SUMIF(InputResearch[Institution Name],AccountabilityTSTC[[#This Row],[Institution Name]],InputResearch[Law PNP])
+SUMIF(InputResearch[Institution Name],AccountabilityTSTC[[#This Row],[Institution Name]],InputResearch[Other Non-Sci. PNP])</f>
        <v>0</v>
      </c>
      <c r="K33" s="270">
        <f>SUM(AccountabilityTSTC[[#This Row],[Private 
For Profit]],AccountabilityTSTC[[#This Row],[Private 
Nonprofit]])</f>
        <v>0</v>
      </c>
      <c r="L33" s="270">
        <f>SUM(AccountabilityTSTC[[#This Row],[Federal]],AccountabilityTSTC[[#This Row],[State]],AccountabilityTSTC[[#This Row],[Institutional 
Resources]],AccountabilityTSTC[[#This Row],[Private]])</f>
        <v>0</v>
      </c>
      <c r="M33" s="88"/>
      <c r="N33" s="88"/>
      <c r="O33" s="88"/>
    </row>
    <row r="34" spans="1:15">
      <c r="A34" s="79" t="s">
        <v>70</v>
      </c>
      <c r="B34" s="80">
        <f>VLOOKUP(AccountabilityTSTC[[#This Row],[Institution Name]],InputResearch[],3,FALSE)</f>
        <v>552</v>
      </c>
      <c r="C34" s="84">
        <v>133965</v>
      </c>
      <c r="D34" s="85">
        <f>SUMIF(InputResearch[Institution Name],AccountabilityTSTC[[#This Row],[Institution Name]],InputResearch[Agricultural Sci. Fed])
+SUMIF(InputResearch[Institution Name],AccountabilityTSTC[[#This Row],[Institution Name]],InputResearch[Biological &amp; Other Life Sci. Fed])
+SUMIF(InputResearch[Institution Name],AccountabilityTSTC[[#This Row],[Institution Name]],InputResearch[Comp. Sci. Fed])
+SUMIF(InputResearch[Institution Name],AccountabilityTSTC[[#This Row],[Institution Name]],InputResearch[Engineering Fed])
+SUMIF(InputResearch[Institution Name],AccountabilityTSTC[[#This Row],[Institution Name]],InputResearch[Env Sci. Fed])
+SUMIF(InputResearch[Institution Name],AccountabilityTSTC[[#This Row],[Institution Name]],InputResearch[Math Fed])
+SUMIF(InputResearch[Institution Name],AccountabilityTSTC[[#This Row],[Institution Name]],InputResearch[Medical Fed])
+SUMIF(InputResearch[Institution Name],AccountabilityTSTC[[#This Row],[Institution Name]],InputResearch[Physical Sci. Fed])
+SUMIF(InputResearch[Institution Name],AccountabilityTSTC[[#This Row],[Institution Name]],InputResearch[Psychology Fed])
+SUMIF(InputResearch[Institution Name],AccountabilityTSTC[[#This Row],[Institution Name]],InputResearch[Social Sci. Fed])
+SUMIF(InputResearch[Institution Name],AccountabilityTSTC[[#This Row],[Institution Name]],InputResearch[Other Sci. Fed])
+SUMIF(InputResearch[Institution Name],AccountabilityTSTC[[#This Row],[Institution Name]],InputResearch[Arts &amp; Humanities Fed])
+SUMIF(InputResearch[Institution Name],AccountabilityTSTC[[#This Row],[Institution Name]],InputResearch[Business Fed])
+SUMIF(InputResearch[Institution Name],AccountabilityTSTC[[#This Row],[Institution Name]],InputResearch[Education Fed])
+SUMIF(InputResearch[Institution Name],AccountabilityTSTC[[#This Row],[Institution Name]],InputResearch[Law Fed])
+SUMIF(InputResearch[Institution Name],AccountabilityTSTC[[#This Row],[Institution Name]],InputResearch[Other Non-Sci. Fed])</f>
        <v>0</v>
      </c>
      <c r="E34" s="85">
        <f>SUMIF(InputResearch[Institution Name],AccountabilityTSTC[[#This Row],[Institution Name]],InputResearch[Agricultural Sci. St. Approp.])
+SUMIF(InputResearch[Institution Name],AccountabilityTSTC[[#This Row],[Institution Name]],InputResearch[Biological &amp; Other Life Sci. St. Approp.])
+SUMIF(InputResearch[Institution Name],AccountabilityTSTC[[#This Row],[Institution Name]],InputResearch[Comp. Sci. St. Approp.])
+SUMIF(InputResearch[Institution Name],AccountabilityTSTC[[#This Row],[Institution Name]],InputResearch[Engineering St. Approp.])
+SUMIF(InputResearch[Institution Name],AccountabilityTSTC[[#This Row],[Institution Name]],InputResearch[Env Sci. St. Approp.])
+SUMIF(InputResearch[Institution Name],AccountabilityTSTC[[#This Row],[Institution Name]],InputResearch[Math St. Approp.])
+SUMIF(InputResearch[Institution Name],AccountabilityTSTC[[#This Row],[Institution Name]],InputResearch[Medical St. Approp.])
+SUMIF(InputResearch[Institution Name],AccountabilityTSTC[[#This Row],[Institution Name]],InputResearch[Physical Sci. St. Approp.])
+SUMIF(InputResearch[Institution Name],AccountabilityTSTC[[#This Row],[Institution Name]],InputResearch[Psychology St. Approp.])
+SUMIF(InputResearch[Institution Name],AccountabilityTSTC[[#This Row],[Institution Name]],InputResearch[Social Sci. St. Approp.])
+SUMIF(InputResearch[Institution Name],AccountabilityTSTC[[#This Row],[Institution Name]],InputResearch[Other Sci. St. Approp.])
+SUMIF(InputResearch[Institution Name],AccountabilityTSTC[[#This Row],[Institution Name]],InputResearch[Arts &amp; Humanities St. Approp.])
+SUMIF(InputResearch[Institution Name],AccountabilityTSTC[[#This Row],[Institution Name]],InputResearch[Business St. Approp.])
+SUMIF(InputResearch[Institution Name],AccountabilityTSTC[[#This Row],[Institution Name]],InputResearch[Education St. Approp.])
+SUMIF(InputResearch[Institution Name],AccountabilityTSTC[[#This Row],[Institution Name]],InputResearch[Law St. Approp.])
+SUMIF(InputResearch[Institution Name],AccountabilityTSTC[[#This Row],[Institution Name]],InputResearch[Other Non-Sci. St. Approp.])</f>
        <v>0</v>
      </c>
      <c r="F34" s="85">
        <f>SUMIF(InputResearch[Institution Name],AccountabilityTSTC[[#This Row],[Institution Name]],InputResearch[Agricultural Sci. St. C&amp;G])
+SUMIF(InputResearch[Institution Name],AccountabilityTSTC[[#This Row],[Institution Name]],InputResearch[Biological &amp; Other Life Sci. St. C&amp;G])
+SUMIF(InputResearch[Institution Name],AccountabilityTSTC[[#This Row],[Institution Name]],InputResearch[Comp. Sci. St. C&amp;G])
+SUMIF(InputResearch[Institution Name],AccountabilityTSTC[[#This Row],[Institution Name]],InputResearch[Engineering St. C&amp;G])
+SUMIF(InputResearch[Institution Name],AccountabilityTSTC[[#This Row],[Institution Name]],InputResearch[Env Sci. St. C&amp;G])
+SUMIF(InputResearch[Institution Name],AccountabilityTSTC[[#This Row],[Institution Name]],InputResearch[Math St. C&amp;G])
+SUMIF(InputResearch[Institution Name],AccountabilityTSTC[[#This Row],[Institution Name]],InputResearch[Medical St. C&amp;G])
+SUMIF(InputResearch[Institution Name],AccountabilityTSTC[[#This Row],[Institution Name]],InputResearch[Physical Sci. St. C&amp;G])
+SUMIF(InputResearch[Institution Name],AccountabilityTSTC[[#This Row],[Institution Name]],InputResearch[Psychology St. C&amp;G])
+SUMIF(InputResearch[Institution Name],AccountabilityTSTC[[#This Row],[Institution Name]],InputResearch[Social Sci. St. C&amp;G])
+SUMIF(InputResearch[Institution Name],AccountabilityTSTC[[#This Row],[Institution Name]],InputResearch[Other Sci. St. C&amp;G])
+SUMIF(InputResearch[Institution Name],AccountabilityTSTC[[#This Row],[Institution Name]],InputResearch[Arts &amp; Humanities St. C&amp;G])
+SUMIF(InputResearch[Institution Name],AccountabilityTSTC[[#This Row],[Institution Name]],InputResearch[Business St. C&amp;G])
+SUMIF(InputResearch[Institution Name],AccountabilityTSTC[[#This Row],[Institution Name]],InputResearch[Education St. C&amp;G])
+SUMIF(InputResearch[Institution Name],AccountabilityTSTC[[#This Row],[Institution Name]],InputResearch[Law St. C&amp;G])
+SUMIF(InputResearch[Institution Name],AccountabilityTSTC[[#This Row],[Institution Name]],InputResearch[Other Non-Sci. St. C&amp;G])</f>
        <v>0</v>
      </c>
      <c r="G34" s="270">
        <f>SUM(AccountabilityTSTC[[#This Row],[State 
Appropriation]],AccountabilityTSTC[[#This Row],[State 
Contracts/Grants]])</f>
        <v>0</v>
      </c>
      <c r="H34" s="85">
        <f>SUMIF(InputResearch[Institution Name],AccountabilityTSTC[[#This Row],[Institution Name]],InputResearch[Agricultural Sci. Inst Res])
+SUMIF(InputResearch[Institution Name],AccountabilityTSTC[[#This Row],[Institution Name]],InputResearch[Biological &amp; Other Life Sci. Inst Res])
+SUMIF(InputResearch[Institution Name],AccountabilityTSTC[[#This Row],[Institution Name]],InputResearch[Comp. Sci. Inst Res])
+SUMIF(InputResearch[Institution Name],AccountabilityTSTC[[#This Row],[Institution Name]],InputResearch[Engineering Inst Res])
+SUMIF(InputResearch[Institution Name],AccountabilityTSTC[[#This Row],[Institution Name]],InputResearch[Env Sci. Inst Res])
+SUMIF(InputResearch[Institution Name],AccountabilityTSTC[[#This Row],[Institution Name]],InputResearch[Math Inst Res])
+SUMIF(InputResearch[Institution Name],AccountabilityTSTC[[#This Row],[Institution Name]],InputResearch[Medical Inst Res])
+SUMIF(InputResearch[Institution Name],AccountabilityTSTC[[#This Row],[Institution Name]],InputResearch[Physical Sci. Inst Res])
+SUMIF(InputResearch[Institution Name],AccountabilityTSTC[[#This Row],[Institution Name]],InputResearch[Psychology Inst Res])
+SUMIF(InputResearch[Institution Name],AccountabilityTSTC[[#This Row],[Institution Name]],InputResearch[Social Sci. Inst Res])
+SUMIF(InputResearch[Institution Name],AccountabilityTSTC[[#This Row],[Institution Name]],InputResearch[Other Sci. Inst Res])
+SUMIF(InputResearch[Institution Name],AccountabilityTSTC[[#This Row],[Institution Name]],InputResearch[Arts &amp; Humanities Inst Res])
+SUMIF(InputResearch[Institution Name],AccountabilityTSTC[[#This Row],[Institution Name]],InputResearch[Business Inst Res])
+SUMIF(InputResearch[Institution Name],AccountabilityTSTC[[#This Row],[Institution Name]],InputResearch[Education Inst Res])
+SUMIF(InputResearch[Institution Name],AccountabilityTSTC[[#This Row],[Institution Name]],InputResearch[Law Inst Res])
+SUMIF(InputResearch[Institution Name],AccountabilityTSTC[[#This Row],[Institution Name]],InputResearch[Other Non-Sci. Inst Res])</f>
        <v>0</v>
      </c>
      <c r="I34" s="85">
        <f>SUMIF(InputResearch[Institution Name],AccountabilityTSTC[[#This Row],[Institution Name]],InputResearch[Agricultural Sci. PFP])
+SUMIF(InputResearch[Institution Name],AccountabilityTSTC[[#This Row],[Institution Name]],InputResearch[Biological &amp; Other Life Sci. PFP])
+SUMIF(InputResearch[Institution Name],AccountabilityTSTC[[#This Row],[Institution Name]],InputResearch[Comp. Sci. PFP])
+SUMIF(InputResearch[Institution Name],AccountabilityTSTC[[#This Row],[Institution Name]],InputResearch[Engineering PFP])
+SUMIF(InputResearch[Institution Name],AccountabilityTSTC[[#This Row],[Institution Name]],InputResearch[Env Sci. PFP])
+SUMIF(InputResearch[Institution Name],AccountabilityTSTC[[#This Row],[Institution Name]],InputResearch[Math PFP])
+SUMIF(InputResearch[Institution Name],AccountabilityTSTC[[#This Row],[Institution Name]],InputResearch[Medical PFP])
+SUMIF(InputResearch[Institution Name],AccountabilityTSTC[[#This Row],[Institution Name]],InputResearch[Physical Sci. PFP])
+SUMIF(InputResearch[Institution Name],AccountabilityTSTC[[#This Row],[Institution Name]],InputResearch[Psychology PFP])
+SUMIF(InputResearch[Institution Name],AccountabilityTSTC[[#This Row],[Institution Name]],InputResearch[Social Sci. PFP])
+SUMIF(InputResearch[Institution Name],AccountabilityTSTC[[#This Row],[Institution Name]],InputResearch[Other Sci. PFP])
+SUMIF(InputResearch[Institution Name],AccountabilityTSTC[[#This Row],[Institution Name]],InputResearch[Arts &amp; Humanities PFP])
+SUMIF(InputResearch[Institution Name],AccountabilityTSTC[[#This Row],[Institution Name]],InputResearch[Business PFP])
+SUMIF(InputResearch[Institution Name],AccountabilityTSTC[[#This Row],[Institution Name]],InputResearch[Education PFP])
+SUMIF(InputResearch[Institution Name],AccountabilityTSTC[[#This Row],[Institution Name]],InputResearch[Law PFP])
+SUMIF(InputResearch[Institution Name],AccountabilityTSTC[[#This Row],[Institution Name]],InputResearch[Other Non-Sci. PFP])</f>
        <v>0</v>
      </c>
      <c r="J34" s="85">
        <f>SUMIF(InputResearch[Institution Name],AccountabilityTSTC[[#This Row],[Institution Name]],InputResearch[Agricultural Sci. PNP])
+SUMIF(InputResearch[Institution Name],AccountabilityTSTC[[#This Row],[Institution Name]],InputResearch[Biological &amp; Other Life Sci. PNP])
+SUMIF(InputResearch[Institution Name],AccountabilityTSTC[[#This Row],[Institution Name]],InputResearch[Comp. Sci. PNP])
+SUMIF(InputResearch[Institution Name],AccountabilityTSTC[[#This Row],[Institution Name]],InputResearch[Engineering PNP])
+SUMIF(InputResearch[Institution Name],AccountabilityTSTC[[#This Row],[Institution Name]],InputResearch[Env Sci. PNP])
+SUMIF(InputResearch[Institution Name],AccountabilityTSTC[[#This Row],[Institution Name]],InputResearch[Math PNP])
+SUMIF(InputResearch[Institution Name],AccountabilityTSTC[[#This Row],[Institution Name]],InputResearch[Medical PNP])
+SUMIF(InputResearch[Institution Name],AccountabilityTSTC[[#This Row],[Institution Name]],InputResearch[Physical Sci. PNP])
+SUMIF(InputResearch[Institution Name],AccountabilityTSTC[[#This Row],[Institution Name]],InputResearch[Psychology PNP])
+SUMIF(InputResearch[Institution Name],AccountabilityTSTC[[#This Row],[Institution Name]],InputResearch[Social Sci. PNP])
+SUMIF(InputResearch[Institution Name],AccountabilityTSTC[[#This Row],[Institution Name]],InputResearch[Other Sci. PNP])
+SUMIF(InputResearch[Institution Name],AccountabilityTSTC[[#This Row],[Institution Name]],InputResearch[Arts &amp; Humanities PNP])
+SUMIF(InputResearch[Institution Name],AccountabilityTSTC[[#This Row],[Institution Name]],InputResearch[Business PNP])
+SUMIF(InputResearch[Institution Name],AccountabilityTSTC[[#This Row],[Institution Name]],InputResearch[Education PNP])
+SUMIF(InputResearch[Institution Name],AccountabilityTSTC[[#This Row],[Institution Name]],InputResearch[Law PNP])
+SUMIF(InputResearch[Institution Name],AccountabilityTSTC[[#This Row],[Institution Name]],InputResearch[Other Non-Sci. PNP])</f>
        <v>0</v>
      </c>
      <c r="K34" s="270">
        <f>SUM(AccountabilityTSTC[[#This Row],[Private 
For Profit]],AccountabilityTSTC[[#This Row],[Private 
Nonprofit]])</f>
        <v>0</v>
      </c>
      <c r="L34" s="270">
        <f>SUM(AccountabilityTSTC[[#This Row],[Federal]],AccountabilityTSTC[[#This Row],[State]],AccountabilityTSTC[[#This Row],[Institutional 
Resources]],AccountabilityTSTC[[#This Row],[Private]])</f>
        <v>0</v>
      </c>
      <c r="M34" s="88"/>
      <c r="N34" s="88"/>
      <c r="O34" s="88"/>
    </row>
    <row r="35" spans="1:15">
      <c r="A35" s="79" t="s">
        <v>71</v>
      </c>
      <c r="B35" s="80">
        <f>VLOOKUP(AccountabilityTSTC[[#This Row],[Institution Name]],InputResearch[],3,FALSE)</f>
        <v>553</v>
      </c>
      <c r="C35" s="84">
        <v>203634</v>
      </c>
      <c r="D35" s="85">
        <f>SUMIF(InputResearch[Institution Name],AccountabilityTSTC[[#This Row],[Institution Name]],InputResearch[Agricultural Sci. Fed])
+SUMIF(InputResearch[Institution Name],AccountabilityTSTC[[#This Row],[Institution Name]],InputResearch[Biological &amp; Other Life Sci. Fed])
+SUMIF(InputResearch[Institution Name],AccountabilityTSTC[[#This Row],[Institution Name]],InputResearch[Comp. Sci. Fed])
+SUMIF(InputResearch[Institution Name],AccountabilityTSTC[[#This Row],[Institution Name]],InputResearch[Engineering Fed])
+SUMIF(InputResearch[Institution Name],AccountabilityTSTC[[#This Row],[Institution Name]],InputResearch[Env Sci. Fed])
+SUMIF(InputResearch[Institution Name],AccountabilityTSTC[[#This Row],[Institution Name]],InputResearch[Math Fed])
+SUMIF(InputResearch[Institution Name],AccountabilityTSTC[[#This Row],[Institution Name]],InputResearch[Medical Fed])
+SUMIF(InputResearch[Institution Name],AccountabilityTSTC[[#This Row],[Institution Name]],InputResearch[Physical Sci. Fed])
+SUMIF(InputResearch[Institution Name],AccountabilityTSTC[[#This Row],[Institution Name]],InputResearch[Psychology Fed])
+SUMIF(InputResearch[Institution Name],AccountabilityTSTC[[#This Row],[Institution Name]],InputResearch[Social Sci. Fed])
+SUMIF(InputResearch[Institution Name],AccountabilityTSTC[[#This Row],[Institution Name]],InputResearch[Other Sci. Fed])
+SUMIF(InputResearch[Institution Name],AccountabilityTSTC[[#This Row],[Institution Name]],InputResearch[Arts &amp; Humanities Fed])
+SUMIF(InputResearch[Institution Name],AccountabilityTSTC[[#This Row],[Institution Name]],InputResearch[Business Fed])
+SUMIF(InputResearch[Institution Name],AccountabilityTSTC[[#This Row],[Institution Name]],InputResearch[Education Fed])
+SUMIF(InputResearch[Institution Name],AccountabilityTSTC[[#This Row],[Institution Name]],InputResearch[Law Fed])
+SUMIF(InputResearch[Institution Name],AccountabilityTSTC[[#This Row],[Institution Name]],InputResearch[Other Non-Sci. Fed])</f>
        <v>0</v>
      </c>
      <c r="E35" s="85">
        <f>SUMIF(InputResearch[Institution Name],AccountabilityTSTC[[#This Row],[Institution Name]],InputResearch[Agricultural Sci. St. Approp.])
+SUMIF(InputResearch[Institution Name],AccountabilityTSTC[[#This Row],[Institution Name]],InputResearch[Biological &amp; Other Life Sci. St. Approp.])
+SUMIF(InputResearch[Institution Name],AccountabilityTSTC[[#This Row],[Institution Name]],InputResearch[Comp. Sci. St. Approp.])
+SUMIF(InputResearch[Institution Name],AccountabilityTSTC[[#This Row],[Institution Name]],InputResearch[Engineering St. Approp.])
+SUMIF(InputResearch[Institution Name],AccountabilityTSTC[[#This Row],[Institution Name]],InputResearch[Env Sci. St. Approp.])
+SUMIF(InputResearch[Institution Name],AccountabilityTSTC[[#This Row],[Institution Name]],InputResearch[Math St. Approp.])
+SUMIF(InputResearch[Institution Name],AccountabilityTSTC[[#This Row],[Institution Name]],InputResearch[Medical St. Approp.])
+SUMIF(InputResearch[Institution Name],AccountabilityTSTC[[#This Row],[Institution Name]],InputResearch[Physical Sci. St. Approp.])
+SUMIF(InputResearch[Institution Name],AccountabilityTSTC[[#This Row],[Institution Name]],InputResearch[Psychology St. Approp.])
+SUMIF(InputResearch[Institution Name],AccountabilityTSTC[[#This Row],[Institution Name]],InputResearch[Social Sci. St. Approp.])
+SUMIF(InputResearch[Institution Name],AccountabilityTSTC[[#This Row],[Institution Name]],InputResearch[Other Sci. St. Approp.])
+SUMIF(InputResearch[Institution Name],AccountabilityTSTC[[#This Row],[Institution Name]],InputResearch[Arts &amp; Humanities St. Approp.])
+SUMIF(InputResearch[Institution Name],AccountabilityTSTC[[#This Row],[Institution Name]],InputResearch[Business St. Approp.])
+SUMIF(InputResearch[Institution Name],AccountabilityTSTC[[#This Row],[Institution Name]],InputResearch[Education St. Approp.])
+SUMIF(InputResearch[Institution Name],AccountabilityTSTC[[#This Row],[Institution Name]],InputResearch[Law St. Approp.])
+SUMIF(InputResearch[Institution Name],AccountabilityTSTC[[#This Row],[Institution Name]],InputResearch[Other Non-Sci. St. Approp.])</f>
        <v>0</v>
      </c>
      <c r="F35" s="85">
        <f>SUMIF(InputResearch[Institution Name],AccountabilityTSTC[[#This Row],[Institution Name]],InputResearch[Agricultural Sci. St. C&amp;G])
+SUMIF(InputResearch[Institution Name],AccountabilityTSTC[[#This Row],[Institution Name]],InputResearch[Biological &amp; Other Life Sci. St. C&amp;G])
+SUMIF(InputResearch[Institution Name],AccountabilityTSTC[[#This Row],[Institution Name]],InputResearch[Comp. Sci. St. C&amp;G])
+SUMIF(InputResearch[Institution Name],AccountabilityTSTC[[#This Row],[Institution Name]],InputResearch[Engineering St. C&amp;G])
+SUMIF(InputResearch[Institution Name],AccountabilityTSTC[[#This Row],[Institution Name]],InputResearch[Env Sci. St. C&amp;G])
+SUMIF(InputResearch[Institution Name],AccountabilityTSTC[[#This Row],[Institution Name]],InputResearch[Math St. C&amp;G])
+SUMIF(InputResearch[Institution Name],AccountabilityTSTC[[#This Row],[Institution Name]],InputResearch[Medical St. C&amp;G])
+SUMIF(InputResearch[Institution Name],AccountabilityTSTC[[#This Row],[Institution Name]],InputResearch[Physical Sci. St. C&amp;G])
+SUMIF(InputResearch[Institution Name],AccountabilityTSTC[[#This Row],[Institution Name]],InputResearch[Psychology St. C&amp;G])
+SUMIF(InputResearch[Institution Name],AccountabilityTSTC[[#This Row],[Institution Name]],InputResearch[Social Sci. St. C&amp;G])
+SUMIF(InputResearch[Institution Name],AccountabilityTSTC[[#This Row],[Institution Name]],InputResearch[Other Sci. St. C&amp;G])
+SUMIF(InputResearch[Institution Name],AccountabilityTSTC[[#This Row],[Institution Name]],InputResearch[Arts &amp; Humanities St. C&amp;G])
+SUMIF(InputResearch[Institution Name],AccountabilityTSTC[[#This Row],[Institution Name]],InputResearch[Business St. C&amp;G])
+SUMIF(InputResearch[Institution Name],AccountabilityTSTC[[#This Row],[Institution Name]],InputResearch[Education St. C&amp;G])
+SUMIF(InputResearch[Institution Name],AccountabilityTSTC[[#This Row],[Institution Name]],InputResearch[Law St. C&amp;G])
+SUMIF(InputResearch[Institution Name],AccountabilityTSTC[[#This Row],[Institution Name]],InputResearch[Other Non-Sci. St. C&amp;G])</f>
        <v>0</v>
      </c>
      <c r="G35" s="270">
        <f>SUM(AccountabilityTSTC[[#This Row],[State 
Appropriation]],AccountabilityTSTC[[#This Row],[State 
Contracts/Grants]])</f>
        <v>0</v>
      </c>
      <c r="H35" s="85">
        <f>SUMIF(InputResearch[Institution Name],AccountabilityTSTC[[#This Row],[Institution Name]],InputResearch[Agricultural Sci. Inst Res])
+SUMIF(InputResearch[Institution Name],AccountabilityTSTC[[#This Row],[Institution Name]],InputResearch[Biological &amp; Other Life Sci. Inst Res])
+SUMIF(InputResearch[Institution Name],AccountabilityTSTC[[#This Row],[Institution Name]],InputResearch[Comp. Sci. Inst Res])
+SUMIF(InputResearch[Institution Name],AccountabilityTSTC[[#This Row],[Institution Name]],InputResearch[Engineering Inst Res])
+SUMIF(InputResearch[Institution Name],AccountabilityTSTC[[#This Row],[Institution Name]],InputResearch[Env Sci. Inst Res])
+SUMIF(InputResearch[Institution Name],AccountabilityTSTC[[#This Row],[Institution Name]],InputResearch[Math Inst Res])
+SUMIF(InputResearch[Institution Name],AccountabilityTSTC[[#This Row],[Institution Name]],InputResearch[Medical Inst Res])
+SUMIF(InputResearch[Institution Name],AccountabilityTSTC[[#This Row],[Institution Name]],InputResearch[Physical Sci. Inst Res])
+SUMIF(InputResearch[Institution Name],AccountabilityTSTC[[#This Row],[Institution Name]],InputResearch[Psychology Inst Res])
+SUMIF(InputResearch[Institution Name],AccountabilityTSTC[[#This Row],[Institution Name]],InputResearch[Social Sci. Inst Res])
+SUMIF(InputResearch[Institution Name],AccountabilityTSTC[[#This Row],[Institution Name]],InputResearch[Other Sci. Inst Res])
+SUMIF(InputResearch[Institution Name],AccountabilityTSTC[[#This Row],[Institution Name]],InputResearch[Arts &amp; Humanities Inst Res])
+SUMIF(InputResearch[Institution Name],AccountabilityTSTC[[#This Row],[Institution Name]],InputResearch[Business Inst Res])
+SUMIF(InputResearch[Institution Name],AccountabilityTSTC[[#This Row],[Institution Name]],InputResearch[Education Inst Res])
+SUMIF(InputResearch[Institution Name],AccountabilityTSTC[[#This Row],[Institution Name]],InputResearch[Law Inst Res])
+SUMIF(InputResearch[Institution Name],AccountabilityTSTC[[#This Row],[Institution Name]],InputResearch[Other Non-Sci. Inst Res])</f>
        <v>0</v>
      </c>
      <c r="I35" s="85">
        <f>SUMIF(InputResearch[Institution Name],AccountabilityTSTC[[#This Row],[Institution Name]],InputResearch[Agricultural Sci. PFP])
+SUMIF(InputResearch[Institution Name],AccountabilityTSTC[[#This Row],[Institution Name]],InputResearch[Biological &amp; Other Life Sci. PFP])
+SUMIF(InputResearch[Institution Name],AccountabilityTSTC[[#This Row],[Institution Name]],InputResearch[Comp. Sci. PFP])
+SUMIF(InputResearch[Institution Name],AccountabilityTSTC[[#This Row],[Institution Name]],InputResearch[Engineering PFP])
+SUMIF(InputResearch[Institution Name],AccountabilityTSTC[[#This Row],[Institution Name]],InputResearch[Env Sci. PFP])
+SUMIF(InputResearch[Institution Name],AccountabilityTSTC[[#This Row],[Institution Name]],InputResearch[Math PFP])
+SUMIF(InputResearch[Institution Name],AccountabilityTSTC[[#This Row],[Institution Name]],InputResearch[Medical PFP])
+SUMIF(InputResearch[Institution Name],AccountabilityTSTC[[#This Row],[Institution Name]],InputResearch[Physical Sci. PFP])
+SUMIF(InputResearch[Institution Name],AccountabilityTSTC[[#This Row],[Institution Name]],InputResearch[Psychology PFP])
+SUMIF(InputResearch[Institution Name],AccountabilityTSTC[[#This Row],[Institution Name]],InputResearch[Social Sci. PFP])
+SUMIF(InputResearch[Institution Name],AccountabilityTSTC[[#This Row],[Institution Name]],InputResearch[Other Sci. PFP])
+SUMIF(InputResearch[Institution Name],AccountabilityTSTC[[#This Row],[Institution Name]],InputResearch[Arts &amp; Humanities PFP])
+SUMIF(InputResearch[Institution Name],AccountabilityTSTC[[#This Row],[Institution Name]],InputResearch[Business PFP])
+SUMIF(InputResearch[Institution Name],AccountabilityTSTC[[#This Row],[Institution Name]],InputResearch[Education PFP])
+SUMIF(InputResearch[Institution Name],AccountabilityTSTC[[#This Row],[Institution Name]],InputResearch[Law PFP])
+SUMIF(InputResearch[Institution Name],AccountabilityTSTC[[#This Row],[Institution Name]],InputResearch[Other Non-Sci. PFP])</f>
        <v>0</v>
      </c>
      <c r="J35" s="85">
        <f>SUMIF(InputResearch[Institution Name],AccountabilityTSTC[[#This Row],[Institution Name]],InputResearch[Agricultural Sci. PNP])
+SUMIF(InputResearch[Institution Name],AccountabilityTSTC[[#This Row],[Institution Name]],InputResearch[Biological &amp; Other Life Sci. PNP])
+SUMIF(InputResearch[Institution Name],AccountabilityTSTC[[#This Row],[Institution Name]],InputResearch[Comp. Sci. PNP])
+SUMIF(InputResearch[Institution Name],AccountabilityTSTC[[#This Row],[Institution Name]],InputResearch[Engineering PNP])
+SUMIF(InputResearch[Institution Name],AccountabilityTSTC[[#This Row],[Institution Name]],InputResearch[Env Sci. PNP])
+SUMIF(InputResearch[Institution Name],AccountabilityTSTC[[#This Row],[Institution Name]],InputResearch[Math PNP])
+SUMIF(InputResearch[Institution Name],AccountabilityTSTC[[#This Row],[Institution Name]],InputResearch[Medical PNP])
+SUMIF(InputResearch[Institution Name],AccountabilityTSTC[[#This Row],[Institution Name]],InputResearch[Physical Sci. PNP])
+SUMIF(InputResearch[Institution Name],AccountabilityTSTC[[#This Row],[Institution Name]],InputResearch[Psychology PNP])
+SUMIF(InputResearch[Institution Name],AccountabilityTSTC[[#This Row],[Institution Name]],InputResearch[Social Sci. PNP])
+SUMIF(InputResearch[Institution Name],AccountabilityTSTC[[#This Row],[Institution Name]],InputResearch[Other Sci. PNP])
+SUMIF(InputResearch[Institution Name],AccountabilityTSTC[[#This Row],[Institution Name]],InputResearch[Arts &amp; Humanities PNP])
+SUMIF(InputResearch[Institution Name],AccountabilityTSTC[[#This Row],[Institution Name]],InputResearch[Business PNP])
+SUMIF(InputResearch[Institution Name],AccountabilityTSTC[[#This Row],[Institution Name]],InputResearch[Education PNP])
+SUMIF(InputResearch[Institution Name],AccountabilityTSTC[[#This Row],[Institution Name]],InputResearch[Law PNP])
+SUMIF(InputResearch[Institution Name],AccountabilityTSTC[[#This Row],[Institution Name]],InputResearch[Other Non-Sci. PNP])</f>
        <v>0</v>
      </c>
      <c r="K35" s="270">
        <f>SUM(AccountabilityTSTC[[#This Row],[Private 
For Profit]],AccountabilityTSTC[[#This Row],[Private 
Nonprofit]])</f>
        <v>0</v>
      </c>
      <c r="L35" s="270">
        <f>SUM(AccountabilityTSTC[[#This Row],[Federal]],AccountabilityTSTC[[#This Row],[State]],AccountabilityTSTC[[#This Row],[Institutional 
Resources]],AccountabilityTSTC[[#This Row],[Private]])</f>
        <v>0</v>
      </c>
      <c r="M35" s="88"/>
      <c r="N35" s="88"/>
      <c r="O35" s="88"/>
    </row>
    <row r="36" spans="1:15">
      <c r="A36" s="87"/>
      <c r="B36" s="212"/>
      <c r="C36" s="84"/>
      <c r="D36" s="270">
        <f>SUBTOTAL(109,AccountabilityTSTC[Federal])</f>
        <v>0</v>
      </c>
      <c r="E36" s="270">
        <f>SUBTOTAL(109,AccountabilityTSTC[State 
Appropriation])</f>
        <v>0</v>
      </c>
      <c r="F36" s="270">
        <f>SUBTOTAL(109,AccountabilityTSTC[State 
Contracts/Grants])</f>
        <v>95852</v>
      </c>
      <c r="G36" s="270">
        <f>SUBTOTAL(109,AccountabilityTSTC[State])</f>
        <v>95852</v>
      </c>
      <c r="H36" s="270">
        <f>SUBTOTAL(109,AccountabilityTSTC[Institutional 
Resources])</f>
        <v>0</v>
      </c>
      <c r="I36" s="270">
        <f>SUBTOTAL(109,AccountabilityTSTC[Private 
For Profit])</f>
        <v>0</v>
      </c>
      <c r="J36" s="270">
        <f>SUBTOTAL(109,AccountabilityTSTC[Private 
Nonprofit])</f>
        <v>0</v>
      </c>
      <c r="K36" s="270">
        <f>SUBTOTAL(109,AccountabilityTSTC[Private])</f>
        <v>0</v>
      </c>
      <c r="L36" s="270">
        <f>SUBTOTAL(109,AccountabilityTSTC[Total Research 
Expenditures])</f>
        <v>95852</v>
      </c>
      <c r="M36" s="88"/>
      <c r="N36" s="88"/>
      <c r="O36" s="88"/>
    </row>
    <row r="37" spans="1:15" ht="15.6">
      <c r="A37" s="482" t="s">
        <v>975</v>
      </c>
      <c r="B37" s="482"/>
      <c r="C37" s="482"/>
      <c r="D37" s="482"/>
      <c r="E37" s="482"/>
      <c r="F37" s="482"/>
      <c r="G37" s="482"/>
      <c r="H37" s="482"/>
      <c r="I37" s="482"/>
      <c r="J37" s="482"/>
      <c r="K37" s="482"/>
      <c r="L37" s="482"/>
      <c r="M37" s="345"/>
      <c r="N37" s="88"/>
      <c r="O37" s="88"/>
    </row>
    <row r="38" spans="1:15">
      <c r="A38" s="88"/>
      <c r="B38" s="89"/>
      <c r="C38" s="88"/>
      <c r="D38" s="88"/>
      <c r="E38" s="88"/>
      <c r="F38" s="88"/>
      <c r="G38" s="88"/>
      <c r="H38" s="88"/>
      <c r="I38" s="88"/>
      <c r="J38" s="88"/>
      <c r="K38" s="88"/>
      <c r="L38" s="88"/>
      <c r="M38" s="88"/>
      <c r="N38" s="88"/>
      <c r="O38" s="88"/>
    </row>
    <row r="39" spans="1:15" ht="33" customHeight="1">
      <c r="A39" s="439" t="s">
        <v>0</v>
      </c>
      <c r="B39" s="440"/>
      <c r="C39" s="440"/>
      <c r="D39" s="440"/>
      <c r="E39" s="440"/>
      <c r="F39" s="440"/>
      <c r="G39" s="440"/>
      <c r="H39" s="440"/>
      <c r="I39" s="440"/>
      <c r="J39" s="440"/>
      <c r="K39" s="440"/>
      <c r="L39" s="440"/>
      <c r="M39" s="440"/>
      <c r="N39" s="440"/>
      <c r="O39" s="88"/>
    </row>
    <row r="40" spans="1:15" ht="17.399999999999999">
      <c r="A40" s="438">
        <f>Hidden!$A$4</f>
        <v>45412</v>
      </c>
      <c r="B40" s="438"/>
      <c r="C40" s="438"/>
      <c r="D40" s="438"/>
      <c r="E40" s="438"/>
      <c r="F40" s="438"/>
      <c r="G40" s="438"/>
      <c r="H40" s="438"/>
      <c r="I40" s="438"/>
      <c r="J40" s="438"/>
      <c r="K40" s="438"/>
      <c r="L40" s="438"/>
      <c r="M40" s="438"/>
      <c r="N40" s="438"/>
      <c r="O40" s="88"/>
    </row>
    <row r="41" spans="1:15">
      <c r="A41" s="88"/>
      <c r="B41" s="89"/>
      <c r="C41" s="88"/>
      <c r="D41" s="88"/>
      <c r="E41" s="88"/>
      <c r="F41" s="88"/>
      <c r="G41" s="88"/>
      <c r="H41" s="88"/>
      <c r="I41" s="88"/>
      <c r="J41" s="88"/>
      <c r="K41" s="88"/>
      <c r="L41" s="88"/>
      <c r="M41" s="88"/>
      <c r="N41" s="88"/>
      <c r="O41" s="88"/>
    </row>
    <row r="42" spans="1:15" s="83" customFormat="1" ht="47.4">
      <c r="A42" s="81" t="s">
        <v>1</v>
      </c>
      <c r="B42" s="82" t="s">
        <v>889</v>
      </c>
      <c r="C42" s="82" t="s">
        <v>2</v>
      </c>
      <c r="D42" s="82" t="s">
        <v>100</v>
      </c>
      <c r="E42" s="82" t="s">
        <v>669</v>
      </c>
      <c r="F42" s="82" t="s">
        <v>670</v>
      </c>
      <c r="G42" s="82" t="s">
        <v>671</v>
      </c>
      <c r="H42" s="82" t="s">
        <v>672</v>
      </c>
      <c r="I42" s="82" t="s">
        <v>673</v>
      </c>
      <c r="J42" s="82" t="s">
        <v>674</v>
      </c>
      <c r="K42" s="269" t="s">
        <v>675</v>
      </c>
      <c r="L42" s="269" t="s">
        <v>847</v>
      </c>
      <c r="M42" s="340" t="s">
        <v>676</v>
      </c>
      <c r="N42" s="335" t="s">
        <v>974</v>
      </c>
      <c r="O42" s="90"/>
    </row>
    <row r="43" spans="1:15">
      <c r="A43" s="79" t="s">
        <v>20</v>
      </c>
      <c r="B43" s="80">
        <f>VLOOKUP(AccountabilityGAI[[#This Row],[Institution Name]],InputResearch[],3,FALSE)</f>
        <v>40</v>
      </c>
      <c r="C43" s="84">
        <v>3656</v>
      </c>
      <c r="D43"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52479937</v>
      </c>
      <c r="E43"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21799198</v>
      </c>
      <c r="F43"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6451100</v>
      </c>
      <c r="G43" s="270">
        <f>SUM(AccountabilityGAI[[#This Row],[State 
Appropriation]],AccountabilityGAI[[#This Row],[State 
Contracts/Grants]])</f>
        <v>28250298</v>
      </c>
      <c r="H43"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42026181</v>
      </c>
      <c r="I43"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8430726</v>
      </c>
      <c r="J43"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2983410</v>
      </c>
      <c r="K43" s="270">
        <f>SUM(AccountabilityGAI[[#This Row],[Private 
For Profit]],AccountabilityGAI[[#This Row],[Private 
Nonprofit]])</f>
        <v>11414136</v>
      </c>
      <c r="L43" s="270">
        <f>SUM(AccountabilityGAI[[#This Row],[Federal]],AccountabilityGAI[[#This Row],[State]],AccountabilityGAI[[#This Row],[Institutional 
Resources]],AccountabilityGAI[[#This Row],[Private]])</f>
        <v>134170552</v>
      </c>
      <c r="M43" s="341">
        <f>SUMIFS(InputResearch[RR],InputResearch[Institution Name],AccountabilityGAI[[#This Row],[Institution Name]])</f>
        <v>53121396</v>
      </c>
      <c r="N43" s="270">
        <f>IFERROR(ROUND(AccountabilityGAI[[#This Row],[Total Research 
Expenditures]]/VLOOKUP(AccountabilityGAI[[#This Row],[FICE]],FTSEUNIV[[FICE]:[T/TT Fall
Faculty FTE³]],9,FALSE),2),"N/A")</f>
        <v>60546.28</v>
      </c>
      <c r="O43" s="88"/>
    </row>
    <row r="44" spans="1:15">
      <c r="A44" s="79" t="s">
        <v>714</v>
      </c>
      <c r="B44" s="80">
        <f>VLOOKUP(AccountabilityGAI[[#This Row],[Institution Name]],InputResearch[],3,FALSE)</f>
        <v>51</v>
      </c>
      <c r="C44" s="84">
        <v>3658</v>
      </c>
      <c r="D44"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631147114</v>
      </c>
      <c r="E44"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22021235</v>
      </c>
      <c r="F44"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37833733</v>
      </c>
      <c r="G44" s="270">
        <f>SUM(AccountabilityGAI[[#This Row],[State 
Appropriation]],AccountabilityGAI[[#This Row],[State 
Contracts/Grants]])</f>
        <v>59854968</v>
      </c>
      <c r="H44"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87268195</v>
      </c>
      <c r="I44"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88303308</v>
      </c>
      <c r="J44"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43065021</v>
      </c>
      <c r="K44" s="270">
        <f>SUM(AccountabilityGAI[[#This Row],[Private 
For Profit]],AccountabilityGAI[[#This Row],[Private 
Nonprofit]])</f>
        <v>131368329</v>
      </c>
      <c r="L44" s="270">
        <f>SUM(AccountabilityGAI[[#This Row],[Federal]],AccountabilityGAI[[#This Row],[State]],AccountabilityGAI[[#This Row],[Institutional 
Resources]],AccountabilityGAI[[#This Row],[Private]])</f>
        <v>909638606</v>
      </c>
      <c r="M44" s="341">
        <f>SUMIFS(InputResearch[RR],InputResearch[Institution Name],AccountabilityGAI[[#This Row],[Institution Name]])</f>
        <v>644811454</v>
      </c>
      <c r="N44" s="270">
        <f>IFERROR(ROUND(AccountabilityGAI[[#This Row],[Total Research 
Expenditures]]/VLOOKUP(AccountabilityGAI[[#This Row],[FICE]],FTSEUNIV[[FICE]:[T/TT Fall
Faculty FTE³]],9,FALSE),2),"N/A")</f>
        <v>79555.59</v>
      </c>
      <c r="O44" s="88"/>
    </row>
    <row r="45" spans="1:15">
      <c r="A45" s="79" t="s">
        <v>21</v>
      </c>
      <c r="B45" s="80">
        <f>VLOOKUP(AccountabilityGAI[[#This Row],[Institution Name]],InputResearch[],3,FALSE)</f>
        <v>60</v>
      </c>
      <c r="C45" s="84">
        <v>9741</v>
      </c>
      <c r="D45"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64581240</v>
      </c>
      <c r="E45"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10956948</v>
      </c>
      <c r="F45"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1938901</v>
      </c>
      <c r="G45" s="270">
        <f>SUM(AccountabilityGAI[[#This Row],[State 
Appropriation]],AccountabilityGAI[[#This Row],[State 
Contracts/Grants]])</f>
        <v>12895849</v>
      </c>
      <c r="H45"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38168612</v>
      </c>
      <c r="I45"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12518444</v>
      </c>
      <c r="J45"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16879734</v>
      </c>
      <c r="K45" s="270">
        <f>SUM(AccountabilityGAI[[#This Row],[Private 
For Profit]],AccountabilityGAI[[#This Row],[Private 
Nonprofit]])</f>
        <v>29398178</v>
      </c>
      <c r="L45" s="270">
        <f>SUM(AccountabilityGAI[[#This Row],[Federal]],AccountabilityGAI[[#This Row],[State]],AccountabilityGAI[[#This Row],[Institutional 
Resources]],AccountabilityGAI[[#This Row],[Private]])</f>
        <v>145043879</v>
      </c>
      <c r="M45" s="341">
        <f>SUMIFS(InputResearch[RR],InputResearch[Institution Name],AccountabilityGAI[[#This Row],[Institution Name]])</f>
        <v>72313594</v>
      </c>
      <c r="N45" s="270">
        <f>IFERROR(ROUND(AccountabilityGAI[[#This Row],[Total Research 
Expenditures]]/VLOOKUP(AccountabilityGAI[[#This Row],[FICE]],FTSEUNIV[[FICE]:[T/TT Fall
Faculty FTE³]],9,FALSE),2),"N/A")</f>
        <v>71982.070000000007</v>
      </c>
      <c r="O45" s="88"/>
    </row>
    <row r="46" spans="1:15">
      <c r="A46" s="79" t="s">
        <v>22</v>
      </c>
      <c r="B46" s="80">
        <f>VLOOKUP(AccountabilityGAI[[#This Row],[Institution Name]],InputResearch[],3,FALSE)</f>
        <v>70</v>
      </c>
      <c r="C46" s="84">
        <v>3661</v>
      </c>
      <c r="D46"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70791319</v>
      </c>
      <c r="E46"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33271238</v>
      </c>
      <c r="F46"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5860538</v>
      </c>
      <c r="G46" s="270">
        <f>SUM(AccountabilityGAI[[#This Row],[State 
Appropriation]],AccountabilityGAI[[#This Row],[State 
Contracts/Grants]])</f>
        <v>39131776</v>
      </c>
      <c r="H46"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16645234</v>
      </c>
      <c r="I46"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1256959</v>
      </c>
      <c r="J46"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11792593</v>
      </c>
      <c r="K46" s="270">
        <f>SUM(AccountabilityGAI[[#This Row],[Private 
For Profit]],AccountabilityGAI[[#This Row],[Private 
Nonprofit]])</f>
        <v>13049552</v>
      </c>
      <c r="L46" s="270">
        <f>SUM(AccountabilityGAI[[#This Row],[Federal]],AccountabilityGAI[[#This Row],[State]],AccountabilityGAI[[#This Row],[Institutional 
Resources]],AccountabilityGAI[[#This Row],[Private]])</f>
        <v>139617881</v>
      </c>
      <c r="M46" s="341">
        <f>SUMIFS(InputResearch[RR],InputResearch[Institution Name],AccountabilityGAI[[#This Row],[Institution Name]])</f>
        <v>71960527</v>
      </c>
      <c r="N46" s="270">
        <f>IFERROR(ROUND(AccountabilityGAI[[#This Row],[Total Research 
Expenditures]]/VLOOKUP(AccountabilityGAI[[#This Row],[FICE]],FTSEUNIV[[FICE]:[T/TT Fall
Faculty FTE³]],9,FALSE),2),"N/A")</f>
        <v>58687.63</v>
      </c>
      <c r="O46" s="88"/>
    </row>
    <row r="47" spans="1:15">
      <c r="A47" s="79" t="s">
        <v>715</v>
      </c>
      <c r="B47" s="80">
        <f>VLOOKUP(AccountabilityGAI[[#This Row],[Institution Name]],InputResearch[],3,FALSE)</f>
        <v>91</v>
      </c>
      <c r="C47" s="84">
        <v>3599</v>
      </c>
      <c r="D47"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21436562</v>
      </c>
      <c r="E47"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2888924</v>
      </c>
      <c r="F47"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1389550</v>
      </c>
      <c r="G47" s="270">
        <f>SUM(AccountabilityGAI[[#This Row],[State 
Appropriation]],AccountabilityGAI[[#This Row],[State 
Contracts/Grants]])</f>
        <v>4278474</v>
      </c>
      <c r="H47"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33476258</v>
      </c>
      <c r="I47"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497702</v>
      </c>
      <c r="J47"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13415408</v>
      </c>
      <c r="K47" s="270">
        <f>SUM(AccountabilityGAI[[#This Row],[Private 
For Profit]],AccountabilityGAI[[#This Row],[Private 
Nonprofit]])</f>
        <v>13913110</v>
      </c>
      <c r="L47" s="270">
        <f>SUM(AccountabilityGAI[[#This Row],[Federal]],AccountabilityGAI[[#This Row],[State]],AccountabilityGAI[[#This Row],[Institutional 
Resources]],AccountabilityGAI[[#This Row],[Private]])</f>
        <v>73104404</v>
      </c>
      <c r="M47" s="341">
        <f>SUMIFS(InputResearch[RR],InputResearch[Institution Name],AccountabilityGAI[[#This Row],[Institution Name]])</f>
        <v>31440731</v>
      </c>
      <c r="N47" s="270">
        <f>IFERROR(ROUND(AccountabilityGAI[[#This Row],[Total Research 
Expenditures]]/VLOOKUP(AccountabilityGAI[[#This Row],[FICE]],FTSEUNIV[[FICE]:[T/TT Fall
Faculty FTE³]],9,FALSE),2),"N/A")</f>
        <v>30096.5</v>
      </c>
      <c r="O47" s="88"/>
    </row>
    <row r="48" spans="1:15">
      <c r="A48" s="79" t="s">
        <v>23</v>
      </c>
      <c r="B48" s="80">
        <f>VLOOKUP(AccountabilityGAI[[#This Row],[Institution Name]],InputResearch[],3,FALSE)</f>
        <v>100</v>
      </c>
      <c r="C48" s="84">
        <v>9930</v>
      </c>
      <c r="D48"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2015363</v>
      </c>
      <c r="E48"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345316</v>
      </c>
      <c r="F48"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172005</v>
      </c>
      <c r="G48" s="270">
        <f>SUM(AccountabilityGAI[[#This Row],[State 
Appropriation]],AccountabilityGAI[[#This Row],[State 
Contracts/Grants]])</f>
        <v>517321</v>
      </c>
      <c r="H48"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720094</v>
      </c>
      <c r="I48"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182727</v>
      </c>
      <c r="J48"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319624</v>
      </c>
      <c r="K48" s="270">
        <f>SUM(AccountabilityGAI[[#This Row],[Private 
For Profit]],AccountabilityGAI[[#This Row],[Private 
Nonprofit]])</f>
        <v>502351</v>
      </c>
      <c r="L48" s="270">
        <f>SUM(AccountabilityGAI[[#This Row],[Federal]],AccountabilityGAI[[#This Row],[State]],AccountabilityGAI[[#This Row],[Institutional 
Resources]],AccountabilityGAI[[#This Row],[Private]])</f>
        <v>3755129</v>
      </c>
      <c r="M48" s="341">
        <f>SUMIFS(InputResearch[RR],InputResearch[Institution Name],AccountabilityGAI[[#This Row],[Institution Name]])</f>
        <v>2283731</v>
      </c>
      <c r="N48" s="270">
        <f>IFERROR(ROUND(AccountabilityGAI[[#This Row],[Total Research 
Expenditures]]/VLOOKUP(AccountabilityGAI[[#This Row],[FICE]],FTSEUNIV[[FICE]:[T/TT Fall
Faculty FTE³]],9,FALSE),2),"N/A")</f>
        <v>9804.51</v>
      </c>
      <c r="O48" s="88"/>
    </row>
    <row r="49" spans="1:15">
      <c r="A49" s="79" t="s">
        <v>24</v>
      </c>
      <c r="B49" s="80">
        <f>VLOOKUP(AccountabilityGAI[[#This Row],[Institution Name]],InputResearch[],3,FALSE)</f>
        <v>110</v>
      </c>
      <c r="C49" s="84">
        <v>10115</v>
      </c>
      <c r="D49"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55448894</v>
      </c>
      <c r="E49"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56798224</v>
      </c>
      <c r="F49"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2547917</v>
      </c>
      <c r="G49" s="270">
        <f>SUM(AccountabilityGAI[[#This Row],[State 
Appropriation]],AccountabilityGAI[[#This Row],[State 
Contracts/Grants]])</f>
        <v>59346141</v>
      </c>
      <c r="H49"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23199641</v>
      </c>
      <c r="I49"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7513574</v>
      </c>
      <c r="J49"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4826133</v>
      </c>
      <c r="K49" s="270">
        <f>SUM(AccountabilityGAI[[#This Row],[Private 
For Profit]],AccountabilityGAI[[#This Row],[Private 
Nonprofit]])</f>
        <v>12339707</v>
      </c>
      <c r="L49" s="270">
        <f>SUM(AccountabilityGAI[[#This Row],[Federal]],AccountabilityGAI[[#This Row],[State]],AccountabilityGAI[[#This Row],[Institutional 
Resources]],AccountabilityGAI[[#This Row],[Private]])</f>
        <v>150334383</v>
      </c>
      <c r="M49" s="341">
        <f>SUMIFS(InputResearch[RR],InputResearch[Institution Name],AccountabilityGAI[[#This Row],[Institution Name]])</f>
        <v>56653277</v>
      </c>
      <c r="N49" s="270">
        <f>IFERROR(ROUND(AccountabilityGAI[[#This Row],[Total Research 
Expenditures]]/VLOOKUP(AccountabilityGAI[[#This Row],[FICE]],FTSEUNIV[[FICE]:[T/TT Fall
Faculty FTE³]],9,FALSE),2),"N/A")</f>
        <v>64355.47</v>
      </c>
      <c r="O49" s="88"/>
    </row>
    <row r="50" spans="1:15">
      <c r="A50" s="79" t="s">
        <v>25</v>
      </c>
      <c r="B50" s="80">
        <f>VLOOKUP(AccountabilityGAI[[#This Row],[Institution Name]],InputResearch[],3,FALSE)</f>
        <v>120</v>
      </c>
      <c r="C50" s="84">
        <v>11163</v>
      </c>
      <c r="D50"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1637602</v>
      </c>
      <c r="E50"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107239</v>
      </c>
      <c r="F50"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572177</v>
      </c>
      <c r="G50" s="270">
        <f>SUM(AccountabilityGAI[[#This Row],[State 
Appropriation]],AccountabilityGAI[[#This Row],[State 
Contracts/Grants]])</f>
        <v>679416</v>
      </c>
      <c r="H50"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1525509</v>
      </c>
      <c r="I50"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44182</v>
      </c>
      <c r="J50"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460047</v>
      </c>
      <c r="K50" s="270">
        <f>SUM(AccountabilityGAI[[#This Row],[Private 
For Profit]],AccountabilityGAI[[#This Row],[Private 
Nonprofit]])</f>
        <v>504229</v>
      </c>
      <c r="L50" s="270">
        <f>SUM(AccountabilityGAI[[#This Row],[Federal]],AccountabilityGAI[[#This Row],[State]],AccountabilityGAI[[#This Row],[Institutional 
Resources]],AccountabilityGAI[[#This Row],[Private]])</f>
        <v>4346756</v>
      </c>
      <c r="M50" s="341">
        <f>SUMIFS(InputResearch[RR],InputResearch[Institution Name],AccountabilityGAI[[#This Row],[Institution Name]])</f>
        <v>2337152</v>
      </c>
      <c r="N50" s="270">
        <f>IFERROR(ROUND(AccountabilityGAI[[#This Row],[Total Research 
Expenditures]]/VLOOKUP(AccountabilityGAI[[#This Row],[FICE]],FTSEUNIV[[FICE]:[T/TT Fall
Faculty FTE³]],9,FALSE),2),"N/A")</f>
        <v>5230.75</v>
      </c>
      <c r="O50" s="88"/>
    </row>
    <row r="51" spans="1:15">
      <c r="A51" s="79" t="s">
        <v>26</v>
      </c>
      <c r="B51" s="80">
        <f>VLOOKUP(AccountabilityGAI[[#This Row],[Institution Name]],InputResearch[],3,FALSE)</f>
        <v>350</v>
      </c>
      <c r="C51" s="84">
        <v>3624</v>
      </c>
      <c r="D51"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923360</v>
      </c>
      <c r="E51"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912856</v>
      </c>
      <c r="F51"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497897</v>
      </c>
      <c r="G51" s="270">
        <f>SUM(AccountabilityGAI[[#This Row],[State 
Appropriation]],AccountabilityGAI[[#This Row],[State 
Contracts/Grants]])</f>
        <v>1410753</v>
      </c>
      <c r="H51"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646261</v>
      </c>
      <c r="I51"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29718</v>
      </c>
      <c r="J51"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447322</v>
      </c>
      <c r="K51" s="270">
        <f>SUM(AccountabilityGAI[[#This Row],[Private 
For Profit]],AccountabilityGAI[[#This Row],[Private 
Nonprofit]])</f>
        <v>477040</v>
      </c>
      <c r="L51" s="270">
        <f>SUM(AccountabilityGAI[[#This Row],[Federal]],AccountabilityGAI[[#This Row],[State]],AccountabilityGAI[[#This Row],[Institutional 
Resources]],AccountabilityGAI[[#This Row],[Private]])</f>
        <v>3457414</v>
      </c>
      <c r="M51" s="341">
        <f>SUMIFS(InputResearch[RR],InputResearch[Institution Name],AccountabilityGAI[[#This Row],[Institution Name]])</f>
        <v>2110972</v>
      </c>
      <c r="N51" s="270">
        <f>IFERROR(ROUND(AccountabilityGAI[[#This Row],[Total Research 
Expenditures]]/VLOOKUP(AccountabilityGAI[[#This Row],[FICE]],FTSEUNIV[[FICE]:[T/TT Fall
Faculty FTE³]],9,FALSE),2),"N/A")</f>
        <v>1954.45</v>
      </c>
      <c r="O51" s="88"/>
    </row>
    <row r="52" spans="1:15">
      <c r="A52" s="79" t="s">
        <v>27</v>
      </c>
      <c r="B52" s="80">
        <f>VLOOKUP(AccountabilityGAI[[#This Row],[Institution Name]],InputResearch[],3,FALSE)</f>
        <v>130</v>
      </c>
      <c r="C52" s="84">
        <v>3632</v>
      </c>
      <c r="D52" s="85">
        <v>475928266</v>
      </c>
      <c r="E52" s="85">
        <v>141936222</v>
      </c>
      <c r="F52" s="85">
        <v>70850841</v>
      </c>
      <c r="G52" s="270">
        <v>212787063</v>
      </c>
      <c r="H52" s="85">
        <v>226702160</v>
      </c>
      <c r="I52" s="85">
        <v>40509847</v>
      </c>
      <c r="J52" s="85">
        <v>83664256</v>
      </c>
      <c r="K52" s="270">
        <v>124174103</v>
      </c>
      <c r="L52" s="270">
        <v>1039591592</v>
      </c>
      <c r="M52" s="341">
        <v>278099857</v>
      </c>
      <c r="N52" s="270">
        <f>IFERROR(ROUND(AccountabilityGAI[[#This Row],[Total Research 
Expenditures]]/VLOOKUP(AccountabilityGAI[[#This Row],[FICE]],FTSEUNIV[[FICE]:[T/TT Fall
Faculty FTE³]],9,FALSE),2),"N/A")</f>
        <v>183349.49</v>
      </c>
      <c r="O52" s="88"/>
    </row>
    <row r="53" spans="1:15">
      <c r="A53" s="79" t="s">
        <v>28</v>
      </c>
      <c r="B53" s="80">
        <f>VLOOKUP(AccountabilityGAI[[#This Row],[Institution Name]],InputResearch[],3,FALSE)</f>
        <v>140</v>
      </c>
      <c r="C53" s="84">
        <v>10298</v>
      </c>
      <c r="D53"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3047643</v>
      </c>
      <c r="E53"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1016840</v>
      </c>
      <c r="F53"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7393077</v>
      </c>
      <c r="G53" s="270">
        <f>SUM(AccountabilityGAI[[#This Row],[State 
Appropriation]],AccountabilityGAI[[#This Row],[State 
Contracts/Grants]])</f>
        <v>8409917</v>
      </c>
      <c r="H53"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2340496</v>
      </c>
      <c r="I53"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177088</v>
      </c>
      <c r="J53"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790578</v>
      </c>
      <c r="K53" s="270">
        <f>SUM(AccountabilityGAI[[#This Row],[Private 
For Profit]],AccountabilityGAI[[#This Row],[Private 
Nonprofit]])</f>
        <v>967666</v>
      </c>
      <c r="L53" s="270">
        <f>SUM(AccountabilityGAI[[#This Row],[Federal]],AccountabilityGAI[[#This Row],[State]],AccountabilityGAI[[#This Row],[Institutional 
Resources]],AccountabilityGAI[[#This Row],[Private]])</f>
        <v>14765722</v>
      </c>
      <c r="M53" s="341">
        <f>SUMIFS(InputResearch[RR],InputResearch[Institution Name],AccountabilityGAI[[#This Row],[Institution Name]])</f>
        <v>8873390</v>
      </c>
      <c r="N53" s="270">
        <f>IFERROR(ROUND(AccountabilityGAI[[#This Row],[Total Research 
Expenditures]]/VLOOKUP(AccountabilityGAI[[#This Row],[FICE]],FTSEUNIV[[FICE]:[T/TT Fall
Faculty FTE³]],9,FALSE),2),"N/A")</f>
        <v>98438.15</v>
      </c>
      <c r="O53" s="88"/>
    </row>
    <row r="54" spans="1:15">
      <c r="A54" s="79" t="s">
        <v>29</v>
      </c>
      <c r="B54" s="80">
        <f>VLOOKUP(AccountabilityGAI[[#This Row],[Institution Name]],InputResearch[],3,FALSE)</f>
        <v>150</v>
      </c>
      <c r="C54" s="84">
        <v>3630</v>
      </c>
      <c r="D54"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12354207</v>
      </c>
      <c r="E54"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4136829</v>
      </c>
      <c r="F54"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254460</v>
      </c>
      <c r="G54" s="270">
        <f>SUM(AccountabilityGAI[[#This Row],[State 
Appropriation]],AccountabilityGAI[[#This Row],[State 
Contracts/Grants]])</f>
        <v>4391289</v>
      </c>
      <c r="H54"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3549364</v>
      </c>
      <c r="I54"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490093</v>
      </c>
      <c r="J54"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1005894</v>
      </c>
      <c r="K54" s="270">
        <f>SUM(AccountabilityGAI[[#This Row],[Private 
For Profit]],AccountabilityGAI[[#This Row],[Private 
Nonprofit]])</f>
        <v>1495987</v>
      </c>
      <c r="L54" s="270">
        <f>SUM(AccountabilityGAI[[#This Row],[Federal]],AccountabilityGAI[[#This Row],[State]],AccountabilityGAI[[#This Row],[Institutional 
Resources]],AccountabilityGAI[[#This Row],[Private]])</f>
        <v>21790847</v>
      </c>
      <c r="M54" s="341">
        <f>SUMIFS(InputResearch[RR],InputResearch[Institution Name],AccountabilityGAI[[#This Row],[Institution Name]])</f>
        <v>12276971</v>
      </c>
      <c r="N54" s="270">
        <f>IFERROR(ROUND(AccountabilityGAI[[#This Row],[Total Research 
Expenditures]]/VLOOKUP(AccountabilityGAI[[#This Row],[FICE]],FTSEUNIV[[FICE]:[T/TT Fall
Faculty FTE³]],9,FALSE),2),"N/A")</f>
        <v>25338.19</v>
      </c>
      <c r="O54" s="88"/>
    </row>
    <row r="55" spans="1:15">
      <c r="A55" s="79" t="s">
        <v>30</v>
      </c>
      <c r="B55" s="80">
        <f>VLOOKUP(AccountabilityGAI[[#This Row],[Institution Name]],InputResearch[],3,FALSE)</f>
        <v>160</v>
      </c>
      <c r="C55" s="84">
        <v>3631</v>
      </c>
      <c r="D55"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4091546</v>
      </c>
      <c r="E55"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7657612</v>
      </c>
      <c r="F55"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3672222</v>
      </c>
      <c r="G55" s="270">
        <f>SUM(AccountabilityGAI[[#This Row],[State 
Appropriation]],AccountabilityGAI[[#This Row],[State 
Contracts/Grants]])</f>
        <v>11329834</v>
      </c>
      <c r="H55"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5708484</v>
      </c>
      <c r="I55"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206496</v>
      </c>
      <c r="J55"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409884</v>
      </c>
      <c r="K55" s="270">
        <f>SUM(AccountabilityGAI[[#This Row],[Private 
For Profit]],AccountabilityGAI[[#This Row],[Private 
Nonprofit]])</f>
        <v>616380</v>
      </c>
      <c r="L55" s="270">
        <f>SUM(AccountabilityGAI[[#This Row],[Federal]],AccountabilityGAI[[#This Row],[State]],AccountabilityGAI[[#This Row],[Institutional 
Resources]],AccountabilityGAI[[#This Row],[Private]])</f>
        <v>21746244</v>
      </c>
      <c r="M55" s="341">
        <f>SUMIFS(InputResearch[RR],InputResearch[Institution Name],AccountabilityGAI[[#This Row],[Institution Name]])</f>
        <v>7161605</v>
      </c>
      <c r="N55" s="270">
        <f>IFERROR(ROUND(AccountabilityGAI[[#This Row],[Total Research 
Expenditures]]/VLOOKUP(AccountabilityGAI[[#This Row],[FICE]],FTSEUNIV[[FICE]:[T/TT Fall
Faculty FTE³]],9,FALSE),2),"N/A")</f>
        <v>13481.86</v>
      </c>
      <c r="O55" s="88"/>
    </row>
    <row r="56" spans="1:15">
      <c r="A56" s="79" t="s">
        <v>31</v>
      </c>
      <c r="B56" s="80">
        <f>VLOOKUP(AccountabilityGAI[[#This Row],[Institution Name]],InputResearch[],3,FALSE)</f>
        <v>170</v>
      </c>
      <c r="C56" s="84">
        <v>11161</v>
      </c>
      <c r="D56"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14246794</v>
      </c>
      <c r="E56"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7729411</v>
      </c>
      <c r="F56"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6857685</v>
      </c>
      <c r="G56" s="270">
        <f>SUM(AccountabilityGAI[[#This Row],[State 
Appropriation]],AccountabilityGAI[[#This Row],[State 
Contracts/Grants]])</f>
        <v>14587096</v>
      </c>
      <c r="H56"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2576545</v>
      </c>
      <c r="I56"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532406</v>
      </c>
      <c r="J56"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6059375</v>
      </c>
      <c r="K56" s="270">
        <f>SUM(AccountabilityGAI[[#This Row],[Private 
For Profit]],AccountabilityGAI[[#This Row],[Private 
Nonprofit]])</f>
        <v>6591781</v>
      </c>
      <c r="L56" s="270">
        <f>SUM(AccountabilityGAI[[#This Row],[Federal]],AccountabilityGAI[[#This Row],[State]],AccountabilityGAI[[#This Row],[Institutional 
Resources]],AccountabilityGAI[[#This Row],[Private]])</f>
        <v>38002216</v>
      </c>
      <c r="M56" s="341">
        <f>SUMIFS(InputResearch[RR],InputResearch[Institution Name],AccountabilityGAI[[#This Row],[Institution Name]])</f>
        <v>23278447</v>
      </c>
      <c r="N56" s="270">
        <f>IFERROR(ROUND(AccountabilityGAI[[#This Row],[Total Research 
Expenditures]]/VLOOKUP(AccountabilityGAI[[#This Row],[FICE]],FTSEUNIV[[FICE]:[T/TT Fall
Faculty FTE³]],9,FALSE),2),"N/A")</f>
        <v>32647.95</v>
      </c>
      <c r="O56" s="88"/>
    </row>
    <row r="57" spans="1:15">
      <c r="A57" s="79" t="s">
        <v>32</v>
      </c>
      <c r="B57" s="80">
        <f>VLOOKUP(AccountabilityGAI[[#This Row],[Institution Name]],InputResearch[],3,FALSE)</f>
        <v>180</v>
      </c>
      <c r="C57" s="84">
        <v>3639</v>
      </c>
      <c r="D57"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9584101</v>
      </c>
      <c r="E57"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6101904</v>
      </c>
      <c r="F57"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780793</v>
      </c>
      <c r="G57" s="270">
        <f>SUM(AccountabilityGAI[[#This Row],[State 
Appropriation]],AccountabilityGAI[[#This Row],[State 
Contracts/Grants]])</f>
        <v>6882697</v>
      </c>
      <c r="H57"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1696271</v>
      </c>
      <c r="I57"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487942</v>
      </c>
      <c r="J57"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6135407</v>
      </c>
      <c r="K57" s="270">
        <f>SUM(AccountabilityGAI[[#This Row],[Private 
For Profit]],AccountabilityGAI[[#This Row],[Private 
Nonprofit]])</f>
        <v>6623349</v>
      </c>
      <c r="L57" s="270">
        <f>SUM(AccountabilityGAI[[#This Row],[Federal]],AccountabilityGAI[[#This Row],[State]],AccountabilityGAI[[#This Row],[Institutional 
Resources]],AccountabilityGAI[[#This Row],[Private]])</f>
        <v>24786418</v>
      </c>
      <c r="M57" s="341">
        <f>SUMIFS(InputResearch[RR],InputResearch[Institution Name],AccountabilityGAI[[#This Row],[Institution Name]])</f>
        <v>17762058</v>
      </c>
      <c r="N57" s="270">
        <f>IFERROR(ROUND(AccountabilityGAI[[#This Row],[Total Research 
Expenditures]]/VLOOKUP(AccountabilityGAI[[#This Row],[FICE]],FTSEUNIV[[FICE]:[T/TT Fall
Faculty FTE³]],9,FALSE),2),"N/A")</f>
        <v>22410.87</v>
      </c>
      <c r="O57" s="88"/>
    </row>
    <row r="58" spans="1:15">
      <c r="A58" s="79" t="s">
        <v>33</v>
      </c>
      <c r="B58" s="80">
        <f>VLOOKUP(AccountabilityGAI[[#This Row],[Institution Name]],InputResearch[],3,FALSE)</f>
        <v>190</v>
      </c>
      <c r="C58" s="84">
        <v>9651</v>
      </c>
      <c r="D58"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2038840</v>
      </c>
      <c r="E58"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993435</v>
      </c>
      <c r="F58"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18045</v>
      </c>
      <c r="G58" s="270">
        <f>SUM(AccountabilityGAI[[#This Row],[State 
Appropriation]],AccountabilityGAI[[#This Row],[State 
Contracts/Grants]])</f>
        <v>1011480</v>
      </c>
      <c r="H58"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697175</v>
      </c>
      <c r="I58"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170102</v>
      </c>
      <c r="J58"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912367</v>
      </c>
      <c r="K58" s="270">
        <f>SUM(AccountabilityGAI[[#This Row],[Private 
For Profit]],AccountabilityGAI[[#This Row],[Private 
Nonprofit]])</f>
        <v>1082469</v>
      </c>
      <c r="L58" s="270">
        <f>SUM(AccountabilityGAI[[#This Row],[Federal]],AccountabilityGAI[[#This Row],[State]],AccountabilityGAI[[#This Row],[Institutional 
Resources]],AccountabilityGAI[[#This Row],[Private]])</f>
        <v>4829964</v>
      </c>
      <c r="M58" s="341">
        <f>SUMIFS(InputResearch[RR],InputResearch[Institution Name],AccountabilityGAI[[#This Row],[Institution Name]])</f>
        <v>2865454</v>
      </c>
      <c r="N58" s="270">
        <f>IFERROR(ROUND(AccountabilityGAI[[#This Row],[Total Research 
Expenditures]]/VLOOKUP(AccountabilityGAI[[#This Row],[FICE]],FTSEUNIV[[FICE]:[T/TT Fall
Faculty FTE³]],9,FALSE),2),"N/A")</f>
        <v>10232.969999999999</v>
      </c>
      <c r="O58" s="88"/>
    </row>
    <row r="59" spans="1:15">
      <c r="A59" s="79" t="s">
        <v>34</v>
      </c>
      <c r="B59" s="80">
        <f>VLOOKUP(AccountabilityGAI[[#This Row],[Institution Name]],InputResearch[],3,FALSE)</f>
        <v>200</v>
      </c>
      <c r="C59" s="84">
        <v>3665</v>
      </c>
      <c r="D59"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2138782</v>
      </c>
      <c r="E59"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4474810</v>
      </c>
      <c r="F59"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296896</v>
      </c>
      <c r="G59" s="270">
        <f>SUM(AccountabilityGAI[[#This Row],[State 
Appropriation]],AccountabilityGAI[[#This Row],[State 
Contracts/Grants]])</f>
        <v>4771706</v>
      </c>
      <c r="H59"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1642556</v>
      </c>
      <c r="I59"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1356306</v>
      </c>
      <c r="J59"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34724</v>
      </c>
      <c r="K59" s="270">
        <f>SUM(AccountabilityGAI[[#This Row],[Private 
For Profit]],AccountabilityGAI[[#This Row],[Private 
Nonprofit]])</f>
        <v>1391030</v>
      </c>
      <c r="L59" s="270">
        <f>SUM(AccountabilityGAI[[#This Row],[Federal]],AccountabilityGAI[[#This Row],[State]],AccountabilityGAI[[#This Row],[Institutional 
Resources]],AccountabilityGAI[[#This Row],[Private]])</f>
        <v>9944074</v>
      </c>
      <c r="M59" s="341">
        <f>SUMIFS(InputResearch[RR],InputResearch[Institution Name],AccountabilityGAI[[#This Row],[Institution Name]])</f>
        <v>3257239</v>
      </c>
      <c r="N59" s="270">
        <f>IFERROR(ROUND(AccountabilityGAI[[#This Row],[Total Research 
Expenditures]]/VLOOKUP(AccountabilityGAI[[#This Row],[FICE]],FTSEUNIV[[FICE]:[T/TT Fall
Faculty FTE³]],9,FALSE),2),"N/A")</f>
        <v>10054.68</v>
      </c>
      <c r="O59" s="88"/>
    </row>
    <row r="60" spans="1:15">
      <c r="A60" s="79" t="s">
        <v>35</v>
      </c>
      <c r="B60" s="80">
        <f>VLOOKUP(AccountabilityGAI[[#This Row],[Institution Name]],InputResearch[],3,FALSE)</f>
        <v>210</v>
      </c>
      <c r="C60" s="84">
        <v>3565</v>
      </c>
      <c r="D60"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1681530</v>
      </c>
      <c r="E60"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904486</v>
      </c>
      <c r="F60"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0</v>
      </c>
      <c r="G60" s="270">
        <f>SUM(AccountabilityGAI[[#This Row],[State 
Appropriation]],AccountabilityGAI[[#This Row],[State 
Contracts/Grants]])</f>
        <v>904486</v>
      </c>
      <c r="H60"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4335734</v>
      </c>
      <c r="I60"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74154</v>
      </c>
      <c r="J60"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45462</v>
      </c>
      <c r="K60" s="270">
        <f>SUM(AccountabilityGAI[[#This Row],[Private 
For Profit]],AccountabilityGAI[[#This Row],[Private 
Nonprofit]])</f>
        <v>119616</v>
      </c>
      <c r="L60" s="270">
        <f>SUM(AccountabilityGAI[[#This Row],[Federal]],AccountabilityGAI[[#This Row],[State]],AccountabilityGAI[[#This Row],[Institutional 
Resources]],AccountabilityGAI[[#This Row],[Private]])</f>
        <v>7041366</v>
      </c>
      <c r="M60" s="341">
        <f>SUMIFS(InputResearch[RR],InputResearch[Institution Name],AccountabilityGAI[[#This Row],[Institution Name]])</f>
        <v>2788334</v>
      </c>
      <c r="N60" s="270">
        <f>IFERROR(ROUND(AccountabilityGAI[[#This Row],[Total Research 
Expenditures]]/VLOOKUP(AccountabilityGAI[[#This Row],[FICE]],FTSEUNIV[[FICE]:[T/TT Fall
Faculty FTE³]],9,FALSE),2),"N/A")</f>
        <v>6883.06</v>
      </c>
      <c r="O60" s="88"/>
    </row>
    <row r="61" spans="1:15">
      <c r="A61" s="79" t="s">
        <v>36</v>
      </c>
      <c r="B61" s="80">
        <f>VLOOKUP(AccountabilityGAI[[#This Row],[Institution Name]],InputResearch[],3,FALSE)</f>
        <v>220</v>
      </c>
      <c r="C61" s="84">
        <v>29269</v>
      </c>
      <c r="D61"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0</v>
      </c>
      <c r="E61"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0</v>
      </c>
      <c r="F61"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0</v>
      </c>
      <c r="G61" s="270">
        <f>SUM(AccountabilityGAI[[#This Row],[State 
Appropriation]],AccountabilityGAI[[#This Row],[State 
Contracts/Grants]])</f>
        <v>0</v>
      </c>
      <c r="H61"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0</v>
      </c>
      <c r="I61"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0</v>
      </c>
      <c r="J61"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15923</v>
      </c>
      <c r="K61" s="270">
        <f>SUM(AccountabilityGAI[[#This Row],[Private 
For Profit]],AccountabilityGAI[[#This Row],[Private 
Nonprofit]])</f>
        <v>15923</v>
      </c>
      <c r="L61" s="270">
        <f>SUM(AccountabilityGAI[[#This Row],[Federal]],AccountabilityGAI[[#This Row],[State]],AccountabilityGAI[[#This Row],[Institutional 
Resources]],AccountabilityGAI[[#This Row],[Private]])</f>
        <v>15923</v>
      </c>
      <c r="M61" s="341">
        <f>SUMIFS(InputResearch[RR],InputResearch[Institution Name],AccountabilityGAI[[#This Row],[Institution Name]])</f>
        <v>5732</v>
      </c>
      <c r="N61" s="270">
        <f>IFERROR(ROUND(AccountabilityGAI[[#This Row],[Total Research 
Expenditures]]/VLOOKUP(AccountabilityGAI[[#This Row],[FICE]],FTSEUNIV[[FICE]:[T/TT Fall
Faculty FTE³]],9,FALSE),2),"N/A")</f>
        <v>51.87</v>
      </c>
      <c r="O61" s="88"/>
    </row>
    <row r="62" spans="1:15">
      <c r="A62" s="79" t="s">
        <v>37</v>
      </c>
      <c r="B62" s="80">
        <f>VLOOKUP(AccountabilityGAI[[#This Row],[Institution Name]],InputResearch[],3,FALSE)</f>
        <v>223</v>
      </c>
      <c r="C62" s="84">
        <v>42295</v>
      </c>
      <c r="D62"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637823</v>
      </c>
      <c r="E62"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0</v>
      </c>
      <c r="F62"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26622</v>
      </c>
      <c r="G62" s="270">
        <f>SUM(AccountabilityGAI[[#This Row],[State 
Appropriation]],AccountabilityGAI[[#This Row],[State 
Contracts/Grants]])</f>
        <v>26622</v>
      </c>
      <c r="H62"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660472</v>
      </c>
      <c r="I62"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0</v>
      </c>
      <c r="J62"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3620</v>
      </c>
      <c r="K62" s="270">
        <f>SUM(AccountabilityGAI[[#This Row],[Private 
For Profit]],AccountabilityGAI[[#This Row],[Private 
Nonprofit]])</f>
        <v>3620</v>
      </c>
      <c r="L62" s="270">
        <f>SUM(AccountabilityGAI[[#This Row],[Federal]],AccountabilityGAI[[#This Row],[State]],AccountabilityGAI[[#This Row],[Institutional 
Resources]],AccountabilityGAI[[#This Row],[Private]])</f>
        <v>1328537</v>
      </c>
      <c r="M62" s="341">
        <f>SUMIFS(InputResearch[RR],InputResearch[Institution Name],AccountabilityGAI[[#This Row],[Institution Name]])</f>
        <v>577812</v>
      </c>
      <c r="N62" s="270">
        <f>IFERROR(ROUND(AccountabilityGAI[[#This Row],[Total Research 
Expenditures]]/VLOOKUP(AccountabilityGAI[[#This Row],[FICE]],FTSEUNIV[[FICE]:[T/TT Fall
Faculty FTE³]],9,FALSE),2),"N/A")</f>
        <v>5271.97</v>
      </c>
      <c r="O62" s="88"/>
    </row>
    <row r="63" spans="1:15">
      <c r="A63" s="79" t="s">
        <v>38</v>
      </c>
      <c r="B63" s="80">
        <f>VLOOKUP(AccountabilityGAI[[#This Row],[Institution Name]],InputResearch[],3,FALSE)</f>
        <v>226</v>
      </c>
      <c r="C63" s="84">
        <v>42485</v>
      </c>
      <c r="D63"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1248029</v>
      </c>
      <c r="E63"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0</v>
      </c>
      <c r="F63"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282350</v>
      </c>
      <c r="G63" s="270">
        <f>SUM(AccountabilityGAI[[#This Row],[State 
Appropriation]],AccountabilityGAI[[#This Row],[State 
Contracts/Grants]])</f>
        <v>282350</v>
      </c>
      <c r="H63"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0</v>
      </c>
      <c r="I63"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0</v>
      </c>
      <c r="J63"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208440</v>
      </c>
      <c r="K63" s="270">
        <f>SUM(AccountabilityGAI[[#This Row],[Private 
For Profit]],AccountabilityGAI[[#This Row],[Private 
Nonprofit]])</f>
        <v>208440</v>
      </c>
      <c r="L63" s="270">
        <f>SUM(AccountabilityGAI[[#This Row],[Federal]],AccountabilityGAI[[#This Row],[State]],AccountabilityGAI[[#This Row],[Institutional 
Resources]],AccountabilityGAI[[#This Row],[Private]])</f>
        <v>1738819</v>
      </c>
      <c r="M63" s="341">
        <f>SUMIFS(InputResearch[RR],InputResearch[Institution Name],AccountabilityGAI[[#This Row],[Institution Name]])</f>
        <v>1501402</v>
      </c>
      <c r="N63" s="270">
        <f>IFERROR(ROUND(AccountabilityGAI[[#This Row],[Total Research 
Expenditures]]/VLOOKUP(AccountabilityGAI[[#This Row],[FICE]],FTSEUNIV[[FICE]:[T/TT Fall
Faculty FTE³]],9,FALSE),2),"N/A")</f>
        <v>3942.9</v>
      </c>
      <c r="O63" s="88"/>
    </row>
    <row r="64" spans="1:15">
      <c r="A64" s="79" t="s">
        <v>716</v>
      </c>
      <c r="B64" s="80">
        <f>VLOOKUP(AccountabilityGAI[[#This Row],[Institution Name]],InputResearch[],3,FALSE)</f>
        <v>231</v>
      </c>
      <c r="C64" s="84">
        <v>3652</v>
      </c>
      <c r="D64"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96022132</v>
      </c>
      <c r="E64"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349462</v>
      </c>
      <c r="F64"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10332595</v>
      </c>
      <c r="G64" s="270">
        <f>SUM(AccountabilityGAI[[#This Row],[State 
Appropriation]],AccountabilityGAI[[#This Row],[State 
Contracts/Grants]])</f>
        <v>10682057</v>
      </c>
      <c r="H64"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47745078</v>
      </c>
      <c r="I64"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8373350</v>
      </c>
      <c r="J64"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5514504</v>
      </c>
      <c r="K64" s="270">
        <f>SUM(AccountabilityGAI[[#This Row],[Private 
For Profit]],AccountabilityGAI[[#This Row],[Private 
Nonprofit]])</f>
        <v>13887854</v>
      </c>
      <c r="L64" s="270">
        <f>SUM(AccountabilityGAI[[#This Row],[Federal]],AccountabilityGAI[[#This Row],[State]],AccountabilityGAI[[#This Row],[Institutional 
Resources]],AccountabilityGAI[[#This Row],[Private]])</f>
        <v>168337121</v>
      </c>
      <c r="M64" s="341">
        <f>SUMIFS(InputResearch[RR],InputResearch[Institution Name],AccountabilityGAI[[#This Row],[Institution Name]])</f>
        <v>101813264</v>
      </c>
      <c r="N64" s="270">
        <f>IFERROR(ROUND(AccountabilityGAI[[#This Row],[Total Research 
Expenditures]]/VLOOKUP(AccountabilityGAI[[#This Row],[FICE]],FTSEUNIV[[FICE]:[T/TT Fall
Faculty FTE³]],9,FALSE),2),"N/A")</f>
        <v>48610.2</v>
      </c>
      <c r="O64" s="88"/>
    </row>
    <row r="65" spans="1:15">
      <c r="A65" s="79" t="s">
        <v>39</v>
      </c>
      <c r="B65" s="80">
        <f>VLOOKUP(AccountabilityGAI[[#This Row],[Institution Name]],InputResearch[],3,FALSE)</f>
        <v>240</v>
      </c>
      <c r="C65" s="84">
        <v>11711</v>
      </c>
      <c r="D65"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1273321</v>
      </c>
      <c r="E65"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384098</v>
      </c>
      <c r="F65"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258279</v>
      </c>
      <c r="G65" s="270">
        <f>SUM(AccountabilityGAI[[#This Row],[State 
Appropriation]],AccountabilityGAI[[#This Row],[State 
Contracts/Grants]])</f>
        <v>642377</v>
      </c>
      <c r="H65"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-343848</v>
      </c>
      <c r="I65"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533559</v>
      </c>
      <c r="J65"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21622</v>
      </c>
      <c r="K65" s="270">
        <f>SUM(AccountabilityGAI[[#This Row],[Private 
For Profit]],AccountabilityGAI[[#This Row],[Private 
Nonprofit]])</f>
        <v>555181</v>
      </c>
      <c r="L65" s="270">
        <f>SUM(AccountabilityGAI[[#This Row],[Federal]],AccountabilityGAI[[#This Row],[State]],AccountabilityGAI[[#This Row],[Institutional 
Resources]],AccountabilityGAI[[#This Row],[Private]])</f>
        <v>2127031</v>
      </c>
      <c r="M65" s="341">
        <f>SUMIFS(InputResearch[RR],InputResearch[Institution Name],AccountabilityGAI[[#This Row],[Institution Name]])</f>
        <v>2101663</v>
      </c>
      <c r="N65" s="270">
        <f>IFERROR(ROUND(AccountabilityGAI[[#This Row],[Total Research 
Expenditures]]/VLOOKUP(AccountabilityGAI[[#This Row],[FICE]],FTSEUNIV[[FICE]:[T/TT Fall
Faculty FTE³]],9,FALSE),2),"N/A")</f>
        <v>2213.35</v>
      </c>
      <c r="O65" s="88"/>
    </row>
    <row r="66" spans="1:15">
      <c r="A66" s="79" t="s">
        <v>40</v>
      </c>
      <c r="B66" s="80">
        <f>VLOOKUP(AccountabilityGAI[[#This Row],[Institution Name]],InputResearch[],3,FALSE)</f>
        <v>250</v>
      </c>
      <c r="C66" s="84">
        <v>12826</v>
      </c>
      <c r="D66"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1508215</v>
      </c>
      <c r="E66"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14218</v>
      </c>
      <c r="F66"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3652</v>
      </c>
      <c r="G66" s="270">
        <f>SUM(AccountabilityGAI[[#This Row],[State 
Appropriation]],AccountabilityGAI[[#This Row],[State 
Contracts/Grants]])</f>
        <v>17870</v>
      </c>
      <c r="H66"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0</v>
      </c>
      <c r="I66"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68000</v>
      </c>
      <c r="J66"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81110</v>
      </c>
      <c r="K66" s="270">
        <f>SUM(AccountabilityGAI[[#This Row],[Private 
For Profit]],AccountabilityGAI[[#This Row],[Private 
Nonprofit]])</f>
        <v>149110</v>
      </c>
      <c r="L66" s="270">
        <f>SUM(AccountabilityGAI[[#This Row],[Federal]],AccountabilityGAI[[#This Row],[State]],AccountabilityGAI[[#This Row],[Institutional 
Resources]],AccountabilityGAI[[#This Row],[Private]])</f>
        <v>1675195</v>
      </c>
      <c r="M66" s="341">
        <f>SUMIFS(InputResearch[RR],InputResearch[Institution Name],AccountabilityGAI[[#This Row],[Institution Name]])</f>
        <v>1594801</v>
      </c>
      <c r="N66" s="270">
        <f>IFERROR(ROUND(AccountabilityGAI[[#This Row],[Total Research 
Expenditures]]/VLOOKUP(AccountabilityGAI[[#This Row],[FICE]],FTSEUNIV[[FICE]:[T/TT Fall
Faculty FTE³]],9,FALSE),2),"N/A")</f>
        <v>2073.2600000000002</v>
      </c>
      <c r="O66" s="88"/>
    </row>
    <row r="67" spans="1:15">
      <c r="A67" s="79" t="s">
        <v>41</v>
      </c>
      <c r="B67" s="80">
        <f>VLOOKUP(AccountabilityGAI[[#This Row],[Institution Name]],InputResearch[],3,FALSE)</f>
        <v>260</v>
      </c>
      <c r="C67" s="84">
        <v>13231</v>
      </c>
      <c r="D67"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419776</v>
      </c>
      <c r="E67"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0</v>
      </c>
      <c r="F67"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0</v>
      </c>
      <c r="G67" s="270">
        <f>SUM(AccountabilityGAI[[#This Row],[State 
Appropriation]],AccountabilityGAI[[#This Row],[State 
Contracts/Grants]])</f>
        <v>0</v>
      </c>
      <c r="H67"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0</v>
      </c>
      <c r="I67"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0</v>
      </c>
      <c r="J67"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44025</v>
      </c>
      <c r="K67" s="270">
        <f>SUM(AccountabilityGAI[[#This Row],[Private 
For Profit]],AccountabilityGAI[[#This Row],[Private 
Nonprofit]])</f>
        <v>44025</v>
      </c>
      <c r="L67" s="270">
        <f>SUM(AccountabilityGAI[[#This Row],[Federal]],AccountabilityGAI[[#This Row],[State]],AccountabilityGAI[[#This Row],[Institutional 
Resources]],AccountabilityGAI[[#This Row],[Private]])</f>
        <v>463801</v>
      </c>
      <c r="M67" s="341">
        <f>SUMIFS(InputResearch[RR],InputResearch[Institution Name],AccountabilityGAI[[#This Row],[Institution Name]])</f>
        <v>463801</v>
      </c>
      <c r="N67" s="270">
        <f>IFERROR(ROUND(AccountabilityGAI[[#This Row],[Total Research 
Expenditures]]/VLOOKUP(AccountabilityGAI[[#This Row],[FICE]],FTSEUNIV[[FICE]:[T/TT Fall
Faculty FTE³]],9,FALSE),2),"N/A")</f>
        <v>1233.51</v>
      </c>
      <c r="O67" s="88"/>
    </row>
    <row r="68" spans="1:15">
      <c r="A68" s="79" t="s">
        <v>42</v>
      </c>
      <c r="B68" s="80">
        <f>VLOOKUP(AccountabilityGAI[[#This Row],[Institution Name]],InputResearch[],3,FALSE)</f>
        <v>270</v>
      </c>
      <c r="C68" s="84">
        <v>3581</v>
      </c>
      <c r="D68"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2159313</v>
      </c>
      <c r="E68"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284448</v>
      </c>
      <c r="F68"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91757</v>
      </c>
      <c r="G68" s="270">
        <f>SUM(AccountabilityGAI[[#This Row],[State 
Appropriation]],AccountabilityGAI[[#This Row],[State 
Contracts/Grants]])</f>
        <v>376205</v>
      </c>
      <c r="H68"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71562</v>
      </c>
      <c r="I68"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193380</v>
      </c>
      <c r="J68"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332251</v>
      </c>
      <c r="K68" s="270">
        <f>SUM(AccountabilityGAI[[#This Row],[Private 
For Profit]],AccountabilityGAI[[#This Row],[Private 
Nonprofit]])</f>
        <v>525631</v>
      </c>
      <c r="L68" s="270">
        <f>SUM(AccountabilityGAI[[#This Row],[Federal]],AccountabilityGAI[[#This Row],[State]],AccountabilityGAI[[#This Row],[Institutional 
Resources]],AccountabilityGAI[[#This Row],[Private]])</f>
        <v>3132711</v>
      </c>
      <c r="M68" s="341">
        <f>SUMIFS(InputResearch[RR],InputResearch[Institution Name],AccountabilityGAI[[#This Row],[Institution Name]])</f>
        <v>2210860</v>
      </c>
      <c r="N68" s="270">
        <f>IFERROR(ROUND(AccountabilityGAI[[#This Row],[Total Research 
Expenditures]]/VLOOKUP(AccountabilityGAI[[#This Row],[FICE]],FTSEUNIV[[FICE]:[T/TT Fall
Faculty FTE³]],9,FALSE),2),"N/A")</f>
        <v>2702.94</v>
      </c>
      <c r="O68" s="88"/>
    </row>
    <row r="69" spans="1:15">
      <c r="A69" s="79" t="s">
        <v>717</v>
      </c>
      <c r="B69" s="80">
        <f>VLOOKUP(AccountabilityGAI[[#This Row],[Institution Name]],InputResearch[],3,FALSE)</f>
        <v>281</v>
      </c>
      <c r="C69" s="84">
        <v>3606</v>
      </c>
      <c r="D69"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3213910</v>
      </c>
      <c r="E69"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0</v>
      </c>
      <c r="F69"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1046016</v>
      </c>
      <c r="G69" s="270">
        <f>SUM(AccountabilityGAI[[#This Row],[State 
Appropriation]],AccountabilityGAI[[#This Row],[State 
Contracts/Grants]])</f>
        <v>1046016</v>
      </c>
      <c r="H69"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6204970</v>
      </c>
      <c r="I69"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731470</v>
      </c>
      <c r="J69"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314946</v>
      </c>
      <c r="K69" s="270">
        <f>SUM(AccountabilityGAI[[#This Row],[Private 
For Profit]],AccountabilityGAI[[#This Row],[Private 
Nonprofit]])</f>
        <v>1046416</v>
      </c>
      <c r="L69" s="270">
        <f>SUM(AccountabilityGAI[[#This Row],[Federal]],AccountabilityGAI[[#This Row],[State]],AccountabilityGAI[[#This Row],[Institutional 
Resources]],AccountabilityGAI[[#This Row],[Private]])</f>
        <v>11511312</v>
      </c>
      <c r="M69" s="341">
        <f>SUMIFS(InputResearch[RR],InputResearch[Institution Name],AccountabilityGAI[[#This Row],[Institution Name]])</f>
        <v>5823136</v>
      </c>
      <c r="N69" s="270">
        <f>IFERROR(ROUND(AccountabilityGAI[[#This Row],[Total Research 
Expenditures]]/VLOOKUP(AccountabilityGAI[[#This Row],[FICE]],FTSEUNIV[[FICE]:[T/TT Fall
Faculty FTE³]],9,FALSE),2),"N/A")</f>
        <v>5983.01</v>
      </c>
      <c r="O69" s="88"/>
    </row>
    <row r="70" spans="1:15">
      <c r="A70" s="79" t="s">
        <v>44</v>
      </c>
      <c r="B70" s="80">
        <f>VLOOKUP(AccountabilityGAI[[#This Row],[Institution Name]],InputResearch[],3,FALSE)</f>
        <v>290</v>
      </c>
      <c r="C70" s="84">
        <v>3615</v>
      </c>
      <c r="D70"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44296432</v>
      </c>
      <c r="E70"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36890552</v>
      </c>
      <c r="F70"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4667804</v>
      </c>
      <c r="G70" s="270">
        <f>SUM(AccountabilityGAI[[#This Row],[State 
Appropriation]],AccountabilityGAI[[#This Row],[State 
Contracts/Grants]])</f>
        <v>41558356</v>
      </c>
      <c r="H70"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46795125</v>
      </c>
      <c r="I70"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1532487</v>
      </c>
      <c r="J70"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7108630</v>
      </c>
      <c r="K70" s="270">
        <f>SUM(AccountabilityGAI[[#This Row],[Private 
For Profit]],AccountabilityGAI[[#This Row],[Private 
Nonprofit]])</f>
        <v>8641117</v>
      </c>
      <c r="L70" s="270">
        <f>SUM(AccountabilityGAI[[#This Row],[Federal]],AccountabilityGAI[[#This Row],[State]],AccountabilityGAI[[#This Row],[Institutional 
Resources]],AccountabilityGAI[[#This Row],[Private]])</f>
        <v>141291030</v>
      </c>
      <c r="M70" s="341">
        <f>SUMIFS(InputResearch[RR],InputResearch[Institution Name],AccountabilityGAI[[#This Row],[Institution Name]])</f>
        <v>47051777</v>
      </c>
      <c r="N70" s="270">
        <f>IFERROR(ROUND(AccountabilityGAI[[#This Row],[Total Research 
Expenditures]]/VLOOKUP(AccountabilityGAI[[#This Row],[FICE]],FTSEUNIV[[FICE]:[T/TT Fall
Faculty FTE³]],9,FALSE),2),"N/A")</f>
        <v>50787.57</v>
      </c>
      <c r="O70" s="88"/>
    </row>
    <row r="71" spans="1:15">
      <c r="A71" s="79" t="s">
        <v>45</v>
      </c>
      <c r="B71" s="80">
        <f>VLOOKUP(AccountabilityGAI[[#This Row],[Institution Name]],InputResearch[],3,FALSE)</f>
        <v>300</v>
      </c>
      <c r="C71" s="84">
        <v>3625</v>
      </c>
      <c r="D71"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1568332</v>
      </c>
      <c r="E71"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0</v>
      </c>
      <c r="F71"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1223052</v>
      </c>
      <c r="G71" s="270">
        <f>SUM(AccountabilityGAI[[#This Row],[State 
Appropriation]],AccountabilityGAI[[#This Row],[State 
Contracts/Grants]])</f>
        <v>1223052</v>
      </c>
      <c r="H71"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1804303</v>
      </c>
      <c r="I71"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0</v>
      </c>
      <c r="J71"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282749</v>
      </c>
      <c r="K71" s="270">
        <f>SUM(AccountabilityGAI[[#This Row],[Private 
For Profit]],AccountabilityGAI[[#This Row],[Private 
Nonprofit]])</f>
        <v>282749</v>
      </c>
      <c r="L71" s="270">
        <f>SUM(AccountabilityGAI[[#This Row],[Federal]],AccountabilityGAI[[#This Row],[State]],AccountabilityGAI[[#This Row],[Institutional 
Resources]],AccountabilityGAI[[#This Row],[Private]])</f>
        <v>4878436</v>
      </c>
      <c r="M71" s="341">
        <f>SUMIFS(InputResearch[RR],InputResearch[Institution Name],AccountabilityGAI[[#This Row],[Institution Name]])</f>
        <v>2871855</v>
      </c>
      <c r="N71" s="270">
        <f>IFERROR(ROUND(AccountabilityGAI[[#This Row],[Total Research 
Expenditures]]/VLOOKUP(AccountabilityGAI[[#This Row],[FICE]],FTSEUNIV[[FICE]:[T/TT Fall
Faculty FTE³]],9,FALSE),2),"N/A")</f>
        <v>9935.7099999999991</v>
      </c>
      <c r="O71" s="88"/>
    </row>
    <row r="72" spans="1:15">
      <c r="A72" s="79" t="s">
        <v>46</v>
      </c>
      <c r="B72" s="80">
        <f>VLOOKUP(AccountabilityGAI[[#This Row],[Institution Name]],InputResearch[],3,FALSE)</f>
        <v>310</v>
      </c>
      <c r="C72" s="84">
        <v>3644</v>
      </c>
      <c r="D72"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58499101</v>
      </c>
      <c r="E72"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93255964</v>
      </c>
      <c r="F72"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5853310</v>
      </c>
      <c r="G72" s="270">
        <f>SUM(AccountabilityGAI[[#This Row],[State 
Appropriation]],AccountabilityGAI[[#This Row],[State 
Contracts/Grants]])</f>
        <v>99109274</v>
      </c>
      <c r="H72"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41352239</v>
      </c>
      <c r="I72"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15419072</v>
      </c>
      <c r="J72"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15049627</v>
      </c>
      <c r="K72" s="270">
        <f>SUM(AccountabilityGAI[[#This Row],[Private 
For Profit]],AccountabilityGAI[[#This Row],[Private 
Nonprofit]])</f>
        <v>30468699</v>
      </c>
      <c r="L72" s="270">
        <f>SUM(AccountabilityGAI[[#This Row],[Federal]],AccountabilityGAI[[#This Row],[State]],AccountabilityGAI[[#This Row],[Institutional 
Resources]],AccountabilityGAI[[#This Row],[Private]])</f>
        <v>229429313</v>
      </c>
      <c r="M72" s="341">
        <f>SUMIFS(InputResearch[RR],InputResearch[Institution Name],AccountabilityGAI[[#This Row],[Institution Name]])</f>
        <v>69148028</v>
      </c>
      <c r="N72" s="270">
        <f>IFERROR(ROUND(AccountabilityGAI[[#This Row],[Total Research 
Expenditures]]/VLOOKUP(AccountabilityGAI[[#This Row],[FICE]],FTSEUNIV[[FICE]:[T/TT Fall
Faculty FTE³]],9,FALSE),2),"N/A")</f>
        <v>52525.03</v>
      </c>
      <c r="O72" s="88"/>
    </row>
    <row r="73" spans="1:15">
      <c r="A73" s="79" t="s">
        <v>47</v>
      </c>
      <c r="B73" s="80">
        <f>VLOOKUP(AccountabilityGAI[[#This Row],[Institution Name]],InputResearch[],3,FALSE)</f>
        <v>320</v>
      </c>
      <c r="C73" s="84">
        <v>3541</v>
      </c>
      <c r="D73"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201410</v>
      </c>
      <c r="E73"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469945</v>
      </c>
      <c r="F73"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58492</v>
      </c>
      <c r="G73" s="270">
        <f>SUM(AccountabilityGAI[[#This Row],[State 
Appropriation]],AccountabilityGAI[[#This Row],[State 
Contracts/Grants]])</f>
        <v>528437</v>
      </c>
      <c r="H73"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0</v>
      </c>
      <c r="I73"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26679</v>
      </c>
      <c r="J73"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177604</v>
      </c>
      <c r="K73" s="270">
        <f>SUM(AccountabilityGAI[[#This Row],[Private 
For Profit]],AccountabilityGAI[[#This Row],[Private 
Nonprofit]])</f>
        <v>204283</v>
      </c>
      <c r="L73" s="270">
        <f>SUM(AccountabilityGAI[[#This Row],[Federal]],AccountabilityGAI[[#This Row],[State]],AccountabilityGAI[[#This Row],[Institutional 
Resources]],AccountabilityGAI[[#This Row],[Private]])</f>
        <v>934130</v>
      </c>
      <c r="M73" s="341">
        <f>SUMIFS(InputResearch[RR],InputResearch[Institution Name],AccountabilityGAI[[#This Row],[Institution Name]])</f>
        <v>317574</v>
      </c>
      <c r="N73" s="270">
        <f>IFERROR(ROUND(AccountabilityGAI[[#This Row],[Total Research 
Expenditures]]/VLOOKUP(AccountabilityGAI[[#This Row],[FICE]],FTSEUNIV[[FICE]:[T/TT Fall
Faculty FTE³]],9,FALSE),2),"N/A")</f>
        <v>973.05</v>
      </c>
      <c r="O73" s="88"/>
    </row>
    <row r="74" spans="1:15">
      <c r="A74" s="79" t="s">
        <v>48</v>
      </c>
      <c r="B74" s="80">
        <f>VLOOKUP(AccountabilityGAI[[#This Row],[Institution Name]],InputResearch[],3,FALSE)</f>
        <v>330</v>
      </c>
      <c r="C74" s="84">
        <v>3594</v>
      </c>
      <c r="D74"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30839134</v>
      </c>
      <c r="E74"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25989298</v>
      </c>
      <c r="F74"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752515</v>
      </c>
      <c r="G74" s="270">
        <f>SUM(AccountabilityGAI[[#This Row],[State 
Appropriation]],AccountabilityGAI[[#This Row],[State 
Contracts/Grants]])</f>
        <v>26741813</v>
      </c>
      <c r="H74"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41115678</v>
      </c>
      <c r="I74"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2161742</v>
      </c>
      <c r="J74"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3949670</v>
      </c>
      <c r="K74" s="270">
        <f>SUM(AccountabilityGAI[[#This Row],[Private 
For Profit]],AccountabilityGAI[[#This Row],[Private 
Nonprofit]])</f>
        <v>6111412</v>
      </c>
      <c r="L74" s="270">
        <f>SUM(AccountabilityGAI[[#This Row],[Federal]],AccountabilityGAI[[#This Row],[State]],AccountabilityGAI[[#This Row],[Institutional 
Resources]],AccountabilityGAI[[#This Row],[Private]])</f>
        <v>104808037</v>
      </c>
      <c r="M74" s="341">
        <f>SUMIFS(InputResearch[RR],InputResearch[Institution Name],AccountabilityGAI[[#This Row],[Institution Name]])</f>
        <v>31288590</v>
      </c>
      <c r="N74" s="270">
        <f>IFERROR(ROUND(AccountabilityGAI[[#This Row],[Total Research 
Expenditures]]/VLOOKUP(AccountabilityGAI[[#This Row],[FICE]],FTSEUNIV[[FICE]:[T/TT Fall
Faculty FTE³]],9,FALSE),2),"N/A")</f>
        <v>34716.14</v>
      </c>
      <c r="O74" s="88"/>
    </row>
    <row r="75" spans="1:15">
      <c r="A75" s="79" t="s">
        <v>49</v>
      </c>
      <c r="B75" s="80">
        <f>VLOOKUP(AccountabilityGAI[[#This Row],[Institution Name]],InputResearch[],3,FALSE)</f>
        <v>333</v>
      </c>
      <c r="C75" s="84">
        <v>42421</v>
      </c>
      <c r="D75"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196277</v>
      </c>
      <c r="E75"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0</v>
      </c>
      <c r="F75"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0</v>
      </c>
      <c r="G75" s="270">
        <f>SUM(AccountabilityGAI[[#This Row],[State 
Appropriation]],AccountabilityGAI[[#This Row],[State 
Contracts/Grants]])</f>
        <v>0</v>
      </c>
      <c r="H75"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963136</v>
      </c>
      <c r="I75"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0</v>
      </c>
      <c r="J75"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193775</v>
      </c>
      <c r="K75" s="270">
        <f>SUM(AccountabilityGAI[[#This Row],[Private 
For Profit]],AccountabilityGAI[[#This Row],[Private 
Nonprofit]])</f>
        <v>193775</v>
      </c>
      <c r="L75" s="270">
        <f>SUM(AccountabilityGAI[[#This Row],[Federal]],AccountabilityGAI[[#This Row],[State]],AccountabilityGAI[[#This Row],[Institutional 
Resources]],AccountabilityGAI[[#This Row],[Private]])</f>
        <v>1353188</v>
      </c>
      <c r="M75" s="341">
        <f>SUMIFS(InputResearch[RR],InputResearch[Institution Name],AccountabilityGAI[[#This Row],[Institution Name]])</f>
        <v>512949</v>
      </c>
      <c r="N75" s="270">
        <f>IFERROR(ROUND(AccountabilityGAI[[#This Row],[Total Research 
Expenditures]]/VLOOKUP(AccountabilityGAI[[#This Row],[FICE]],FTSEUNIV[[FICE]:[T/TT Fall
Faculty FTE³]],9,FALSE),2),"N/A")</f>
        <v>6178.94</v>
      </c>
      <c r="O75" s="88"/>
    </row>
    <row r="76" spans="1:15">
      <c r="A76" s="79" t="s">
        <v>50</v>
      </c>
      <c r="B76" s="80">
        <f>VLOOKUP(AccountabilityGAI[[#This Row],[Institution Name]],InputResearch[],3,FALSE)</f>
        <v>340</v>
      </c>
      <c r="C76" s="84">
        <v>3592</v>
      </c>
      <c r="D76"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491326</v>
      </c>
      <c r="E76"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77237</v>
      </c>
      <c r="F76"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0</v>
      </c>
      <c r="G76" s="270">
        <f>SUM(AccountabilityGAI[[#This Row],[State 
Appropriation]],AccountabilityGAI[[#This Row],[State 
Contracts/Grants]])</f>
        <v>77237</v>
      </c>
      <c r="H76"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0</v>
      </c>
      <c r="I76"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57574</v>
      </c>
      <c r="J76"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14290</v>
      </c>
      <c r="K76" s="270">
        <f>SUM(AccountabilityGAI[[#This Row],[Private 
For Profit]],AccountabilityGAI[[#This Row],[Private 
Nonprofit]])</f>
        <v>71864</v>
      </c>
      <c r="L76" s="270">
        <f>SUM(AccountabilityGAI[[#This Row],[Federal]],AccountabilityGAI[[#This Row],[State]],AccountabilityGAI[[#This Row],[Institutional 
Resources]],AccountabilityGAI[[#This Row],[Private]])</f>
        <v>640427</v>
      </c>
      <c r="M76" s="341">
        <f>SUMIFS(InputResearch[RR],InputResearch[Institution Name],AccountabilityGAI[[#This Row],[Institution Name]])</f>
        <v>508797</v>
      </c>
      <c r="N76" s="270">
        <f>IFERROR(ROUND(AccountabilityGAI[[#This Row],[Total Research 
Expenditures]]/VLOOKUP(AccountabilityGAI[[#This Row],[FICE]],FTSEUNIV[[FICE]:[T/TT Fall
Faculty FTE³]],9,FALSE),2),"N/A")</f>
        <v>674.84</v>
      </c>
      <c r="O76" s="88"/>
    </row>
    <row r="77" spans="1:15">
      <c r="A77" s="79" t="s">
        <v>51</v>
      </c>
      <c r="B77" s="80">
        <f>VLOOKUP(AccountabilityGAI[[#This Row],[Institution Name]],InputResearch[],3,FALSE)</f>
        <v>360</v>
      </c>
      <c r="C77" s="84">
        <v>3642</v>
      </c>
      <c r="D77"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5370993</v>
      </c>
      <c r="E77"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98327</v>
      </c>
      <c r="F77"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440876</v>
      </c>
      <c r="G77" s="270">
        <f>SUM(AccountabilityGAI[[#This Row],[State 
Appropriation]],AccountabilityGAI[[#This Row],[State 
Contracts/Grants]])</f>
        <v>539203</v>
      </c>
      <c r="H77"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2369434</v>
      </c>
      <c r="I77"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72652</v>
      </c>
      <c r="J77"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37134</v>
      </c>
      <c r="K77" s="270">
        <f>SUM(AccountabilityGAI[[#This Row],[Private 
For Profit]],AccountabilityGAI[[#This Row],[Private 
Nonprofit]])</f>
        <v>109786</v>
      </c>
      <c r="L77" s="270">
        <f>SUM(AccountabilityGAI[[#This Row],[Federal]],AccountabilityGAI[[#This Row],[State]],AccountabilityGAI[[#This Row],[Institutional 
Resources]],AccountabilityGAI[[#This Row],[Private]])</f>
        <v>8389416</v>
      </c>
      <c r="M77" s="341">
        <f>SUMIFS(InputResearch[RR],InputResearch[Institution Name],AccountabilityGAI[[#This Row],[Institution Name]])</f>
        <v>6473422</v>
      </c>
      <c r="N77" s="270">
        <f>IFERROR(ROUND(AccountabilityGAI[[#This Row],[Total Research 
Expenditures]]/VLOOKUP(AccountabilityGAI[[#This Row],[FICE]],FTSEUNIV[[FICE]:[T/TT Fall
Faculty FTE³]],9,FALSE),2),"N/A")</f>
        <v>9363.19</v>
      </c>
      <c r="O77" s="88"/>
    </row>
    <row r="78" spans="1:15">
      <c r="A78" s="79" t="s">
        <v>52</v>
      </c>
      <c r="B78" s="80">
        <f>VLOOKUP(AccountabilityGAI[[#This Row],[Institution Name]],InputResearch[],3,FALSE)</f>
        <v>370</v>
      </c>
      <c r="C78" s="84">
        <v>3646</v>
      </c>
      <c r="D78" s="85">
        <f>SUMIF(InputResearch[Institution Name],AccountabilityGAI[[#This Row],[Institution Name]],InputResearch[Agricultural Sci. Fed])
+SUMIF(InputResearch[Institution Name],AccountabilityGAI[[#This Row],[Institution Name]],InputResearch[Biological &amp; Other Life Sci. Fed])
+SUMIF(InputResearch[Institution Name],AccountabilityGAI[[#This Row],[Institution Name]],InputResearch[Comp. Sci. Fed])
+SUMIF(InputResearch[Institution Name],AccountabilityGAI[[#This Row],[Institution Name]],InputResearch[Engineering Fed])
+SUMIF(InputResearch[Institution Name],AccountabilityGAI[[#This Row],[Institution Name]],InputResearch[Env Sci. Fed])
+SUMIF(InputResearch[Institution Name],AccountabilityGAI[[#This Row],[Institution Name]],InputResearch[Math Fed])
+SUMIF(InputResearch[Institution Name],AccountabilityGAI[[#This Row],[Institution Name]],InputResearch[Medical Fed])
+SUMIF(InputResearch[Institution Name],AccountabilityGAI[[#This Row],[Institution Name]],InputResearch[Physical Sci. Fed])
+SUMIF(InputResearch[Institution Name],AccountabilityGAI[[#This Row],[Institution Name]],InputResearch[Psychology Fed])
+SUMIF(InputResearch[Institution Name],AccountabilityGAI[[#This Row],[Institution Name]],InputResearch[Social Sci. Fed])
+SUMIF(InputResearch[Institution Name],AccountabilityGAI[[#This Row],[Institution Name]],InputResearch[Other Sci. Fed])
+SUMIF(InputResearch[Institution Name],AccountabilityGAI[[#This Row],[Institution Name]],InputResearch[Arts &amp; Humanities Fed])
+SUMIF(InputResearch[Institution Name],AccountabilityGAI[[#This Row],[Institution Name]],InputResearch[Business Fed])
+SUMIF(InputResearch[Institution Name],AccountabilityGAI[[#This Row],[Institution Name]],InputResearch[Education Fed])
+SUMIF(InputResearch[Institution Name],AccountabilityGAI[[#This Row],[Institution Name]],InputResearch[Law Fed])
+SUMIF(InputResearch[Institution Name],AccountabilityGAI[[#This Row],[Institution Name]],InputResearch[Other Non-Sci. Fed])</f>
        <v>2438664</v>
      </c>
      <c r="E78" s="85">
        <f>SUMIF(InputResearch[Institution Name],AccountabilityGAI[[#This Row],[Institution Name]],InputResearch[Agricultural Sci. St. Approp.])
+SUMIF(InputResearch[Institution Name],AccountabilityGAI[[#This Row],[Institution Name]],InputResearch[Biological &amp; Other Life Sci. St. Approp.])
+SUMIF(InputResearch[Institution Name],AccountabilityGAI[[#This Row],[Institution Name]],InputResearch[Comp. Sci. St. Approp.])
+SUMIF(InputResearch[Institution Name],AccountabilityGAI[[#This Row],[Institution Name]],InputResearch[Engineering St. Approp.])
+SUMIF(InputResearch[Institution Name],AccountabilityGAI[[#This Row],[Institution Name]],InputResearch[Env Sci. St. Approp.])
+SUMIF(InputResearch[Institution Name],AccountabilityGAI[[#This Row],[Institution Name]],InputResearch[Math St. Approp.])
+SUMIF(InputResearch[Institution Name],AccountabilityGAI[[#This Row],[Institution Name]],InputResearch[Medical St. Approp.])
+SUMIF(InputResearch[Institution Name],AccountabilityGAI[[#This Row],[Institution Name]],InputResearch[Physical Sci. St. Approp.])
+SUMIF(InputResearch[Institution Name],AccountabilityGAI[[#This Row],[Institution Name]],InputResearch[Psychology St. Approp.])
+SUMIF(InputResearch[Institution Name],AccountabilityGAI[[#This Row],[Institution Name]],InputResearch[Social Sci. St. Approp.])
+SUMIF(InputResearch[Institution Name],AccountabilityGAI[[#This Row],[Institution Name]],InputResearch[Other Sci. St. Approp.])
+SUMIF(InputResearch[Institution Name],AccountabilityGAI[[#This Row],[Institution Name]],InputResearch[Arts &amp; Humanities St. Approp.])
+SUMIF(InputResearch[Institution Name],AccountabilityGAI[[#This Row],[Institution Name]],InputResearch[Business St. Approp.])
+SUMIF(InputResearch[Institution Name],AccountabilityGAI[[#This Row],[Institution Name]],InputResearch[Education St. Approp.])
+SUMIF(InputResearch[Institution Name],AccountabilityGAI[[#This Row],[Institution Name]],InputResearch[Law St. Approp.])
+SUMIF(InputResearch[Institution Name],AccountabilityGAI[[#This Row],[Institution Name]],InputResearch[Other Non-Sci. St. Approp.])</f>
        <v>2933242</v>
      </c>
      <c r="F78" s="85">
        <f>SUMIF(InputResearch[Institution Name],AccountabilityGAI[[#This Row],[Institution Name]],InputResearch[Agricultural Sci. St. C&amp;G])
+SUMIF(InputResearch[Institution Name],AccountabilityGAI[[#This Row],[Institution Name]],InputResearch[Biological &amp; Other Life Sci. St. C&amp;G])
+SUMIF(InputResearch[Institution Name],AccountabilityGAI[[#This Row],[Institution Name]],InputResearch[Comp. Sci. St. C&amp;G])
+SUMIF(InputResearch[Institution Name],AccountabilityGAI[[#This Row],[Institution Name]],InputResearch[Engineering St. C&amp;G])
+SUMIF(InputResearch[Institution Name],AccountabilityGAI[[#This Row],[Institution Name]],InputResearch[Env Sci. St. C&amp;G])
+SUMIF(InputResearch[Institution Name],AccountabilityGAI[[#This Row],[Institution Name]],InputResearch[Math St. C&amp;G])
+SUMIF(InputResearch[Institution Name],AccountabilityGAI[[#This Row],[Institution Name]],InputResearch[Medical St. C&amp;G])
+SUMIF(InputResearch[Institution Name],AccountabilityGAI[[#This Row],[Institution Name]],InputResearch[Physical Sci. St. C&amp;G])
+SUMIF(InputResearch[Institution Name],AccountabilityGAI[[#This Row],[Institution Name]],InputResearch[Psychology St. C&amp;G])
+SUMIF(InputResearch[Institution Name],AccountabilityGAI[[#This Row],[Institution Name]],InputResearch[Social Sci. St. C&amp;G])
+SUMIF(InputResearch[Institution Name],AccountabilityGAI[[#This Row],[Institution Name]],InputResearch[Other Sci. St. C&amp;G])
+SUMIF(InputResearch[Institution Name],AccountabilityGAI[[#This Row],[Institution Name]],InputResearch[Arts &amp; Humanities St. C&amp;G])
+SUMIF(InputResearch[Institution Name],AccountabilityGAI[[#This Row],[Institution Name]],InputResearch[Business St. C&amp;G])
+SUMIF(InputResearch[Institution Name],AccountabilityGAI[[#This Row],[Institution Name]],InputResearch[Education St. C&amp;G])
+SUMIF(InputResearch[Institution Name],AccountabilityGAI[[#This Row],[Institution Name]],InputResearch[Law St. C&amp;G])
+SUMIF(InputResearch[Institution Name],AccountabilityGAI[[#This Row],[Institution Name]],InputResearch[Other Non-Sci. St. C&amp;G])</f>
        <v>150918</v>
      </c>
      <c r="G78" s="270">
        <f>SUM(AccountabilityGAI[[#This Row],[State 
Appropriation]],AccountabilityGAI[[#This Row],[State 
Contracts/Grants]])</f>
        <v>3084160</v>
      </c>
      <c r="H78" s="85">
        <f>SUMIF(InputResearch[Institution Name],AccountabilityGAI[[#This Row],[Institution Name]],InputResearch[Agricultural Sci. Inst Res])
+SUMIF(InputResearch[Institution Name],AccountabilityGAI[[#This Row],[Institution Name]],InputResearch[Biological &amp; Other Life Sci. Inst Res])
+SUMIF(InputResearch[Institution Name],AccountabilityGAI[[#This Row],[Institution Name]],InputResearch[Comp. Sci. Inst Res])
+SUMIF(InputResearch[Institution Name],AccountabilityGAI[[#This Row],[Institution Name]],InputResearch[Engineering Inst Res])
+SUMIF(InputResearch[Institution Name],AccountabilityGAI[[#This Row],[Institution Name]],InputResearch[Env Sci. Inst Res])
+SUMIF(InputResearch[Institution Name],AccountabilityGAI[[#This Row],[Institution Name]],InputResearch[Math Inst Res])
+SUMIF(InputResearch[Institution Name],AccountabilityGAI[[#This Row],[Institution Name]],InputResearch[Medical Inst Res])
+SUMIF(InputResearch[Institution Name],AccountabilityGAI[[#This Row],[Institution Name]],InputResearch[Physical Sci. Inst Res])
+SUMIF(InputResearch[Institution Name],AccountabilityGAI[[#This Row],[Institution Name]],InputResearch[Psychology Inst Res])
+SUMIF(InputResearch[Institution Name],AccountabilityGAI[[#This Row],[Institution Name]],InputResearch[Social Sci. Inst Res])
+SUMIF(InputResearch[Institution Name],AccountabilityGAI[[#This Row],[Institution Name]],InputResearch[Other Sci. Inst Res])
+SUMIF(InputResearch[Institution Name],AccountabilityGAI[[#This Row],[Institution Name]],InputResearch[Arts &amp; Humanities Inst Res])
+SUMIF(InputResearch[Institution Name],AccountabilityGAI[[#This Row],[Institution Name]],InputResearch[Business Inst Res])
+SUMIF(InputResearch[Institution Name],AccountabilityGAI[[#This Row],[Institution Name]],InputResearch[Education Inst Res])
+SUMIF(InputResearch[Institution Name],AccountabilityGAI[[#This Row],[Institution Name]],InputResearch[Law Inst Res])
+SUMIF(InputResearch[Institution Name],AccountabilityGAI[[#This Row],[Institution Name]],InputResearch[Other Non-Sci. Inst Res])</f>
        <v>1395635</v>
      </c>
      <c r="I78" s="85">
        <f>SUMIF(InputResearch[Institution Name],AccountabilityGAI[[#This Row],[Institution Name]],InputResearch[Agricultural Sci. PFP])
+SUMIF(InputResearch[Institution Name],AccountabilityGAI[[#This Row],[Institution Name]],InputResearch[Biological &amp; Other Life Sci. PFP])
+SUMIF(InputResearch[Institution Name],AccountabilityGAI[[#This Row],[Institution Name]],InputResearch[Comp. Sci. PFP])
+SUMIF(InputResearch[Institution Name],AccountabilityGAI[[#This Row],[Institution Name]],InputResearch[Engineering PFP])
+SUMIF(InputResearch[Institution Name],AccountabilityGAI[[#This Row],[Institution Name]],InputResearch[Env Sci. PFP])
+SUMIF(InputResearch[Institution Name],AccountabilityGAI[[#This Row],[Institution Name]],InputResearch[Math PFP])
+SUMIF(InputResearch[Institution Name],AccountabilityGAI[[#This Row],[Institution Name]],InputResearch[Medical PFP])
+SUMIF(InputResearch[Institution Name],AccountabilityGAI[[#This Row],[Institution Name]],InputResearch[Physical Sci. PFP])
+SUMIF(InputResearch[Institution Name],AccountabilityGAI[[#This Row],[Institution Name]],InputResearch[Psychology PFP])
+SUMIF(InputResearch[Institution Name],AccountabilityGAI[[#This Row],[Institution Name]],InputResearch[Social Sci. PFP])
+SUMIF(InputResearch[Institution Name],AccountabilityGAI[[#This Row],[Institution Name]],InputResearch[Other Sci. PFP])
+SUMIF(InputResearch[Institution Name],AccountabilityGAI[[#This Row],[Institution Name]],InputResearch[Arts &amp; Humanities PFP])
+SUMIF(InputResearch[Institution Name],AccountabilityGAI[[#This Row],[Institution Name]],InputResearch[Business PFP])
+SUMIF(InputResearch[Institution Name],AccountabilityGAI[[#This Row],[Institution Name]],InputResearch[Education PFP])
+SUMIF(InputResearch[Institution Name],AccountabilityGAI[[#This Row],[Institution Name]],InputResearch[Law PFP])
+SUMIF(InputResearch[Institution Name],AccountabilityGAI[[#This Row],[Institution Name]],InputResearch[Other Non-Sci. PFP])</f>
        <v>166064</v>
      </c>
      <c r="J78" s="85">
        <f>SUMIF(InputResearch[Institution Name],AccountabilityGAI[[#This Row],[Institution Name]],InputResearch[Agricultural Sci. PNP])
+SUMIF(InputResearch[Institution Name],AccountabilityGAI[[#This Row],[Institution Name]],InputResearch[Biological &amp; Other Life Sci. PNP])
+SUMIF(InputResearch[Institution Name],AccountabilityGAI[[#This Row],[Institution Name]],InputResearch[Comp. Sci. PNP])
+SUMIF(InputResearch[Institution Name],AccountabilityGAI[[#This Row],[Institution Name]],InputResearch[Engineering PNP])
+SUMIF(InputResearch[Institution Name],AccountabilityGAI[[#This Row],[Institution Name]],InputResearch[Env Sci. PNP])
+SUMIF(InputResearch[Institution Name],AccountabilityGAI[[#This Row],[Institution Name]],InputResearch[Math PNP])
+SUMIF(InputResearch[Institution Name],AccountabilityGAI[[#This Row],[Institution Name]],InputResearch[Medical PNP])
+SUMIF(InputResearch[Institution Name],AccountabilityGAI[[#This Row],[Institution Name]],InputResearch[Physical Sci. PNP])
+SUMIF(InputResearch[Institution Name],AccountabilityGAI[[#This Row],[Institution Name]],InputResearch[Psychology PNP])
+SUMIF(InputResearch[Institution Name],AccountabilityGAI[[#This Row],[Institution Name]],InputResearch[Social Sci. PNP])
+SUMIF(InputResearch[Institution Name],AccountabilityGAI[[#This Row],[Institution Name]],InputResearch[Other Sci. PNP])
+SUMIF(InputResearch[Institution Name],AccountabilityGAI[[#This Row],[Institution Name]],InputResearch[Arts &amp; Humanities PNP])
+SUMIF(InputResearch[Institution Name],AccountabilityGAI[[#This Row],[Institution Name]],InputResearch[Business PNP])
+SUMIF(InputResearch[Institution Name],AccountabilityGAI[[#This Row],[Institution Name]],InputResearch[Education PNP])
+SUMIF(InputResearch[Institution Name],AccountabilityGAI[[#This Row],[Institution Name]],InputResearch[Law PNP])
+SUMIF(InputResearch[Institution Name],AccountabilityGAI[[#This Row],[Institution Name]],InputResearch[Other Non-Sci. PNP])</f>
        <v>785322</v>
      </c>
      <c r="K78" s="270">
        <f>SUM(AccountabilityGAI[[#This Row],[Private 
For Profit]],AccountabilityGAI[[#This Row],[Private 
Nonprofit]])</f>
        <v>951386</v>
      </c>
      <c r="L78" s="270">
        <f>SUM(AccountabilityGAI[[#This Row],[Federal]],AccountabilityGAI[[#This Row],[State]],AccountabilityGAI[[#This Row],[Institutional 
Resources]],AccountabilityGAI[[#This Row],[Private]])</f>
        <v>7869845</v>
      </c>
      <c r="M78" s="341">
        <f>SUMIFS(InputResearch[RR],InputResearch[Institution Name],AccountabilityGAI[[#This Row],[Institution Name]])</f>
        <v>4415309</v>
      </c>
      <c r="N78" s="270">
        <f>IFERROR(ROUND(AccountabilityGAI[[#This Row],[Total Research 
Expenditures]]/VLOOKUP(AccountabilityGAI[[#This Row],[FICE]],FTSEUNIV[[FICE]:[T/TT Fall
Faculty FTE³]],9,FALSE),2),"N/A")</f>
        <v>5565.66</v>
      </c>
      <c r="O78" s="88"/>
    </row>
    <row r="79" spans="1:15">
      <c r="A79" s="113"/>
      <c r="B79" s="63"/>
      <c r="C79" s="63"/>
      <c r="D79" s="333">
        <f>SUBTOTAL(109,AccountabilityGAI[Federal])</f>
        <v>1675957288</v>
      </c>
      <c r="E79" s="333"/>
      <c r="F79" s="333"/>
      <c r="G79" s="333">
        <f>SUBTOTAL(109,AccountabilityGAI[State])</f>
        <v>657375593</v>
      </c>
      <c r="H79" s="333">
        <f>SUBTOTAL(109,AccountabilityGAI[Institutional 
Resources])</f>
        <v>683058554</v>
      </c>
      <c r="I79" s="333"/>
      <c r="J79" s="333"/>
      <c r="K79" s="333">
        <f>SUBTOTAL(109,AccountabilityGAI[Private])</f>
        <v>419500284</v>
      </c>
      <c r="L79" s="333">
        <f>SUBTOTAL(109,AccountabilityGAI[Total Research 
Expenditures])</f>
        <v>3435891719</v>
      </c>
      <c r="M79" s="342">
        <f>SUBTOTAL(109,AccountabilityGAI[Total Research 
Expenditures 
Per T/TT FTE¹])</f>
        <v>1027853.6099999998</v>
      </c>
      <c r="N79" s="333"/>
      <c r="O79" s="88"/>
    </row>
    <row r="80" spans="1:15">
      <c r="A80" s="483" t="s">
        <v>976</v>
      </c>
      <c r="B80" s="483"/>
      <c r="C80" s="483"/>
      <c r="D80" s="483"/>
      <c r="E80" s="483"/>
      <c r="F80" s="483"/>
      <c r="G80" s="483"/>
      <c r="H80" s="483"/>
      <c r="I80" s="483"/>
      <c r="J80" s="483"/>
      <c r="K80" s="483"/>
      <c r="L80" s="483"/>
      <c r="M80" s="483"/>
      <c r="N80" s="483"/>
      <c r="O80" s="88"/>
    </row>
    <row r="81" spans="1:15" ht="15.6">
      <c r="A81" s="481" t="s">
        <v>1006</v>
      </c>
      <c r="B81" s="481"/>
      <c r="C81" s="481"/>
      <c r="D81" s="481"/>
      <c r="E81" s="481"/>
      <c r="F81" s="481"/>
      <c r="G81" s="481"/>
      <c r="H81" s="481"/>
      <c r="I81" s="481"/>
      <c r="J81" s="481"/>
      <c r="K81" s="481"/>
      <c r="L81" s="481"/>
      <c r="M81" s="481"/>
      <c r="N81" s="481"/>
      <c r="O81" s="88"/>
    </row>
    <row r="82" spans="1:15" ht="15.6">
      <c r="A82" s="42"/>
      <c r="B82" s="42"/>
      <c r="C82" s="42"/>
      <c r="D82" s="42"/>
      <c r="E82" s="42"/>
      <c r="F82" s="42"/>
      <c r="G82" s="42"/>
      <c r="H82" s="42"/>
      <c r="I82" s="42"/>
      <c r="J82" s="42"/>
      <c r="K82" s="42"/>
      <c r="L82" s="42"/>
      <c r="M82" s="42"/>
      <c r="N82" s="88"/>
      <c r="O82" s="88"/>
    </row>
    <row r="83" spans="1:15" ht="33" customHeight="1">
      <c r="A83" s="439" t="s">
        <v>989</v>
      </c>
      <c r="B83" s="440"/>
      <c r="C83" s="440"/>
      <c r="D83" s="440"/>
      <c r="E83" s="440"/>
      <c r="F83" s="440"/>
      <c r="G83" s="440"/>
      <c r="H83" s="440"/>
      <c r="I83" s="440"/>
      <c r="J83" s="440"/>
      <c r="K83" s="440"/>
      <c r="L83" s="440"/>
      <c r="M83" s="42"/>
      <c r="N83" s="88"/>
      <c r="O83" s="88"/>
    </row>
    <row r="84" spans="1:15" ht="17.399999999999999">
      <c r="A84" s="438">
        <f>Hidden!$A$4</f>
        <v>45412</v>
      </c>
      <c r="B84" s="438"/>
      <c r="C84" s="438"/>
      <c r="D84" s="438"/>
      <c r="E84" s="438"/>
      <c r="F84" s="438"/>
      <c r="G84" s="438"/>
      <c r="H84" s="438"/>
      <c r="I84" s="438"/>
      <c r="J84" s="438"/>
      <c r="K84" s="438"/>
      <c r="L84" s="438"/>
      <c r="M84" s="42"/>
      <c r="N84" s="88"/>
      <c r="O84" s="88"/>
    </row>
    <row r="85" spans="1:15" ht="15.6">
      <c r="A85" s="88"/>
      <c r="B85" s="89"/>
      <c r="C85" s="88"/>
      <c r="D85" s="88"/>
      <c r="E85" s="88"/>
      <c r="F85" s="88"/>
      <c r="G85" s="88"/>
      <c r="H85" s="88"/>
      <c r="I85" s="88"/>
      <c r="J85" s="88"/>
      <c r="K85" s="88"/>
      <c r="L85" s="88"/>
      <c r="M85" s="42"/>
      <c r="N85" s="88"/>
      <c r="O85" s="88"/>
    </row>
    <row r="86" spans="1:15" ht="30.6">
      <c r="A86" s="81" t="s">
        <v>1</v>
      </c>
      <c r="B86" s="82" t="s">
        <v>889</v>
      </c>
      <c r="C86" s="82" t="s">
        <v>2</v>
      </c>
      <c r="D86" s="82" t="s">
        <v>100</v>
      </c>
      <c r="E86" s="82" t="s">
        <v>669</v>
      </c>
      <c r="F86" s="82" t="s">
        <v>670</v>
      </c>
      <c r="G86" s="82" t="s">
        <v>671</v>
      </c>
      <c r="H86" s="82" t="s">
        <v>672</v>
      </c>
      <c r="I86" s="82" t="s">
        <v>673</v>
      </c>
      <c r="J86" s="82" t="s">
        <v>674</v>
      </c>
      <c r="K86" s="82" t="s">
        <v>675</v>
      </c>
      <c r="L86" s="82" t="s">
        <v>847</v>
      </c>
      <c r="M86" s="42"/>
      <c r="N86" s="88"/>
      <c r="O86" s="88"/>
    </row>
    <row r="87" spans="1:15" ht="15.6">
      <c r="A87" s="79" t="s">
        <v>27</v>
      </c>
      <c r="B87" s="80">
        <f>VLOOKUP(AccountabilityTAMUSS[[#This Row],[Institution Name]],InputResearch[],3,FALSE)</f>
        <v>130</v>
      </c>
      <c r="C87" s="84">
        <v>3632</v>
      </c>
      <c r="D87" s="85">
        <f>SUMIF(InputResearch[Institution Name],AccountabilityTAMUSS[[#This Row],[Institution Name]],InputResearch[Agricultural Sci. Fed])
+SUMIF(InputResearch[Institution Name],AccountabilityTAMUSS[[#This Row],[Institution Name]],InputResearch[Biological &amp; Other Life Sci. Fed])
+SUMIF(InputResearch[Institution Name],AccountabilityTAMUSS[[#This Row],[Institution Name]],InputResearch[Comp. Sci. Fed])
+SUMIF(InputResearch[Institution Name],AccountabilityTAMUSS[[#This Row],[Institution Name]],InputResearch[Engineering Fed])
+SUMIF(InputResearch[Institution Name],AccountabilityTAMUSS[[#This Row],[Institution Name]],InputResearch[Env Sci. Fed])
+SUMIF(InputResearch[Institution Name],AccountabilityTAMUSS[[#This Row],[Institution Name]],InputResearch[Math Fed])
+SUMIF(InputResearch[Institution Name],AccountabilityTAMUSS[[#This Row],[Institution Name]],InputResearch[Medical Fed])
+SUMIF(InputResearch[Institution Name],AccountabilityTAMUSS[[#This Row],[Institution Name]],InputResearch[Physical Sci. Fed])
+SUMIF(InputResearch[Institution Name],AccountabilityTAMUSS[[#This Row],[Institution Name]],InputResearch[Psychology Fed])
+SUMIF(InputResearch[Institution Name],AccountabilityTAMUSS[[#This Row],[Institution Name]],InputResearch[Social Sci. Fed])
+SUMIF(InputResearch[Institution Name],AccountabilityTAMUSS[[#This Row],[Institution Name]],InputResearch[Other Sci. Fed])
+SUMIF(InputResearch[Institution Name],AccountabilityTAMUSS[[#This Row],[Institution Name]],InputResearch[Arts &amp; Humanities Fed])
+SUMIF(InputResearch[Institution Name],AccountabilityTAMUSS[[#This Row],[Institution Name]],InputResearch[Business Fed])
+SUMIF(InputResearch[Institution Name],AccountabilityTAMUSS[[#This Row],[Institution Name]],InputResearch[Education Fed])
+SUMIF(InputResearch[Institution Name],AccountabilityTAMUSS[[#This Row],[Institution Name]],InputResearch[Law Fed])
+SUMIF(InputResearch[Institution Name],AccountabilityTAMUSS[[#This Row],[Institution Name]],InputResearch[Other Non-Sci. Fed])</f>
        <v>184971707</v>
      </c>
      <c r="E87" s="85">
        <f>SUMIF(InputResearch[Institution Name],AccountabilityTAMUSS[[#This Row],[Institution Name]],InputResearch[Agricultural Sci. St. Approp.])
+SUMIF(InputResearch[Institution Name],AccountabilityTAMUSS[[#This Row],[Institution Name]],InputResearch[Biological &amp; Other Life Sci. St. Approp.])
+SUMIF(InputResearch[Institution Name],AccountabilityTAMUSS[[#This Row],[Institution Name]],InputResearch[Comp. Sci. St. Approp.])
+SUMIF(InputResearch[Institution Name],AccountabilityTAMUSS[[#This Row],[Institution Name]],InputResearch[Engineering St. Approp.])
+SUMIF(InputResearch[Institution Name],AccountabilityTAMUSS[[#This Row],[Institution Name]],InputResearch[Env Sci. St. Approp.])
+SUMIF(InputResearch[Institution Name],AccountabilityTAMUSS[[#This Row],[Institution Name]],InputResearch[Math St. Approp.])
+SUMIF(InputResearch[Institution Name],AccountabilityTAMUSS[[#This Row],[Institution Name]],InputResearch[Medical St. Approp.])
+SUMIF(InputResearch[Institution Name],AccountabilityTAMUSS[[#This Row],[Institution Name]],InputResearch[Physical Sci. St. Approp.])
+SUMIF(InputResearch[Institution Name],AccountabilityTAMUSS[[#This Row],[Institution Name]],InputResearch[Psychology St. Approp.])
+SUMIF(InputResearch[Institution Name],AccountabilityTAMUSS[[#This Row],[Institution Name]],InputResearch[Social Sci. St. Approp.])
+SUMIF(InputResearch[Institution Name],AccountabilityTAMUSS[[#This Row],[Institution Name]],InputResearch[Other Sci. St. Approp.])
+SUMIF(InputResearch[Institution Name],AccountabilityTAMUSS[[#This Row],[Institution Name]],InputResearch[Arts &amp; Humanities St. Approp.])
+SUMIF(InputResearch[Institution Name],AccountabilityTAMUSS[[#This Row],[Institution Name]],InputResearch[Business St. Approp.])
+SUMIF(InputResearch[Institution Name],AccountabilityTAMUSS[[#This Row],[Institution Name]],InputResearch[Education St. Approp.])
+SUMIF(InputResearch[Institution Name],AccountabilityTAMUSS[[#This Row],[Institution Name]],InputResearch[Law St. Approp.])
+SUMIF(InputResearch[Institution Name],AccountabilityTAMUSS[[#This Row],[Institution Name]],InputResearch[Other Non-Sci. St. Approp.])</f>
        <v>11855372</v>
      </c>
      <c r="F87" s="85">
        <f>SUMIF(InputResearch[Institution Name],AccountabilityTAMUSS[[#This Row],[Institution Name]],InputResearch[Agricultural Sci. St. C&amp;G])
+SUMIF(InputResearch[Institution Name],AccountabilityTAMUSS[[#This Row],[Institution Name]],InputResearch[Biological &amp; Other Life Sci. St. C&amp;G])
+SUMIF(InputResearch[Institution Name],AccountabilityTAMUSS[[#This Row],[Institution Name]],InputResearch[Comp. Sci. St. C&amp;G])
+SUMIF(InputResearch[Institution Name],AccountabilityTAMUSS[[#This Row],[Institution Name]],InputResearch[Engineering St. C&amp;G])
+SUMIF(InputResearch[Institution Name],AccountabilityTAMUSS[[#This Row],[Institution Name]],InputResearch[Env Sci. St. C&amp;G])
+SUMIF(InputResearch[Institution Name],AccountabilityTAMUSS[[#This Row],[Institution Name]],InputResearch[Math St. C&amp;G])
+SUMIF(InputResearch[Institution Name],AccountabilityTAMUSS[[#This Row],[Institution Name]],InputResearch[Medical St. C&amp;G])
+SUMIF(InputResearch[Institution Name],AccountabilityTAMUSS[[#This Row],[Institution Name]],InputResearch[Physical Sci. St. C&amp;G])
+SUMIF(InputResearch[Institution Name],AccountabilityTAMUSS[[#This Row],[Institution Name]],InputResearch[Psychology St. C&amp;G])
+SUMIF(InputResearch[Institution Name],AccountabilityTAMUSS[[#This Row],[Institution Name]],InputResearch[Social Sci. St. C&amp;G])
+SUMIF(InputResearch[Institution Name],AccountabilityTAMUSS[[#This Row],[Institution Name]],InputResearch[Other Sci. St. C&amp;G])
+SUMIF(InputResearch[Institution Name],AccountabilityTAMUSS[[#This Row],[Institution Name]],InputResearch[Arts &amp; Humanities St. C&amp;G])
+SUMIF(InputResearch[Institution Name],AccountabilityTAMUSS[[#This Row],[Institution Name]],InputResearch[Business St. C&amp;G])
+SUMIF(InputResearch[Institution Name],AccountabilityTAMUSS[[#This Row],[Institution Name]],InputResearch[Education St. C&amp;G])
+SUMIF(InputResearch[Institution Name],AccountabilityTAMUSS[[#This Row],[Institution Name]],InputResearch[Law St. C&amp;G])
+SUMIF(InputResearch[Institution Name],AccountabilityTAMUSS[[#This Row],[Institution Name]],InputResearch[Other Non-Sci. St. C&amp;G])</f>
        <v>13857470</v>
      </c>
      <c r="G87" s="270">
        <f>SUM(AccountabilityTAMUSS[[#This Row],[State 
Appropriation]],AccountabilityTAMUSS[[#This Row],[State 
Contracts/Grants]])</f>
        <v>25712842</v>
      </c>
      <c r="H87" s="85">
        <f>SUMIF(InputResearch[Institution Name],AccountabilityTAMUSS[[#This Row],[Institution Name]],InputResearch[Agricultural Sci. Inst Res])
+SUMIF(InputResearch[Institution Name],AccountabilityTAMUSS[[#This Row],[Institution Name]],InputResearch[Biological &amp; Other Life Sci. Inst Res])
+SUMIF(InputResearch[Institution Name],AccountabilityTAMUSS[[#This Row],[Institution Name]],InputResearch[Comp. Sci. Inst Res])
+SUMIF(InputResearch[Institution Name],AccountabilityTAMUSS[[#This Row],[Institution Name]],InputResearch[Engineering Inst Res])
+SUMIF(InputResearch[Institution Name],AccountabilityTAMUSS[[#This Row],[Institution Name]],InputResearch[Env Sci. Inst Res])
+SUMIF(InputResearch[Institution Name],AccountabilityTAMUSS[[#This Row],[Institution Name]],InputResearch[Math Inst Res])
+SUMIF(InputResearch[Institution Name],AccountabilityTAMUSS[[#This Row],[Institution Name]],InputResearch[Medical Inst Res])
+SUMIF(InputResearch[Institution Name],AccountabilityTAMUSS[[#This Row],[Institution Name]],InputResearch[Physical Sci. Inst Res])
+SUMIF(InputResearch[Institution Name],AccountabilityTAMUSS[[#This Row],[Institution Name]],InputResearch[Psychology Inst Res])
+SUMIF(InputResearch[Institution Name],AccountabilityTAMUSS[[#This Row],[Institution Name]],InputResearch[Social Sci. Inst Res])
+SUMIF(InputResearch[Institution Name],AccountabilityTAMUSS[[#This Row],[Institution Name]],InputResearch[Other Sci. Inst Res])
+SUMIF(InputResearch[Institution Name],AccountabilityTAMUSS[[#This Row],[Institution Name]],InputResearch[Arts &amp; Humanities Inst Res])
+SUMIF(InputResearch[Institution Name],AccountabilityTAMUSS[[#This Row],[Institution Name]],InputResearch[Business Inst Res])
+SUMIF(InputResearch[Institution Name],AccountabilityTAMUSS[[#This Row],[Institution Name]],InputResearch[Education Inst Res])
+SUMIF(InputResearch[Institution Name],AccountabilityTAMUSS[[#This Row],[Institution Name]],InputResearch[Law Inst Res])
+SUMIF(InputResearch[Institution Name],AccountabilityTAMUSS[[#This Row],[Institution Name]],InputResearch[Other Non-Sci. Inst Res])</f>
        <v>92818523</v>
      </c>
      <c r="I87" s="85">
        <f>SUMIF(InputResearch[Institution Name],AccountabilityTAMUSS[[#This Row],[Institution Name]],InputResearch[Agricultural Sci. PFP])
+SUMIF(InputResearch[Institution Name],AccountabilityTAMUSS[[#This Row],[Institution Name]],InputResearch[Biological &amp; Other Life Sci. PFP])
+SUMIF(InputResearch[Institution Name],AccountabilityTAMUSS[[#This Row],[Institution Name]],InputResearch[Comp. Sci. PFP])
+SUMIF(InputResearch[Institution Name],AccountabilityTAMUSS[[#This Row],[Institution Name]],InputResearch[Engineering PFP])
+SUMIF(InputResearch[Institution Name],AccountabilityTAMUSS[[#This Row],[Institution Name]],InputResearch[Env Sci. PFP])
+SUMIF(InputResearch[Institution Name],AccountabilityTAMUSS[[#This Row],[Institution Name]],InputResearch[Math PFP])
+SUMIF(InputResearch[Institution Name],AccountabilityTAMUSS[[#This Row],[Institution Name]],InputResearch[Medical PFP])
+SUMIF(InputResearch[Institution Name],AccountabilityTAMUSS[[#This Row],[Institution Name]],InputResearch[Physical Sci. PFP])
+SUMIF(InputResearch[Institution Name],AccountabilityTAMUSS[[#This Row],[Institution Name]],InputResearch[Psychology PFP])
+SUMIF(InputResearch[Institution Name],AccountabilityTAMUSS[[#This Row],[Institution Name]],InputResearch[Social Sci. PFP])
+SUMIF(InputResearch[Institution Name],AccountabilityTAMUSS[[#This Row],[Institution Name]],InputResearch[Other Sci. PFP])
+SUMIF(InputResearch[Institution Name],AccountabilityTAMUSS[[#This Row],[Institution Name]],InputResearch[Arts &amp; Humanities PFP])
+SUMIF(InputResearch[Institution Name],AccountabilityTAMUSS[[#This Row],[Institution Name]],InputResearch[Business PFP])
+SUMIF(InputResearch[Institution Name],AccountabilityTAMUSS[[#This Row],[Institution Name]],InputResearch[Education PFP])
+SUMIF(InputResearch[Institution Name],AccountabilityTAMUSS[[#This Row],[Institution Name]],InputResearch[Law PFP])
+SUMIF(InputResearch[Institution Name],AccountabilityTAMUSS[[#This Row],[Institution Name]],InputResearch[Other Non-Sci. PFP])</f>
        <v>11161666</v>
      </c>
      <c r="J87" s="85">
        <f>SUMIF(InputResearch[Institution Name],AccountabilityTAMUSS[[#This Row],[Institution Name]],InputResearch[Agricultural Sci. PNP])
+SUMIF(InputResearch[Institution Name],AccountabilityTAMUSS[[#This Row],[Institution Name]],InputResearch[Biological &amp; Other Life Sci. PNP])
+SUMIF(InputResearch[Institution Name],AccountabilityTAMUSS[[#This Row],[Institution Name]],InputResearch[Comp. Sci. PNP])
+SUMIF(InputResearch[Institution Name],AccountabilityTAMUSS[[#This Row],[Institution Name]],InputResearch[Engineering PNP])
+SUMIF(InputResearch[Institution Name],AccountabilityTAMUSS[[#This Row],[Institution Name]],InputResearch[Env Sci. PNP])
+SUMIF(InputResearch[Institution Name],AccountabilityTAMUSS[[#This Row],[Institution Name]],InputResearch[Math PNP])
+SUMIF(InputResearch[Institution Name],AccountabilityTAMUSS[[#This Row],[Institution Name]],InputResearch[Medical PNP])
+SUMIF(InputResearch[Institution Name],AccountabilityTAMUSS[[#This Row],[Institution Name]],InputResearch[Physical Sci. PNP])
+SUMIF(InputResearch[Institution Name],AccountabilityTAMUSS[[#This Row],[Institution Name]],InputResearch[Psychology PNP])
+SUMIF(InputResearch[Institution Name],AccountabilityTAMUSS[[#This Row],[Institution Name]],InputResearch[Social Sci. PNP])
+SUMIF(InputResearch[Institution Name],AccountabilityTAMUSS[[#This Row],[Institution Name]],InputResearch[Other Sci. PNP])
+SUMIF(InputResearch[Institution Name],AccountabilityTAMUSS[[#This Row],[Institution Name]],InputResearch[Arts &amp; Humanities PNP])
+SUMIF(InputResearch[Institution Name],AccountabilityTAMUSS[[#This Row],[Institution Name]],InputResearch[Business PNP])
+SUMIF(InputResearch[Institution Name],AccountabilityTAMUSS[[#This Row],[Institution Name]],InputResearch[Education PNP])
+SUMIF(InputResearch[Institution Name],AccountabilityTAMUSS[[#This Row],[Institution Name]],InputResearch[Law PNP])
+SUMIF(InputResearch[Institution Name],AccountabilityTAMUSS[[#This Row],[Institution Name]],InputResearch[Other Non-Sci. PNP])</f>
        <v>51214331</v>
      </c>
      <c r="K87" s="270">
        <f>SUM(AccountabilityTAMUSS[[#This Row],[Private 
For Profit]],AccountabilityTAMUSS[[#This Row],[Private 
Nonprofit]])</f>
        <v>62375997</v>
      </c>
      <c r="L87" s="270">
        <f>SUM(AccountabilityTAMUSS[[#This Row],[Federal]],AccountabilityTAMUSS[[#This Row],[State]],AccountabilityTAMUSS[[#This Row],[Institutional 
Resources]],AccountabilityTAMUSS[[#This Row],[Private]])</f>
        <v>365879069</v>
      </c>
      <c r="M87" s="42"/>
      <c r="N87" s="88"/>
      <c r="O87" s="88"/>
    </row>
    <row r="88" spans="1:15" ht="15.6">
      <c r="A88" s="79" t="s">
        <v>54</v>
      </c>
      <c r="B88" s="80">
        <f>VLOOKUP(AccountabilityTAMUSS[[#This Row],[Institution Name]],InputResearch[],3,FALSE)</f>
        <v>605</v>
      </c>
      <c r="C88" s="84">
        <v>555</v>
      </c>
      <c r="D88" s="85">
        <f>SUMIF(InputResearch[Institution Name],AccountabilityTAMUSS[[#This Row],[Institution Name]],InputResearch[Agricultural Sci. Fed])
+SUMIF(InputResearch[Institution Name],AccountabilityTAMUSS[[#This Row],[Institution Name]],InputResearch[Biological &amp; Other Life Sci. Fed])
+SUMIF(InputResearch[Institution Name],AccountabilityTAMUSS[[#This Row],[Institution Name]],InputResearch[Comp. Sci. Fed])
+SUMIF(InputResearch[Institution Name],AccountabilityTAMUSS[[#This Row],[Institution Name]],InputResearch[Engineering Fed])
+SUMIF(InputResearch[Institution Name],AccountabilityTAMUSS[[#This Row],[Institution Name]],InputResearch[Env Sci. Fed])
+SUMIF(InputResearch[Institution Name],AccountabilityTAMUSS[[#This Row],[Institution Name]],InputResearch[Math Fed])
+SUMIF(InputResearch[Institution Name],AccountabilityTAMUSS[[#This Row],[Institution Name]],InputResearch[Medical Fed])
+SUMIF(InputResearch[Institution Name],AccountabilityTAMUSS[[#This Row],[Institution Name]],InputResearch[Physical Sci. Fed])
+SUMIF(InputResearch[Institution Name],AccountabilityTAMUSS[[#This Row],[Institution Name]],InputResearch[Psychology Fed])
+SUMIF(InputResearch[Institution Name],AccountabilityTAMUSS[[#This Row],[Institution Name]],InputResearch[Social Sci. Fed])
+SUMIF(InputResearch[Institution Name],AccountabilityTAMUSS[[#This Row],[Institution Name]],InputResearch[Other Sci. Fed])
+SUMIF(InputResearch[Institution Name],AccountabilityTAMUSS[[#This Row],[Institution Name]],InputResearch[Arts &amp; Humanities Fed])
+SUMIF(InputResearch[Institution Name],AccountabilityTAMUSS[[#This Row],[Institution Name]],InputResearch[Business Fed])
+SUMIF(InputResearch[Institution Name],AccountabilityTAMUSS[[#This Row],[Institution Name]],InputResearch[Education Fed])
+SUMIF(InputResearch[Institution Name],AccountabilityTAMUSS[[#This Row],[Institution Name]],InputResearch[Law Fed])
+SUMIF(InputResearch[Institution Name],AccountabilityTAMUSS[[#This Row],[Institution Name]],InputResearch[Other Non-Sci. Fed])</f>
        <v>211949</v>
      </c>
      <c r="E88" s="85">
        <f>SUMIF(InputResearch[Institution Name],AccountabilityTAMUSS[[#This Row],[Institution Name]],InputResearch[Agricultural Sci. St. Approp.])
+SUMIF(InputResearch[Institution Name],AccountabilityTAMUSS[[#This Row],[Institution Name]],InputResearch[Biological &amp; Other Life Sci. St. Approp.])
+SUMIF(InputResearch[Institution Name],AccountabilityTAMUSS[[#This Row],[Institution Name]],InputResearch[Comp. Sci. St. Approp.])
+SUMIF(InputResearch[Institution Name],AccountabilityTAMUSS[[#This Row],[Institution Name]],InputResearch[Engineering St. Approp.])
+SUMIF(InputResearch[Institution Name],AccountabilityTAMUSS[[#This Row],[Institution Name]],InputResearch[Env Sci. St. Approp.])
+SUMIF(InputResearch[Institution Name],AccountabilityTAMUSS[[#This Row],[Institution Name]],InputResearch[Math St. Approp.])
+SUMIF(InputResearch[Institution Name],AccountabilityTAMUSS[[#This Row],[Institution Name]],InputResearch[Medical St. Approp.])
+SUMIF(InputResearch[Institution Name],AccountabilityTAMUSS[[#This Row],[Institution Name]],InputResearch[Physical Sci. St. Approp.])
+SUMIF(InputResearch[Institution Name],AccountabilityTAMUSS[[#This Row],[Institution Name]],InputResearch[Psychology St. Approp.])
+SUMIF(InputResearch[Institution Name],AccountabilityTAMUSS[[#This Row],[Institution Name]],InputResearch[Social Sci. St. Approp.])
+SUMIF(InputResearch[Institution Name],AccountabilityTAMUSS[[#This Row],[Institution Name]],InputResearch[Other Sci. St. Approp.])
+SUMIF(InputResearch[Institution Name],AccountabilityTAMUSS[[#This Row],[Institution Name]],InputResearch[Arts &amp; Humanities St. Approp.])
+SUMIF(InputResearch[Institution Name],AccountabilityTAMUSS[[#This Row],[Institution Name]],InputResearch[Business St. Approp.])
+SUMIF(InputResearch[Institution Name],AccountabilityTAMUSS[[#This Row],[Institution Name]],InputResearch[Education St. Approp.])
+SUMIF(InputResearch[Institution Name],AccountabilityTAMUSS[[#This Row],[Institution Name]],InputResearch[Law St. Approp.])
+SUMIF(InputResearch[Institution Name],AccountabilityTAMUSS[[#This Row],[Institution Name]],InputResearch[Other Non-Sci. St. Approp.])</f>
        <v>38438</v>
      </c>
      <c r="F88" s="85">
        <f>SUMIF(InputResearch[Institution Name],AccountabilityTAMUSS[[#This Row],[Institution Name]],InputResearch[Agricultural Sci. St. C&amp;G])
+SUMIF(InputResearch[Institution Name],AccountabilityTAMUSS[[#This Row],[Institution Name]],InputResearch[Biological &amp; Other Life Sci. St. C&amp;G])
+SUMIF(InputResearch[Institution Name],AccountabilityTAMUSS[[#This Row],[Institution Name]],InputResearch[Comp. Sci. St. C&amp;G])
+SUMIF(InputResearch[Institution Name],AccountabilityTAMUSS[[#This Row],[Institution Name]],InputResearch[Engineering St. C&amp;G])
+SUMIF(InputResearch[Institution Name],AccountabilityTAMUSS[[#This Row],[Institution Name]],InputResearch[Env Sci. St. C&amp;G])
+SUMIF(InputResearch[Institution Name],AccountabilityTAMUSS[[#This Row],[Institution Name]],InputResearch[Math St. C&amp;G])
+SUMIF(InputResearch[Institution Name],AccountabilityTAMUSS[[#This Row],[Institution Name]],InputResearch[Medical St. C&amp;G])
+SUMIF(InputResearch[Institution Name],AccountabilityTAMUSS[[#This Row],[Institution Name]],InputResearch[Physical Sci. St. C&amp;G])
+SUMIF(InputResearch[Institution Name],AccountabilityTAMUSS[[#This Row],[Institution Name]],InputResearch[Psychology St. C&amp;G])
+SUMIF(InputResearch[Institution Name],AccountabilityTAMUSS[[#This Row],[Institution Name]],InputResearch[Social Sci. St. C&amp;G])
+SUMIF(InputResearch[Institution Name],AccountabilityTAMUSS[[#This Row],[Institution Name]],InputResearch[Other Sci. St. C&amp;G])
+SUMIF(InputResearch[Institution Name],AccountabilityTAMUSS[[#This Row],[Institution Name]],InputResearch[Arts &amp; Humanities St. C&amp;G])
+SUMIF(InputResearch[Institution Name],AccountabilityTAMUSS[[#This Row],[Institution Name]],InputResearch[Business St. C&amp;G])
+SUMIF(InputResearch[Institution Name],AccountabilityTAMUSS[[#This Row],[Institution Name]],InputResearch[Education St. C&amp;G])
+SUMIF(InputResearch[Institution Name],AccountabilityTAMUSS[[#This Row],[Institution Name]],InputResearch[Law St. C&amp;G])
+SUMIF(InputResearch[Institution Name],AccountabilityTAMUSS[[#This Row],[Institution Name]],InputResearch[Other Non-Sci. St. C&amp;G])</f>
        <v>122825</v>
      </c>
      <c r="G88" s="270">
        <f>SUM(AccountabilityTAMUSS[[#This Row],[State 
Appropriation]],AccountabilityTAMUSS[[#This Row],[State 
Contracts/Grants]])</f>
        <v>161263</v>
      </c>
      <c r="H88" s="85">
        <f>SUMIF(InputResearch[Institution Name],AccountabilityTAMUSS[[#This Row],[Institution Name]],InputResearch[Agricultural Sci. Inst Res])
+SUMIF(InputResearch[Institution Name],AccountabilityTAMUSS[[#This Row],[Institution Name]],InputResearch[Biological &amp; Other Life Sci. Inst Res])
+SUMIF(InputResearch[Institution Name],AccountabilityTAMUSS[[#This Row],[Institution Name]],InputResearch[Comp. Sci. Inst Res])
+SUMIF(InputResearch[Institution Name],AccountabilityTAMUSS[[#This Row],[Institution Name]],InputResearch[Engineering Inst Res])
+SUMIF(InputResearch[Institution Name],AccountabilityTAMUSS[[#This Row],[Institution Name]],InputResearch[Env Sci. Inst Res])
+SUMIF(InputResearch[Institution Name],AccountabilityTAMUSS[[#This Row],[Institution Name]],InputResearch[Math Inst Res])
+SUMIF(InputResearch[Institution Name],AccountabilityTAMUSS[[#This Row],[Institution Name]],InputResearch[Medical Inst Res])
+SUMIF(InputResearch[Institution Name],AccountabilityTAMUSS[[#This Row],[Institution Name]],InputResearch[Physical Sci. Inst Res])
+SUMIF(InputResearch[Institution Name],AccountabilityTAMUSS[[#This Row],[Institution Name]],InputResearch[Psychology Inst Res])
+SUMIF(InputResearch[Institution Name],AccountabilityTAMUSS[[#This Row],[Institution Name]],InputResearch[Social Sci. Inst Res])
+SUMIF(InputResearch[Institution Name],AccountabilityTAMUSS[[#This Row],[Institution Name]],InputResearch[Other Sci. Inst Res])
+SUMIF(InputResearch[Institution Name],AccountabilityTAMUSS[[#This Row],[Institution Name]],InputResearch[Arts &amp; Humanities Inst Res])
+SUMIF(InputResearch[Institution Name],AccountabilityTAMUSS[[#This Row],[Institution Name]],InputResearch[Business Inst Res])
+SUMIF(InputResearch[Institution Name],AccountabilityTAMUSS[[#This Row],[Institution Name]],InputResearch[Education Inst Res])
+SUMIF(InputResearch[Institution Name],AccountabilityTAMUSS[[#This Row],[Institution Name]],InputResearch[Law Inst Res])
+SUMIF(InputResearch[Institution Name],AccountabilityTAMUSS[[#This Row],[Institution Name]],InputResearch[Other Non-Sci. Inst Res])</f>
        <v>8211</v>
      </c>
      <c r="I88" s="85">
        <f>SUMIF(InputResearch[Institution Name],AccountabilityTAMUSS[[#This Row],[Institution Name]],InputResearch[Agricultural Sci. PFP])
+SUMIF(InputResearch[Institution Name],AccountabilityTAMUSS[[#This Row],[Institution Name]],InputResearch[Biological &amp; Other Life Sci. PFP])
+SUMIF(InputResearch[Institution Name],AccountabilityTAMUSS[[#This Row],[Institution Name]],InputResearch[Comp. Sci. PFP])
+SUMIF(InputResearch[Institution Name],AccountabilityTAMUSS[[#This Row],[Institution Name]],InputResearch[Engineering PFP])
+SUMIF(InputResearch[Institution Name],AccountabilityTAMUSS[[#This Row],[Institution Name]],InputResearch[Env Sci. PFP])
+SUMIF(InputResearch[Institution Name],AccountabilityTAMUSS[[#This Row],[Institution Name]],InputResearch[Math PFP])
+SUMIF(InputResearch[Institution Name],AccountabilityTAMUSS[[#This Row],[Institution Name]],InputResearch[Medical PFP])
+SUMIF(InputResearch[Institution Name],AccountabilityTAMUSS[[#This Row],[Institution Name]],InputResearch[Physical Sci. PFP])
+SUMIF(InputResearch[Institution Name],AccountabilityTAMUSS[[#This Row],[Institution Name]],InputResearch[Psychology PFP])
+SUMIF(InputResearch[Institution Name],AccountabilityTAMUSS[[#This Row],[Institution Name]],InputResearch[Social Sci. PFP])
+SUMIF(InputResearch[Institution Name],AccountabilityTAMUSS[[#This Row],[Institution Name]],InputResearch[Other Sci. PFP])
+SUMIF(InputResearch[Institution Name],AccountabilityTAMUSS[[#This Row],[Institution Name]],InputResearch[Arts &amp; Humanities PFP])
+SUMIF(InputResearch[Institution Name],AccountabilityTAMUSS[[#This Row],[Institution Name]],InputResearch[Business PFP])
+SUMIF(InputResearch[Institution Name],AccountabilityTAMUSS[[#This Row],[Institution Name]],InputResearch[Education PFP])
+SUMIF(InputResearch[Institution Name],AccountabilityTAMUSS[[#This Row],[Institution Name]],InputResearch[Law PFP])
+SUMIF(InputResearch[Institution Name],AccountabilityTAMUSS[[#This Row],[Institution Name]],InputResearch[Other Non-Sci. PFP])</f>
        <v>1514657</v>
      </c>
      <c r="J88" s="85">
        <f>SUMIF(InputResearch[Institution Name],AccountabilityTAMUSS[[#This Row],[Institution Name]],InputResearch[Agricultural Sci. PNP])
+SUMIF(InputResearch[Institution Name],AccountabilityTAMUSS[[#This Row],[Institution Name]],InputResearch[Biological &amp; Other Life Sci. PNP])
+SUMIF(InputResearch[Institution Name],AccountabilityTAMUSS[[#This Row],[Institution Name]],InputResearch[Comp. Sci. PNP])
+SUMIF(InputResearch[Institution Name],AccountabilityTAMUSS[[#This Row],[Institution Name]],InputResearch[Engineering PNP])
+SUMIF(InputResearch[Institution Name],AccountabilityTAMUSS[[#This Row],[Institution Name]],InputResearch[Env Sci. PNP])
+SUMIF(InputResearch[Institution Name],AccountabilityTAMUSS[[#This Row],[Institution Name]],InputResearch[Math PNP])
+SUMIF(InputResearch[Institution Name],AccountabilityTAMUSS[[#This Row],[Institution Name]],InputResearch[Medical PNP])
+SUMIF(InputResearch[Institution Name],AccountabilityTAMUSS[[#This Row],[Institution Name]],InputResearch[Physical Sci. PNP])
+SUMIF(InputResearch[Institution Name],AccountabilityTAMUSS[[#This Row],[Institution Name]],InputResearch[Psychology PNP])
+SUMIF(InputResearch[Institution Name],AccountabilityTAMUSS[[#This Row],[Institution Name]],InputResearch[Social Sci. PNP])
+SUMIF(InputResearch[Institution Name],AccountabilityTAMUSS[[#This Row],[Institution Name]],InputResearch[Other Sci. PNP])
+SUMIF(InputResearch[Institution Name],AccountabilityTAMUSS[[#This Row],[Institution Name]],InputResearch[Arts &amp; Humanities PNP])
+SUMIF(InputResearch[Institution Name],AccountabilityTAMUSS[[#This Row],[Institution Name]],InputResearch[Business PNP])
+SUMIF(InputResearch[Institution Name],AccountabilityTAMUSS[[#This Row],[Institution Name]],InputResearch[Education PNP])
+SUMIF(InputResearch[Institution Name],AccountabilityTAMUSS[[#This Row],[Institution Name]],InputResearch[Law PNP])
+SUMIF(InputResearch[Institution Name],AccountabilityTAMUSS[[#This Row],[Institution Name]],InputResearch[Other Non-Sci. PNP])</f>
        <v>0</v>
      </c>
      <c r="K88" s="270">
        <f>SUM(AccountabilityTAMUSS[[#This Row],[Private 
For Profit]],AccountabilityTAMUSS[[#This Row],[Private 
Nonprofit]])</f>
        <v>1514657</v>
      </c>
      <c r="L88" s="270">
        <f>SUM(AccountabilityTAMUSS[[#This Row],[Federal]],AccountabilityTAMUSS[[#This Row],[State]],AccountabilityTAMUSS[[#This Row],[Institutional 
Resources]],AccountabilityTAMUSS[[#This Row],[Private]])</f>
        <v>1896080</v>
      </c>
      <c r="M88" s="42"/>
      <c r="N88" s="88"/>
      <c r="O88" s="88"/>
    </row>
    <row r="89" spans="1:15" ht="15.6">
      <c r="A89" s="79" t="s">
        <v>53</v>
      </c>
      <c r="B89" s="80">
        <f>VLOOKUP(AccountabilityTAMUSS[[#This Row],[Institution Name]],InputResearch[],3,FALSE)</f>
        <v>600</v>
      </c>
      <c r="C89" s="84">
        <v>556</v>
      </c>
      <c r="D89" s="85">
        <f>SUMIF(InputResearch[Institution Name],AccountabilityTAMUSS[[#This Row],[Institution Name]],InputResearch[Agricultural Sci. Fed])
+SUMIF(InputResearch[Institution Name],AccountabilityTAMUSS[[#This Row],[Institution Name]],InputResearch[Biological &amp; Other Life Sci. Fed])
+SUMIF(InputResearch[Institution Name],AccountabilityTAMUSS[[#This Row],[Institution Name]],InputResearch[Comp. Sci. Fed])
+SUMIF(InputResearch[Institution Name],AccountabilityTAMUSS[[#This Row],[Institution Name]],InputResearch[Engineering Fed])
+SUMIF(InputResearch[Institution Name],AccountabilityTAMUSS[[#This Row],[Institution Name]],InputResearch[Env Sci. Fed])
+SUMIF(InputResearch[Institution Name],AccountabilityTAMUSS[[#This Row],[Institution Name]],InputResearch[Math Fed])
+SUMIF(InputResearch[Institution Name],AccountabilityTAMUSS[[#This Row],[Institution Name]],InputResearch[Medical Fed])
+SUMIF(InputResearch[Institution Name],AccountabilityTAMUSS[[#This Row],[Institution Name]],InputResearch[Physical Sci. Fed])
+SUMIF(InputResearch[Institution Name],AccountabilityTAMUSS[[#This Row],[Institution Name]],InputResearch[Psychology Fed])
+SUMIF(InputResearch[Institution Name],AccountabilityTAMUSS[[#This Row],[Institution Name]],InputResearch[Social Sci. Fed])
+SUMIF(InputResearch[Institution Name],AccountabilityTAMUSS[[#This Row],[Institution Name]],InputResearch[Other Sci. Fed])
+SUMIF(InputResearch[Institution Name],AccountabilityTAMUSS[[#This Row],[Institution Name]],InputResearch[Arts &amp; Humanities Fed])
+SUMIF(InputResearch[Institution Name],AccountabilityTAMUSS[[#This Row],[Institution Name]],InputResearch[Business Fed])
+SUMIF(InputResearch[Institution Name],AccountabilityTAMUSS[[#This Row],[Institution Name]],InputResearch[Education Fed])
+SUMIF(InputResearch[Institution Name],AccountabilityTAMUSS[[#This Row],[Institution Name]],InputResearch[Law Fed])
+SUMIF(InputResearch[Institution Name],AccountabilityTAMUSS[[#This Row],[Institution Name]],InputResearch[Other Non-Sci. Fed])</f>
        <v>108128378</v>
      </c>
      <c r="E89" s="85">
        <f>SUMIF(InputResearch[Institution Name],AccountabilityTAMUSS[[#This Row],[Institution Name]],InputResearch[Agricultural Sci. St. Approp.])
+SUMIF(InputResearch[Institution Name],AccountabilityTAMUSS[[#This Row],[Institution Name]],InputResearch[Biological &amp; Other Life Sci. St. Approp.])
+SUMIF(InputResearch[Institution Name],AccountabilityTAMUSS[[#This Row],[Institution Name]],InputResearch[Comp. Sci. St. Approp.])
+SUMIF(InputResearch[Institution Name],AccountabilityTAMUSS[[#This Row],[Institution Name]],InputResearch[Engineering St. Approp.])
+SUMIF(InputResearch[Institution Name],AccountabilityTAMUSS[[#This Row],[Institution Name]],InputResearch[Env Sci. St. Approp.])
+SUMIF(InputResearch[Institution Name],AccountabilityTAMUSS[[#This Row],[Institution Name]],InputResearch[Math St. Approp.])
+SUMIF(InputResearch[Institution Name],AccountabilityTAMUSS[[#This Row],[Institution Name]],InputResearch[Medical St. Approp.])
+SUMIF(InputResearch[Institution Name],AccountabilityTAMUSS[[#This Row],[Institution Name]],InputResearch[Physical Sci. St. Approp.])
+SUMIF(InputResearch[Institution Name],AccountabilityTAMUSS[[#This Row],[Institution Name]],InputResearch[Psychology St. Approp.])
+SUMIF(InputResearch[Institution Name],AccountabilityTAMUSS[[#This Row],[Institution Name]],InputResearch[Social Sci. St. Approp.])
+SUMIF(InputResearch[Institution Name],AccountabilityTAMUSS[[#This Row],[Institution Name]],InputResearch[Other Sci. St. Approp.])
+SUMIF(InputResearch[Institution Name],AccountabilityTAMUSS[[#This Row],[Institution Name]],InputResearch[Arts &amp; Humanities St. Approp.])
+SUMIF(InputResearch[Institution Name],AccountabilityTAMUSS[[#This Row],[Institution Name]],InputResearch[Business St. Approp.])
+SUMIF(InputResearch[Institution Name],AccountabilityTAMUSS[[#This Row],[Institution Name]],InputResearch[Education St. Approp.])
+SUMIF(InputResearch[Institution Name],AccountabilityTAMUSS[[#This Row],[Institution Name]],InputResearch[Law St. Approp.])
+SUMIF(InputResearch[Institution Name],AccountabilityTAMUSS[[#This Row],[Institution Name]],InputResearch[Other Non-Sci. St. Approp.])</f>
        <v>82918032</v>
      </c>
      <c r="F89" s="85">
        <f>SUMIF(InputResearch[Institution Name],AccountabilityTAMUSS[[#This Row],[Institution Name]],InputResearch[Agricultural Sci. St. C&amp;G])
+SUMIF(InputResearch[Institution Name],AccountabilityTAMUSS[[#This Row],[Institution Name]],InputResearch[Biological &amp; Other Life Sci. St. C&amp;G])
+SUMIF(InputResearch[Institution Name],AccountabilityTAMUSS[[#This Row],[Institution Name]],InputResearch[Comp. Sci. St. C&amp;G])
+SUMIF(InputResearch[Institution Name],AccountabilityTAMUSS[[#This Row],[Institution Name]],InputResearch[Engineering St. C&amp;G])
+SUMIF(InputResearch[Institution Name],AccountabilityTAMUSS[[#This Row],[Institution Name]],InputResearch[Env Sci. St. C&amp;G])
+SUMIF(InputResearch[Institution Name],AccountabilityTAMUSS[[#This Row],[Institution Name]],InputResearch[Math St. C&amp;G])
+SUMIF(InputResearch[Institution Name],AccountabilityTAMUSS[[#This Row],[Institution Name]],InputResearch[Medical St. C&amp;G])
+SUMIF(InputResearch[Institution Name],AccountabilityTAMUSS[[#This Row],[Institution Name]],InputResearch[Physical Sci. St. C&amp;G])
+SUMIF(InputResearch[Institution Name],AccountabilityTAMUSS[[#This Row],[Institution Name]],InputResearch[Psychology St. C&amp;G])
+SUMIF(InputResearch[Institution Name],AccountabilityTAMUSS[[#This Row],[Institution Name]],InputResearch[Social Sci. St. C&amp;G])
+SUMIF(InputResearch[Institution Name],AccountabilityTAMUSS[[#This Row],[Institution Name]],InputResearch[Other Sci. St. C&amp;G])
+SUMIF(InputResearch[Institution Name],AccountabilityTAMUSS[[#This Row],[Institution Name]],InputResearch[Arts &amp; Humanities St. C&amp;G])
+SUMIF(InputResearch[Institution Name],AccountabilityTAMUSS[[#This Row],[Institution Name]],InputResearch[Business St. C&amp;G])
+SUMIF(InputResearch[Institution Name],AccountabilityTAMUSS[[#This Row],[Institution Name]],InputResearch[Education St. C&amp;G])
+SUMIF(InputResearch[Institution Name],AccountabilityTAMUSS[[#This Row],[Institution Name]],InputResearch[Law St. C&amp;G])
+SUMIF(InputResearch[Institution Name],AccountabilityTAMUSS[[#This Row],[Institution Name]],InputResearch[Other Non-Sci. St. C&amp;G])</f>
        <v>3159809</v>
      </c>
      <c r="G89" s="270">
        <f>SUM(AccountabilityTAMUSS[[#This Row],[State 
Appropriation]],AccountabilityTAMUSS[[#This Row],[State 
Contracts/Grants]])</f>
        <v>86077841</v>
      </c>
      <c r="H89" s="85">
        <f>SUMIF(InputResearch[Institution Name],AccountabilityTAMUSS[[#This Row],[Institution Name]],InputResearch[Agricultural Sci. Inst Res])
+SUMIF(InputResearch[Institution Name],AccountabilityTAMUSS[[#This Row],[Institution Name]],InputResearch[Biological &amp; Other Life Sci. Inst Res])
+SUMIF(InputResearch[Institution Name],AccountabilityTAMUSS[[#This Row],[Institution Name]],InputResearch[Comp. Sci. Inst Res])
+SUMIF(InputResearch[Institution Name],AccountabilityTAMUSS[[#This Row],[Institution Name]],InputResearch[Engineering Inst Res])
+SUMIF(InputResearch[Institution Name],AccountabilityTAMUSS[[#This Row],[Institution Name]],InputResearch[Env Sci. Inst Res])
+SUMIF(InputResearch[Institution Name],AccountabilityTAMUSS[[#This Row],[Institution Name]],InputResearch[Math Inst Res])
+SUMIF(InputResearch[Institution Name],AccountabilityTAMUSS[[#This Row],[Institution Name]],InputResearch[Medical Inst Res])
+SUMIF(InputResearch[Institution Name],AccountabilityTAMUSS[[#This Row],[Institution Name]],InputResearch[Physical Sci. Inst Res])
+SUMIF(InputResearch[Institution Name],AccountabilityTAMUSS[[#This Row],[Institution Name]],InputResearch[Psychology Inst Res])
+SUMIF(InputResearch[Institution Name],AccountabilityTAMUSS[[#This Row],[Institution Name]],InputResearch[Social Sci. Inst Res])
+SUMIF(InputResearch[Institution Name],AccountabilityTAMUSS[[#This Row],[Institution Name]],InputResearch[Other Sci. Inst Res])
+SUMIF(InputResearch[Institution Name],AccountabilityTAMUSS[[#This Row],[Institution Name]],InputResearch[Arts &amp; Humanities Inst Res])
+SUMIF(InputResearch[Institution Name],AccountabilityTAMUSS[[#This Row],[Institution Name]],InputResearch[Business Inst Res])
+SUMIF(InputResearch[Institution Name],AccountabilityTAMUSS[[#This Row],[Institution Name]],InputResearch[Education Inst Res])
+SUMIF(InputResearch[Institution Name],AccountabilityTAMUSS[[#This Row],[Institution Name]],InputResearch[Law Inst Res])
+SUMIF(InputResearch[Institution Name],AccountabilityTAMUSS[[#This Row],[Institution Name]],InputResearch[Other Non-Sci. Inst Res])</f>
        <v>58235111</v>
      </c>
      <c r="I89" s="85">
        <f>SUMIF(InputResearch[Institution Name],AccountabilityTAMUSS[[#This Row],[Institution Name]],InputResearch[Agricultural Sci. PFP])
+SUMIF(InputResearch[Institution Name],AccountabilityTAMUSS[[#This Row],[Institution Name]],InputResearch[Biological &amp; Other Life Sci. PFP])
+SUMIF(InputResearch[Institution Name],AccountabilityTAMUSS[[#This Row],[Institution Name]],InputResearch[Comp. Sci. PFP])
+SUMIF(InputResearch[Institution Name],AccountabilityTAMUSS[[#This Row],[Institution Name]],InputResearch[Engineering PFP])
+SUMIF(InputResearch[Institution Name],AccountabilityTAMUSS[[#This Row],[Institution Name]],InputResearch[Env Sci. PFP])
+SUMIF(InputResearch[Institution Name],AccountabilityTAMUSS[[#This Row],[Institution Name]],InputResearch[Math PFP])
+SUMIF(InputResearch[Institution Name],AccountabilityTAMUSS[[#This Row],[Institution Name]],InputResearch[Medical PFP])
+SUMIF(InputResearch[Institution Name],AccountabilityTAMUSS[[#This Row],[Institution Name]],InputResearch[Physical Sci. PFP])
+SUMIF(InputResearch[Institution Name],AccountabilityTAMUSS[[#This Row],[Institution Name]],InputResearch[Psychology PFP])
+SUMIF(InputResearch[Institution Name],AccountabilityTAMUSS[[#This Row],[Institution Name]],InputResearch[Social Sci. PFP])
+SUMIF(InputResearch[Institution Name],AccountabilityTAMUSS[[#This Row],[Institution Name]],InputResearch[Other Sci. PFP])
+SUMIF(InputResearch[Institution Name],AccountabilityTAMUSS[[#This Row],[Institution Name]],InputResearch[Arts &amp; Humanities PFP])
+SUMIF(InputResearch[Institution Name],AccountabilityTAMUSS[[#This Row],[Institution Name]],InputResearch[Business PFP])
+SUMIF(InputResearch[Institution Name],AccountabilityTAMUSS[[#This Row],[Institution Name]],InputResearch[Education PFP])
+SUMIF(InputResearch[Institution Name],AccountabilityTAMUSS[[#This Row],[Institution Name]],InputResearch[Law PFP])
+SUMIF(InputResearch[Institution Name],AccountabilityTAMUSS[[#This Row],[Institution Name]],InputResearch[Other Non-Sci. PFP])</f>
        <v>8010444</v>
      </c>
      <c r="J89" s="85">
        <f>SUMIF(InputResearch[Institution Name],AccountabilityTAMUSS[[#This Row],[Institution Name]],InputResearch[Agricultural Sci. PNP])
+SUMIF(InputResearch[Institution Name],AccountabilityTAMUSS[[#This Row],[Institution Name]],InputResearch[Biological &amp; Other Life Sci. PNP])
+SUMIF(InputResearch[Institution Name],AccountabilityTAMUSS[[#This Row],[Institution Name]],InputResearch[Comp. Sci. PNP])
+SUMIF(InputResearch[Institution Name],AccountabilityTAMUSS[[#This Row],[Institution Name]],InputResearch[Engineering PNP])
+SUMIF(InputResearch[Institution Name],AccountabilityTAMUSS[[#This Row],[Institution Name]],InputResearch[Env Sci. PNP])
+SUMIF(InputResearch[Institution Name],AccountabilityTAMUSS[[#This Row],[Institution Name]],InputResearch[Math PNP])
+SUMIF(InputResearch[Institution Name],AccountabilityTAMUSS[[#This Row],[Institution Name]],InputResearch[Medical PNP])
+SUMIF(InputResearch[Institution Name],AccountabilityTAMUSS[[#This Row],[Institution Name]],InputResearch[Physical Sci. PNP])
+SUMIF(InputResearch[Institution Name],AccountabilityTAMUSS[[#This Row],[Institution Name]],InputResearch[Psychology PNP])
+SUMIF(InputResearch[Institution Name],AccountabilityTAMUSS[[#This Row],[Institution Name]],InputResearch[Social Sci. PNP])
+SUMIF(InputResearch[Institution Name],AccountabilityTAMUSS[[#This Row],[Institution Name]],InputResearch[Other Sci. PNP])
+SUMIF(InputResearch[Institution Name],AccountabilityTAMUSS[[#This Row],[Institution Name]],InputResearch[Arts &amp; Humanities PNP])
+SUMIF(InputResearch[Institution Name],AccountabilityTAMUSS[[#This Row],[Institution Name]],InputResearch[Business PNP])
+SUMIF(InputResearch[Institution Name],AccountabilityTAMUSS[[#This Row],[Institution Name]],InputResearch[Education PNP])
+SUMIF(InputResearch[Institution Name],AccountabilityTAMUSS[[#This Row],[Institution Name]],InputResearch[Law PNP])
+SUMIF(InputResearch[Institution Name],AccountabilityTAMUSS[[#This Row],[Institution Name]],InputResearch[Other Non-Sci. PNP])</f>
        <v>9505686</v>
      </c>
      <c r="K89" s="270">
        <f>SUM(AccountabilityTAMUSS[[#This Row],[Private 
For Profit]],AccountabilityTAMUSS[[#This Row],[Private 
Nonprofit]])</f>
        <v>17516130</v>
      </c>
      <c r="L89" s="270">
        <f>SUM(AccountabilityTAMUSS[[#This Row],[Federal]],AccountabilityTAMUSS[[#This Row],[State]],AccountabilityTAMUSS[[#This Row],[Institutional 
Resources]],AccountabilityTAMUSS[[#This Row],[Private]])</f>
        <v>269957460</v>
      </c>
      <c r="M89" s="42"/>
      <c r="N89" s="88"/>
      <c r="O89" s="88"/>
    </row>
    <row r="90" spans="1:15" ht="15.6">
      <c r="A90" s="79" t="s">
        <v>55</v>
      </c>
      <c r="B90" s="80">
        <f>VLOOKUP(AccountabilityTAMUSS[[#This Row],[Institution Name]],InputResearch[],3,FALSE)</f>
        <v>610</v>
      </c>
      <c r="C90" s="84">
        <v>712</v>
      </c>
      <c r="D90" s="85">
        <f>SUMIF(InputResearch[Institution Name],AccountabilityTAMUSS[[#This Row],[Institution Name]],InputResearch[Agricultural Sci. Fed])
+SUMIF(InputResearch[Institution Name],AccountabilityTAMUSS[[#This Row],[Institution Name]],InputResearch[Biological &amp; Other Life Sci. Fed])
+SUMIF(InputResearch[Institution Name],AccountabilityTAMUSS[[#This Row],[Institution Name]],InputResearch[Comp. Sci. Fed])
+SUMIF(InputResearch[Institution Name],AccountabilityTAMUSS[[#This Row],[Institution Name]],InputResearch[Engineering Fed])
+SUMIF(InputResearch[Institution Name],AccountabilityTAMUSS[[#This Row],[Institution Name]],InputResearch[Env Sci. Fed])
+SUMIF(InputResearch[Institution Name],AccountabilityTAMUSS[[#This Row],[Institution Name]],InputResearch[Math Fed])
+SUMIF(InputResearch[Institution Name],AccountabilityTAMUSS[[#This Row],[Institution Name]],InputResearch[Medical Fed])
+SUMIF(InputResearch[Institution Name],AccountabilityTAMUSS[[#This Row],[Institution Name]],InputResearch[Physical Sci. Fed])
+SUMIF(InputResearch[Institution Name],AccountabilityTAMUSS[[#This Row],[Institution Name]],InputResearch[Psychology Fed])
+SUMIF(InputResearch[Institution Name],AccountabilityTAMUSS[[#This Row],[Institution Name]],InputResearch[Social Sci. Fed])
+SUMIF(InputResearch[Institution Name],AccountabilityTAMUSS[[#This Row],[Institution Name]],InputResearch[Other Sci. Fed])
+SUMIF(InputResearch[Institution Name],AccountabilityTAMUSS[[#This Row],[Institution Name]],InputResearch[Arts &amp; Humanities Fed])
+SUMIF(InputResearch[Institution Name],AccountabilityTAMUSS[[#This Row],[Institution Name]],InputResearch[Business Fed])
+SUMIF(InputResearch[Institution Name],AccountabilityTAMUSS[[#This Row],[Institution Name]],InputResearch[Education Fed])
+SUMIF(InputResearch[Institution Name],AccountabilityTAMUSS[[#This Row],[Institution Name]],InputResearch[Law Fed])
+SUMIF(InputResearch[Institution Name],AccountabilityTAMUSS[[#This Row],[Institution Name]],InputResearch[Other Non-Sci. Fed])</f>
        <v>153521957</v>
      </c>
      <c r="E90" s="85">
        <f>SUMIF(InputResearch[Institution Name],AccountabilityTAMUSS[[#This Row],[Institution Name]],InputResearch[Agricultural Sci. St. Approp.])
+SUMIF(InputResearch[Institution Name],AccountabilityTAMUSS[[#This Row],[Institution Name]],InputResearch[Biological &amp; Other Life Sci. St. Approp.])
+SUMIF(InputResearch[Institution Name],AccountabilityTAMUSS[[#This Row],[Institution Name]],InputResearch[Comp. Sci. St. Approp.])
+SUMIF(InputResearch[Institution Name],AccountabilityTAMUSS[[#This Row],[Institution Name]],InputResearch[Engineering St. Approp.])
+SUMIF(InputResearch[Institution Name],AccountabilityTAMUSS[[#This Row],[Institution Name]],InputResearch[Env Sci. St. Approp.])
+SUMIF(InputResearch[Institution Name],AccountabilityTAMUSS[[#This Row],[Institution Name]],InputResearch[Math St. Approp.])
+SUMIF(InputResearch[Institution Name],AccountabilityTAMUSS[[#This Row],[Institution Name]],InputResearch[Medical St. Approp.])
+SUMIF(InputResearch[Institution Name],AccountabilityTAMUSS[[#This Row],[Institution Name]],InputResearch[Physical Sci. St. Approp.])
+SUMIF(InputResearch[Institution Name],AccountabilityTAMUSS[[#This Row],[Institution Name]],InputResearch[Psychology St. Approp.])
+SUMIF(InputResearch[Institution Name],AccountabilityTAMUSS[[#This Row],[Institution Name]],InputResearch[Social Sci. St. Approp.])
+SUMIF(InputResearch[Institution Name],AccountabilityTAMUSS[[#This Row],[Institution Name]],InputResearch[Other Sci. St. Approp.])
+SUMIF(InputResearch[Institution Name],AccountabilityTAMUSS[[#This Row],[Institution Name]],InputResearch[Arts &amp; Humanities St. Approp.])
+SUMIF(InputResearch[Institution Name],AccountabilityTAMUSS[[#This Row],[Institution Name]],InputResearch[Business St. Approp.])
+SUMIF(InputResearch[Institution Name],AccountabilityTAMUSS[[#This Row],[Institution Name]],InputResearch[Education St. Approp.])
+SUMIF(InputResearch[Institution Name],AccountabilityTAMUSS[[#This Row],[Institution Name]],InputResearch[Law St. Approp.])
+SUMIF(InputResearch[Institution Name],AccountabilityTAMUSS[[#This Row],[Institution Name]],InputResearch[Other Non-Sci. St. Approp.])</f>
        <v>36024585</v>
      </c>
      <c r="F90" s="85">
        <f>SUMIF(InputResearch[Institution Name],AccountabilityTAMUSS[[#This Row],[Institution Name]],InputResearch[Agricultural Sci. St. C&amp;G])
+SUMIF(InputResearch[Institution Name],AccountabilityTAMUSS[[#This Row],[Institution Name]],InputResearch[Biological &amp; Other Life Sci. St. C&amp;G])
+SUMIF(InputResearch[Institution Name],AccountabilityTAMUSS[[#This Row],[Institution Name]],InputResearch[Comp. Sci. St. C&amp;G])
+SUMIF(InputResearch[Institution Name],AccountabilityTAMUSS[[#This Row],[Institution Name]],InputResearch[Engineering St. C&amp;G])
+SUMIF(InputResearch[Institution Name],AccountabilityTAMUSS[[#This Row],[Institution Name]],InputResearch[Env Sci. St. C&amp;G])
+SUMIF(InputResearch[Institution Name],AccountabilityTAMUSS[[#This Row],[Institution Name]],InputResearch[Math St. C&amp;G])
+SUMIF(InputResearch[Institution Name],AccountabilityTAMUSS[[#This Row],[Institution Name]],InputResearch[Medical St. C&amp;G])
+SUMIF(InputResearch[Institution Name],AccountabilityTAMUSS[[#This Row],[Institution Name]],InputResearch[Physical Sci. St. C&amp;G])
+SUMIF(InputResearch[Institution Name],AccountabilityTAMUSS[[#This Row],[Institution Name]],InputResearch[Psychology St. C&amp;G])
+SUMIF(InputResearch[Institution Name],AccountabilityTAMUSS[[#This Row],[Institution Name]],InputResearch[Social Sci. St. C&amp;G])
+SUMIF(InputResearch[Institution Name],AccountabilityTAMUSS[[#This Row],[Institution Name]],InputResearch[Other Sci. St. C&amp;G])
+SUMIF(InputResearch[Institution Name],AccountabilityTAMUSS[[#This Row],[Institution Name]],InputResearch[Arts &amp; Humanities St. C&amp;G])
+SUMIF(InputResearch[Institution Name],AccountabilityTAMUSS[[#This Row],[Institution Name]],InputResearch[Business St. C&amp;G])
+SUMIF(InputResearch[Institution Name],AccountabilityTAMUSS[[#This Row],[Institution Name]],InputResearch[Education St. C&amp;G])
+SUMIF(InputResearch[Institution Name],AccountabilityTAMUSS[[#This Row],[Institution Name]],InputResearch[Law St. C&amp;G])
+SUMIF(InputResearch[Institution Name],AccountabilityTAMUSS[[#This Row],[Institution Name]],InputResearch[Other Non-Sci. St. C&amp;G])</f>
        <v>5527231</v>
      </c>
      <c r="G90" s="270">
        <f>SUM(AccountabilityTAMUSS[[#This Row],[State 
Appropriation]],AccountabilityTAMUSS[[#This Row],[State 
Contracts/Grants]])</f>
        <v>41551816</v>
      </c>
      <c r="H90" s="85">
        <f>SUMIF(InputResearch[Institution Name],AccountabilityTAMUSS[[#This Row],[Institution Name]],InputResearch[Agricultural Sci. Inst Res])
+SUMIF(InputResearch[Institution Name],AccountabilityTAMUSS[[#This Row],[Institution Name]],InputResearch[Biological &amp; Other Life Sci. Inst Res])
+SUMIF(InputResearch[Institution Name],AccountabilityTAMUSS[[#This Row],[Institution Name]],InputResearch[Comp. Sci. Inst Res])
+SUMIF(InputResearch[Institution Name],AccountabilityTAMUSS[[#This Row],[Institution Name]],InputResearch[Engineering Inst Res])
+SUMIF(InputResearch[Institution Name],AccountabilityTAMUSS[[#This Row],[Institution Name]],InputResearch[Env Sci. Inst Res])
+SUMIF(InputResearch[Institution Name],AccountabilityTAMUSS[[#This Row],[Institution Name]],InputResearch[Math Inst Res])
+SUMIF(InputResearch[Institution Name],AccountabilityTAMUSS[[#This Row],[Institution Name]],InputResearch[Medical Inst Res])
+SUMIF(InputResearch[Institution Name],AccountabilityTAMUSS[[#This Row],[Institution Name]],InputResearch[Physical Sci. Inst Res])
+SUMIF(InputResearch[Institution Name],AccountabilityTAMUSS[[#This Row],[Institution Name]],InputResearch[Psychology Inst Res])
+SUMIF(InputResearch[Institution Name],AccountabilityTAMUSS[[#This Row],[Institution Name]],InputResearch[Social Sci. Inst Res])
+SUMIF(InputResearch[Institution Name],AccountabilityTAMUSS[[#This Row],[Institution Name]],InputResearch[Other Sci. Inst Res])
+SUMIF(InputResearch[Institution Name],AccountabilityTAMUSS[[#This Row],[Institution Name]],InputResearch[Arts &amp; Humanities Inst Res])
+SUMIF(InputResearch[Institution Name],AccountabilityTAMUSS[[#This Row],[Institution Name]],InputResearch[Business Inst Res])
+SUMIF(InputResearch[Institution Name],AccountabilityTAMUSS[[#This Row],[Institution Name]],InputResearch[Education Inst Res])
+SUMIF(InputResearch[Institution Name],AccountabilityTAMUSS[[#This Row],[Institution Name]],InputResearch[Law Inst Res])
+SUMIF(InputResearch[Institution Name],AccountabilityTAMUSS[[#This Row],[Institution Name]],InputResearch[Other Non-Sci. Inst Res])</f>
        <v>46172691</v>
      </c>
      <c r="I90" s="85">
        <f>SUMIF(InputResearch[Institution Name],AccountabilityTAMUSS[[#This Row],[Institution Name]],InputResearch[Agricultural Sci. PFP])
+SUMIF(InputResearch[Institution Name],AccountabilityTAMUSS[[#This Row],[Institution Name]],InputResearch[Biological &amp; Other Life Sci. PFP])
+SUMIF(InputResearch[Institution Name],AccountabilityTAMUSS[[#This Row],[Institution Name]],InputResearch[Comp. Sci. PFP])
+SUMIF(InputResearch[Institution Name],AccountabilityTAMUSS[[#This Row],[Institution Name]],InputResearch[Engineering PFP])
+SUMIF(InputResearch[Institution Name],AccountabilityTAMUSS[[#This Row],[Institution Name]],InputResearch[Env Sci. PFP])
+SUMIF(InputResearch[Institution Name],AccountabilityTAMUSS[[#This Row],[Institution Name]],InputResearch[Math PFP])
+SUMIF(InputResearch[Institution Name],AccountabilityTAMUSS[[#This Row],[Institution Name]],InputResearch[Medical PFP])
+SUMIF(InputResearch[Institution Name],AccountabilityTAMUSS[[#This Row],[Institution Name]],InputResearch[Physical Sci. PFP])
+SUMIF(InputResearch[Institution Name],AccountabilityTAMUSS[[#This Row],[Institution Name]],InputResearch[Psychology PFP])
+SUMIF(InputResearch[Institution Name],AccountabilityTAMUSS[[#This Row],[Institution Name]],InputResearch[Social Sci. PFP])
+SUMIF(InputResearch[Institution Name],AccountabilityTAMUSS[[#This Row],[Institution Name]],InputResearch[Other Sci. PFP])
+SUMIF(InputResearch[Institution Name],AccountabilityTAMUSS[[#This Row],[Institution Name]],InputResearch[Arts &amp; Humanities PFP])
+SUMIF(InputResearch[Institution Name],AccountabilityTAMUSS[[#This Row],[Institution Name]],InputResearch[Business PFP])
+SUMIF(InputResearch[Institution Name],AccountabilityTAMUSS[[#This Row],[Institution Name]],InputResearch[Education PFP])
+SUMIF(InputResearch[Institution Name],AccountabilityTAMUSS[[#This Row],[Institution Name]],InputResearch[Law PFP])
+SUMIF(InputResearch[Institution Name],AccountabilityTAMUSS[[#This Row],[Institution Name]],InputResearch[Other Non-Sci. PFP])</f>
        <v>16992763</v>
      </c>
      <c r="J90" s="85">
        <f>SUMIF(InputResearch[Institution Name],AccountabilityTAMUSS[[#This Row],[Institution Name]],InputResearch[Agricultural Sci. PNP])
+SUMIF(InputResearch[Institution Name],AccountabilityTAMUSS[[#This Row],[Institution Name]],InputResearch[Biological &amp; Other Life Sci. PNP])
+SUMIF(InputResearch[Institution Name],AccountabilityTAMUSS[[#This Row],[Institution Name]],InputResearch[Comp. Sci. PNP])
+SUMIF(InputResearch[Institution Name],AccountabilityTAMUSS[[#This Row],[Institution Name]],InputResearch[Engineering PNP])
+SUMIF(InputResearch[Institution Name],AccountabilityTAMUSS[[#This Row],[Institution Name]],InputResearch[Env Sci. PNP])
+SUMIF(InputResearch[Institution Name],AccountabilityTAMUSS[[#This Row],[Institution Name]],InputResearch[Math PNP])
+SUMIF(InputResearch[Institution Name],AccountabilityTAMUSS[[#This Row],[Institution Name]],InputResearch[Medical PNP])
+SUMIF(InputResearch[Institution Name],AccountabilityTAMUSS[[#This Row],[Institution Name]],InputResearch[Physical Sci. PNP])
+SUMIF(InputResearch[Institution Name],AccountabilityTAMUSS[[#This Row],[Institution Name]],InputResearch[Psychology PNP])
+SUMIF(InputResearch[Institution Name],AccountabilityTAMUSS[[#This Row],[Institution Name]],InputResearch[Social Sci. PNP])
+SUMIF(InputResearch[Institution Name],AccountabilityTAMUSS[[#This Row],[Institution Name]],InputResearch[Other Sci. PNP])
+SUMIF(InputResearch[Institution Name],AccountabilityTAMUSS[[#This Row],[Institution Name]],InputResearch[Arts &amp; Humanities PNP])
+SUMIF(InputResearch[Institution Name],AccountabilityTAMUSS[[#This Row],[Institution Name]],InputResearch[Business PNP])
+SUMIF(InputResearch[Institution Name],AccountabilityTAMUSS[[#This Row],[Institution Name]],InputResearch[Education PNP])
+SUMIF(InputResearch[Institution Name],AccountabilityTAMUSS[[#This Row],[Institution Name]],InputResearch[Law PNP])
+SUMIF(InputResearch[Institution Name],AccountabilityTAMUSS[[#This Row],[Institution Name]],InputResearch[Other Non-Sci. PNP])</f>
        <v>21809744</v>
      </c>
      <c r="K90" s="270">
        <f>SUM(AccountabilityTAMUSS[[#This Row],[Private 
For Profit]],AccountabilityTAMUSS[[#This Row],[Private 
Nonprofit]])</f>
        <v>38802507</v>
      </c>
      <c r="L90" s="270">
        <f>SUM(AccountabilityTAMUSS[[#This Row],[Federal]],AccountabilityTAMUSS[[#This Row],[State]],AccountabilityTAMUSS[[#This Row],[Institutional 
Resources]],AccountabilityTAMUSS[[#This Row],[Private]])</f>
        <v>280048971</v>
      </c>
      <c r="M90" s="42"/>
      <c r="N90" s="88"/>
      <c r="O90" s="88"/>
    </row>
    <row r="91" spans="1:15" ht="15.6">
      <c r="A91" s="79" t="s">
        <v>56</v>
      </c>
      <c r="B91" s="80">
        <f>VLOOKUP(AccountabilityTAMUSS[[#This Row],[Institution Name]],InputResearch[],3,FALSE)</f>
        <v>615</v>
      </c>
      <c r="C91" s="84">
        <v>716</v>
      </c>
      <c r="D91" s="85">
        <f>SUMIF(InputResearch[Institution Name],AccountabilityTAMUSS[[#This Row],[Institution Name]],InputResearch[Agricultural Sci. Fed])
+SUMIF(InputResearch[Institution Name],AccountabilityTAMUSS[[#This Row],[Institution Name]],InputResearch[Biological &amp; Other Life Sci. Fed])
+SUMIF(InputResearch[Institution Name],AccountabilityTAMUSS[[#This Row],[Institution Name]],InputResearch[Comp. Sci. Fed])
+SUMIF(InputResearch[Institution Name],AccountabilityTAMUSS[[#This Row],[Institution Name]],InputResearch[Engineering Fed])
+SUMIF(InputResearch[Institution Name],AccountabilityTAMUSS[[#This Row],[Institution Name]],InputResearch[Env Sci. Fed])
+SUMIF(InputResearch[Institution Name],AccountabilityTAMUSS[[#This Row],[Institution Name]],InputResearch[Math Fed])
+SUMIF(InputResearch[Institution Name],AccountabilityTAMUSS[[#This Row],[Institution Name]],InputResearch[Medical Fed])
+SUMIF(InputResearch[Institution Name],AccountabilityTAMUSS[[#This Row],[Institution Name]],InputResearch[Physical Sci. Fed])
+SUMIF(InputResearch[Institution Name],AccountabilityTAMUSS[[#This Row],[Institution Name]],InputResearch[Psychology Fed])
+SUMIF(InputResearch[Institution Name],AccountabilityTAMUSS[[#This Row],[Institution Name]],InputResearch[Social Sci. Fed])
+SUMIF(InputResearch[Institution Name],AccountabilityTAMUSS[[#This Row],[Institution Name]],InputResearch[Other Sci. Fed])
+SUMIF(InputResearch[Institution Name],AccountabilityTAMUSS[[#This Row],[Institution Name]],InputResearch[Arts &amp; Humanities Fed])
+SUMIF(InputResearch[Institution Name],AccountabilityTAMUSS[[#This Row],[Institution Name]],InputResearch[Business Fed])
+SUMIF(InputResearch[Institution Name],AccountabilityTAMUSS[[#This Row],[Institution Name]],InputResearch[Education Fed])
+SUMIF(InputResearch[Institution Name],AccountabilityTAMUSS[[#This Row],[Institution Name]],InputResearch[Law Fed])
+SUMIF(InputResearch[Institution Name],AccountabilityTAMUSS[[#This Row],[Institution Name]],InputResearch[Other Non-Sci. Fed])</f>
        <v>0</v>
      </c>
      <c r="E91" s="85">
        <f>SUMIF(InputResearch[Institution Name],AccountabilityTAMUSS[[#This Row],[Institution Name]],InputResearch[Agricultural Sci. St. Approp.])
+SUMIF(InputResearch[Institution Name],AccountabilityTAMUSS[[#This Row],[Institution Name]],InputResearch[Biological &amp; Other Life Sci. St. Approp.])
+SUMIF(InputResearch[Institution Name],AccountabilityTAMUSS[[#This Row],[Institution Name]],InputResearch[Comp. Sci. St. Approp.])
+SUMIF(InputResearch[Institution Name],AccountabilityTAMUSS[[#This Row],[Institution Name]],InputResearch[Engineering St. Approp.])
+SUMIF(InputResearch[Institution Name],AccountabilityTAMUSS[[#This Row],[Institution Name]],InputResearch[Env Sci. St. Approp.])
+SUMIF(InputResearch[Institution Name],AccountabilityTAMUSS[[#This Row],[Institution Name]],InputResearch[Math St. Approp.])
+SUMIF(InputResearch[Institution Name],AccountabilityTAMUSS[[#This Row],[Institution Name]],InputResearch[Medical St. Approp.])
+SUMIF(InputResearch[Institution Name],AccountabilityTAMUSS[[#This Row],[Institution Name]],InputResearch[Physical Sci. St. Approp.])
+SUMIF(InputResearch[Institution Name],AccountabilityTAMUSS[[#This Row],[Institution Name]],InputResearch[Psychology St. Approp.])
+SUMIF(InputResearch[Institution Name],AccountabilityTAMUSS[[#This Row],[Institution Name]],InputResearch[Social Sci. St. Approp.])
+SUMIF(InputResearch[Institution Name],AccountabilityTAMUSS[[#This Row],[Institution Name]],InputResearch[Other Sci. St. Approp.])
+SUMIF(InputResearch[Institution Name],AccountabilityTAMUSS[[#This Row],[Institution Name]],InputResearch[Arts &amp; Humanities St. Approp.])
+SUMIF(InputResearch[Institution Name],AccountabilityTAMUSS[[#This Row],[Institution Name]],InputResearch[Business St. Approp.])
+SUMIF(InputResearch[Institution Name],AccountabilityTAMUSS[[#This Row],[Institution Name]],InputResearch[Education St. Approp.])
+SUMIF(InputResearch[Institution Name],AccountabilityTAMUSS[[#This Row],[Institution Name]],InputResearch[Law St. Approp.])
+SUMIF(InputResearch[Institution Name],AccountabilityTAMUSS[[#This Row],[Institution Name]],InputResearch[Other Non-Sci. St. Approp.])</f>
        <v>0</v>
      </c>
      <c r="F91" s="85">
        <f>SUMIF(InputResearch[Institution Name],AccountabilityTAMUSS[[#This Row],[Institution Name]],InputResearch[Agricultural Sci. St. C&amp;G])
+SUMIF(InputResearch[Institution Name],AccountabilityTAMUSS[[#This Row],[Institution Name]],InputResearch[Biological &amp; Other Life Sci. St. C&amp;G])
+SUMIF(InputResearch[Institution Name],AccountabilityTAMUSS[[#This Row],[Institution Name]],InputResearch[Comp. Sci. St. C&amp;G])
+SUMIF(InputResearch[Institution Name],AccountabilityTAMUSS[[#This Row],[Institution Name]],InputResearch[Engineering St. C&amp;G])
+SUMIF(InputResearch[Institution Name],AccountabilityTAMUSS[[#This Row],[Institution Name]],InputResearch[Env Sci. St. C&amp;G])
+SUMIF(InputResearch[Institution Name],AccountabilityTAMUSS[[#This Row],[Institution Name]],InputResearch[Math St. C&amp;G])
+SUMIF(InputResearch[Institution Name],AccountabilityTAMUSS[[#This Row],[Institution Name]],InputResearch[Medical St. C&amp;G])
+SUMIF(InputResearch[Institution Name],AccountabilityTAMUSS[[#This Row],[Institution Name]],InputResearch[Physical Sci. St. C&amp;G])
+SUMIF(InputResearch[Institution Name],AccountabilityTAMUSS[[#This Row],[Institution Name]],InputResearch[Psychology St. C&amp;G])
+SUMIF(InputResearch[Institution Name],AccountabilityTAMUSS[[#This Row],[Institution Name]],InputResearch[Social Sci. St. C&amp;G])
+SUMIF(InputResearch[Institution Name],AccountabilityTAMUSS[[#This Row],[Institution Name]],InputResearch[Other Sci. St. C&amp;G])
+SUMIF(InputResearch[Institution Name],AccountabilityTAMUSS[[#This Row],[Institution Name]],InputResearch[Arts &amp; Humanities St. C&amp;G])
+SUMIF(InputResearch[Institution Name],AccountabilityTAMUSS[[#This Row],[Institution Name]],InputResearch[Business St. C&amp;G])
+SUMIF(InputResearch[Institution Name],AccountabilityTAMUSS[[#This Row],[Institution Name]],InputResearch[Education St. C&amp;G])
+SUMIF(InputResearch[Institution Name],AccountabilityTAMUSS[[#This Row],[Institution Name]],InputResearch[Law St. C&amp;G])
+SUMIF(InputResearch[Institution Name],AccountabilityTAMUSS[[#This Row],[Institution Name]],InputResearch[Other Non-Sci. St. C&amp;G])</f>
        <v>0</v>
      </c>
      <c r="G91" s="270">
        <f>SUM(AccountabilityTAMUSS[[#This Row],[State 
Appropriation]],AccountabilityTAMUSS[[#This Row],[State 
Contracts/Grants]])</f>
        <v>0</v>
      </c>
      <c r="H91" s="85">
        <f>SUMIF(InputResearch[Institution Name],AccountabilityTAMUSS[[#This Row],[Institution Name]],InputResearch[Agricultural Sci. Inst Res])
+SUMIF(InputResearch[Institution Name],AccountabilityTAMUSS[[#This Row],[Institution Name]],InputResearch[Biological &amp; Other Life Sci. Inst Res])
+SUMIF(InputResearch[Institution Name],AccountabilityTAMUSS[[#This Row],[Institution Name]],InputResearch[Comp. Sci. Inst Res])
+SUMIF(InputResearch[Institution Name],AccountabilityTAMUSS[[#This Row],[Institution Name]],InputResearch[Engineering Inst Res])
+SUMIF(InputResearch[Institution Name],AccountabilityTAMUSS[[#This Row],[Institution Name]],InputResearch[Env Sci. Inst Res])
+SUMIF(InputResearch[Institution Name],AccountabilityTAMUSS[[#This Row],[Institution Name]],InputResearch[Math Inst Res])
+SUMIF(InputResearch[Institution Name],AccountabilityTAMUSS[[#This Row],[Institution Name]],InputResearch[Medical Inst Res])
+SUMIF(InputResearch[Institution Name],AccountabilityTAMUSS[[#This Row],[Institution Name]],InputResearch[Physical Sci. Inst Res])
+SUMIF(InputResearch[Institution Name],AccountabilityTAMUSS[[#This Row],[Institution Name]],InputResearch[Psychology Inst Res])
+SUMIF(InputResearch[Institution Name],AccountabilityTAMUSS[[#This Row],[Institution Name]],InputResearch[Social Sci. Inst Res])
+SUMIF(InputResearch[Institution Name],AccountabilityTAMUSS[[#This Row],[Institution Name]],InputResearch[Other Sci. Inst Res])
+SUMIF(InputResearch[Institution Name],AccountabilityTAMUSS[[#This Row],[Institution Name]],InputResearch[Arts &amp; Humanities Inst Res])
+SUMIF(InputResearch[Institution Name],AccountabilityTAMUSS[[#This Row],[Institution Name]],InputResearch[Business Inst Res])
+SUMIF(InputResearch[Institution Name],AccountabilityTAMUSS[[#This Row],[Institution Name]],InputResearch[Education Inst Res])
+SUMIF(InputResearch[Institution Name],AccountabilityTAMUSS[[#This Row],[Institution Name]],InputResearch[Law Inst Res])
+SUMIF(InputResearch[Institution Name],AccountabilityTAMUSS[[#This Row],[Institution Name]],InputResearch[Other Non-Sci. Inst Res])</f>
        <v>0</v>
      </c>
      <c r="I91" s="85">
        <f>SUMIF(InputResearch[Institution Name],AccountabilityTAMUSS[[#This Row],[Institution Name]],InputResearch[Agricultural Sci. PFP])
+SUMIF(InputResearch[Institution Name],AccountabilityTAMUSS[[#This Row],[Institution Name]],InputResearch[Biological &amp; Other Life Sci. PFP])
+SUMIF(InputResearch[Institution Name],AccountabilityTAMUSS[[#This Row],[Institution Name]],InputResearch[Comp. Sci. PFP])
+SUMIF(InputResearch[Institution Name],AccountabilityTAMUSS[[#This Row],[Institution Name]],InputResearch[Engineering PFP])
+SUMIF(InputResearch[Institution Name],AccountabilityTAMUSS[[#This Row],[Institution Name]],InputResearch[Env Sci. PFP])
+SUMIF(InputResearch[Institution Name],AccountabilityTAMUSS[[#This Row],[Institution Name]],InputResearch[Math PFP])
+SUMIF(InputResearch[Institution Name],AccountabilityTAMUSS[[#This Row],[Institution Name]],InputResearch[Medical PFP])
+SUMIF(InputResearch[Institution Name],AccountabilityTAMUSS[[#This Row],[Institution Name]],InputResearch[Physical Sci. PFP])
+SUMIF(InputResearch[Institution Name],AccountabilityTAMUSS[[#This Row],[Institution Name]],InputResearch[Psychology PFP])
+SUMIF(InputResearch[Institution Name],AccountabilityTAMUSS[[#This Row],[Institution Name]],InputResearch[Social Sci. PFP])
+SUMIF(InputResearch[Institution Name],AccountabilityTAMUSS[[#This Row],[Institution Name]],InputResearch[Other Sci. PFP])
+SUMIF(InputResearch[Institution Name],AccountabilityTAMUSS[[#This Row],[Institution Name]],InputResearch[Arts &amp; Humanities PFP])
+SUMIF(InputResearch[Institution Name],AccountabilityTAMUSS[[#This Row],[Institution Name]],InputResearch[Business PFP])
+SUMIF(InputResearch[Institution Name],AccountabilityTAMUSS[[#This Row],[Institution Name]],InputResearch[Education PFP])
+SUMIF(InputResearch[Institution Name],AccountabilityTAMUSS[[#This Row],[Institution Name]],InputResearch[Law PFP])
+SUMIF(InputResearch[Institution Name],AccountabilityTAMUSS[[#This Row],[Institution Name]],InputResearch[Other Non-Sci. PFP])</f>
        <v>0</v>
      </c>
      <c r="J91" s="85">
        <f>SUMIF(InputResearch[Institution Name],AccountabilityTAMUSS[[#This Row],[Institution Name]],InputResearch[Agricultural Sci. PNP])
+SUMIF(InputResearch[Institution Name],AccountabilityTAMUSS[[#This Row],[Institution Name]],InputResearch[Biological &amp; Other Life Sci. PNP])
+SUMIF(InputResearch[Institution Name],AccountabilityTAMUSS[[#This Row],[Institution Name]],InputResearch[Comp. Sci. PNP])
+SUMIF(InputResearch[Institution Name],AccountabilityTAMUSS[[#This Row],[Institution Name]],InputResearch[Engineering PNP])
+SUMIF(InputResearch[Institution Name],AccountabilityTAMUSS[[#This Row],[Institution Name]],InputResearch[Env Sci. PNP])
+SUMIF(InputResearch[Institution Name],AccountabilityTAMUSS[[#This Row],[Institution Name]],InputResearch[Math PNP])
+SUMIF(InputResearch[Institution Name],AccountabilityTAMUSS[[#This Row],[Institution Name]],InputResearch[Medical PNP])
+SUMIF(InputResearch[Institution Name],AccountabilityTAMUSS[[#This Row],[Institution Name]],InputResearch[Physical Sci. PNP])
+SUMIF(InputResearch[Institution Name],AccountabilityTAMUSS[[#This Row],[Institution Name]],InputResearch[Psychology PNP])
+SUMIF(InputResearch[Institution Name],AccountabilityTAMUSS[[#This Row],[Institution Name]],InputResearch[Social Sci. PNP])
+SUMIF(InputResearch[Institution Name],AccountabilityTAMUSS[[#This Row],[Institution Name]],InputResearch[Other Sci. PNP])
+SUMIF(InputResearch[Institution Name],AccountabilityTAMUSS[[#This Row],[Institution Name]],InputResearch[Arts &amp; Humanities PNP])
+SUMIF(InputResearch[Institution Name],AccountabilityTAMUSS[[#This Row],[Institution Name]],InputResearch[Business PNP])
+SUMIF(InputResearch[Institution Name],AccountabilityTAMUSS[[#This Row],[Institution Name]],InputResearch[Education PNP])
+SUMIF(InputResearch[Institution Name],AccountabilityTAMUSS[[#This Row],[Institution Name]],InputResearch[Law PNP])
+SUMIF(InputResearch[Institution Name],AccountabilityTAMUSS[[#This Row],[Institution Name]],InputResearch[Other Non-Sci. PNP])</f>
        <v>0</v>
      </c>
      <c r="K91" s="270">
        <f>SUM(AccountabilityTAMUSS[[#This Row],[Private 
For Profit]],AccountabilityTAMUSS[[#This Row],[Private 
Nonprofit]])</f>
        <v>0</v>
      </c>
      <c r="L91" s="270">
        <f>SUM(AccountabilityTAMUSS[[#This Row],[Federal]],AccountabilityTAMUSS[[#This Row],[State]],AccountabilityTAMUSS[[#This Row],[Institutional 
Resources]],AccountabilityTAMUSS[[#This Row],[Private]])</f>
        <v>0</v>
      </c>
      <c r="M91" s="42"/>
      <c r="N91" s="88"/>
      <c r="O91" s="88"/>
    </row>
    <row r="92" spans="1:15" ht="15.6">
      <c r="A92" s="79" t="s">
        <v>57</v>
      </c>
      <c r="B92" s="80">
        <f>VLOOKUP(AccountabilityTAMUSS[[#This Row],[Institution Name]],InputResearch[],3,FALSE)</f>
        <v>620</v>
      </c>
      <c r="C92" s="84">
        <v>576</v>
      </c>
      <c r="D92" s="85">
        <f>SUMIF(InputResearch[Institution Name],AccountabilityTAMUSS[[#This Row],[Institution Name]],InputResearch[Agricultural Sci. Fed])
+SUMIF(InputResearch[Institution Name],AccountabilityTAMUSS[[#This Row],[Institution Name]],InputResearch[Biological &amp; Other Life Sci. Fed])
+SUMIF(InputResearch[Institution Name],AccountabilityTAMUSS[[#This Row],[Institution Name]],InputResearch[Comp. Sci. Fed])
+SUMIF(InputResearch[Institution Name],AccountabilityTAMUSS[[#This Row],[Institution Name]],InputResearch[Engineering Fed])
+SUMIF(InputResearch[Institution Name],AccountabilityTAMUSS[[#This Row],[Institution Name]],InputResearch[Env Sci. Fed])
+SUMIF(InputResearch[Institution Name],AccountabilityTAMUSS[[#This Row],[Institution Name]],InputResearch[Math Fed])
+SUMIF(InputResearch[Institution Name],AccountabilityTAMUSS[[#This Row],[Institution Name]],InputResearch[Medical Fed])
+SUMIF(InputResearch[Institution Name],AccountabilityTAMUSS[[#This Row],[Institution Name]],InputResearch[Physical Sci. Fed])
+SUMIF(InputResearch[Institution Name],AccountabilityTAMUSS[[#This Row],[Institution Name]],InputResearch[Psychology Fed])
+SUMIF(InputResearch[Institution Name],AccountabilityTAMUSS[[#This Row],[Institution Name]],InputResearch[Social Sci. Fed])
+SUMIF(InputResearch[Institution Name],AccountabilityTAMUSS[[#This Row],[Institution Name]],InputResearch[Other Sci. Fed])
+SUMIF(InputResearch[Institution Name],AccountabilityTAMUSS[[#This Row],[Institution Name]],InputResearch[Arts &amp; Humanities Fed])
+SUMIF(InputResearch[Institution Name],AccountabilityTAMUSS[[#This Row],[Institution Name]],InputResearch[Business Fed])
+SUMIF(InputResearch[Institution Name],AccountabilityTAMUSS[[#This Row],[Institution Name]],InputResearch[Education Fed])
+SUMIF(InputResearch[Institution Name],AccountabilityTAMUSS[[#This Row],[Institution Name]],InputResearch[Law Fed])
+SUMIF(InputResearch[Institution Name],AccountabilityTAMUSS[[#This Row],[Institution Name]],InputResearch[Other Non-Sci. Fed])</f>
        <v>1577354</v>
      </c>
      <c r="E92" s="85">
        <f>SUMIF(InputResearch[Institution Name],AccountabilityTAMUSS[[#This Row],[Institution Name]],InputResearch[Agricultural Sci. St. Approp.])
+SUMIF(InputResearch[Institution Name],AccountabilityTAMUSS[[#This Row],[Institution Name]],InputResearch[Biological &amp; Other Life Sci. St. Approp.])
+SUMIF(InputResearch[Institution Name],AccountabilityTAMUSS[[#This Row],[Institution Name]],InputResearch[Comp. Sci. St. Approp.])
+SUMIF(InputResearch[Institution Name],AccountabilityTAMUSS[[#This Row],[Institution Name]],InputResearch[Engineering St. Approp.])
+SUMIF(InputResearch[Institution Name],AccountabilityTAMUSS[[#This Row],[Institution Name]],InputResearch[Env Sci. St. Approp.])
+SUMIF(InputResearch[Institution Name],AccountabilityTAMUSS[[#This Row],[Institution Name]],InputResearch[Math St. Approp.])
+SUMIF(InputResearch[Institution Name],AccountabilityTAMUSS[[#This Row],[Institution Name]],InputResearch[Medical St. Approp.])
+SUMIF(InputResearch[Institution Name],AccountabilityTAMUSS[[#This Row],[Institution Name]],InputResearch[Physical Sci. St. Approp.])
+SUMIF(InputResearch[Institution Name],AccountabilityTAMUSS[[#This Row],[Institution Name]],InputResearch[Psychology St. Approp.])
+SUMIF(InputResearch[Institution Name],AccountabilityTAMUSS[[#This Row],[Institution Name]],InputResearch[Social Sci. St. Approp.])
+SUMIF(InputResearch[Institution Name],AccountabilityTAMUSS[[#This Row],[Institution Name]],InputResearch[Other Sci. St. Approp.])
+SUMIF(InputResearch[Institution Name],AccountabilityTAMUSS[[#This Row],[Institution Name]],InputResearch[Arts &amp; Humanities St. Approp.])
+SUMIF(InputResearch[Institution Name],AccountabilityTAMUSS[[#This Row],[Institution Name]],InputResearch[Business St. Approp.])
+SUMIF(InputResearch[Institution Name],AccountabilityTAMUSS[[#This Row],[Institution Name]],InputResearch[Education St. Approp.])
+SUMIF(InputResearch[Institution Name],AccountabilityTAMUSS[[#This Row],[Institution Name]],InputResearch[Law St. Approp.])
+SUMIF(InputResearch[Institution Name],AccountabilityTAMUSS[[#This Row],[Institution Name]],InputResearch[Other Non-Sci. St. Approp.])</f>
        <v>906341</v>
      </c>
      <c r="F92" s="85">
        <f>SUMIF(InputResearch[Institution Name],AccountabilityTAMUSS[[#This Row],[Institution Name]],InputResearch[Agricultural Sci. St. C&amp;G])
+SUMIF(InputResearch[Institution Name],AccountabilityTAMUSS[[#This Row],[Institution Name]],InputResearch[Biological &amp; Other Life Sci. St. C&amp;G])
+SUMIF(InputResearch[Institution Name],AccountabilityTAMUSS[[#This Row],[Institution Name]],InputResearch[Comp. Sci. St. C&amp;G])
+SUMIF(InputResearch[Institution Name],AccountabilityTAMUSS[[#This Row],[Institution Name]],InputResearch[Engineering St. C&amp;G])
+SUMIF(InputResearch[Institution Name],AccountabilityTAMUSS[[#This Row],[Institution Name]],InputResearch[Env Sci. St. C&amp;G])
+SUMIF(InputResearch[Institution Name],AccountabilityTAMUSS[[#This Row],[Institution Name]],InputResearch[Math St. C&amp;G])
+SUMIF(InputResearch[Institution Name],AccountabilityTAMUSS[[#This Row],[Institution Name]],InputResearch[Medical St. C&amp;G])
+SUMIF(InputResearch[Institution Name],AccountabilityTAMUSS[[#This Row],[Institution Name]],InputResearch[Physical Sci. St. C&amp;G])
+SUMIF(InputResearch[Institution Name],AccountabilityTAMUSS[[#This Row],[Institution Name]],InputResearch[Psychology St. C&amp;G])
+SUMIF(InputResearch[Institution Name],AccountabilityTAMUSS[[#This Row],[Institution Name]],InputResearch[Social Sci. St. C&amp;G])
+SUMIF(InputResearch[Institution Name],AccountabilityTAMUSS[[#This Row],[Institution Name]],InputResearch[Other Sci. St. C&amp;G])
+SUMIF(InputResearch[Institution Name],AccountabilityTAMUSS[[#This Row],[Institution Name]],InputResearch[Arts &amp; Humanities St. C&amp;G])
+SUMIF(InputResearch[Institution Name],AccountabilityTAMUSS[[#This Row],[Institution Name]],InputResearch[Business St. C&amp;G])
+SUMIF(InputResearch[Institution Name],AccountabilityTAMUSS[[#This Row],[Institution Name]],InputResearch[Education St. C&amp;G])
+SUMIF(InputResearch[Institution Name],AccountabilityTAMUSS[[#This Row],[Institution Name]],InputResearch[Law St. C&amp;G])
+SUMIF(InputResearch[Institution Name],AccountabilityTAMUSS[[#This Row],[Institution Name]],InputResearch[Other Non-Sci. St. C&amp;G])</f>
        <v>0</v>
      </c>
      <c r="G92" s="270">
        <f>SUM(AccountabilityTAMUSS[[#This Row],[State 
Appropriation]],AccountabilityTAMUSS[[#This Row],[State 
Contracts/Grants]])</f>
        <v>906341</v>
      </c>
      <c r="H92" s="85">
        <f>SUMIF(InputResearch[Institution Name],AccountabilityTAMUSS[[#This Row],[Institution Name]],InputResearch[Agricultural Sci. Inst Res])
+SUMIF(InputResearch[Institution Name],AccountabilityTAMUSS[[#This Row],[Institution Name]],InputResearch[Biological &amp; Other Life Sci. Inst Res])
+SUMIF(InputResearch[Institution Name],AccountabilityTAMUSS[[#This Row],[Institution Name]],InputResearch[Comp. Sci. Inst Res])
+SUMIF(InputResearch[Institution Name],AccountabilityTAMUSS[[#This Row],[Institution Name]],InputResearch[Engineering Inst Res])
+SUMIF(InputResearch[Institution Name],AccountabilityTAMUSS[[#This Row],[Institution Name]],InputResearch[Env Sci. Inst Res])
+SUMIF(InputResearch[Institution Name],AccountabilityTAMUSS[[#This Row],[Institution Name]],InputResearch[Math Inst Res])
+SUMIF(InputResearch[Institution Name],AccountabilityTAMUSS[[#This Row],[Institution Name]],InputResearch[Medical Inst Res])
+SUMIF(InputResearch[Institution Name],AccountabilityTAMUSS[[#This Row],[Institution Name]],InputResearch[Physical Sci. Inst Res])
+SUMIF(InputResearch[Institution Name],AccountabilityTAMUSS[[#This Row],[Institution Name]],InputResearch[Psychology Inst Res])
+SUMIF(InputResearch[Institution Name],AccountabilityTAMUSS[[#This Row],[Institution Name]],InputResearch[Social Sci. Inst Res])
+SUMIF(InputResearch[Institution Name],AccountabilityTAMUSS[[#This Row],[Institution Name]],InputResearch[Other Sci. Inst Res])
+SUMIF(InputResearch[Institution Name],AccountabilityTAMUSS[[#This Row],[Institution Name]],InputResearch[Arts &amp; Humanities Inst Res])
+SUMIF(InputResearch[Institution Name],AccountabilityTAMUSS[[#This Row],[Institution Name]],InputResearch[Business Inst Res])
+SUMIF(InputResearch[Institution Name],AccountabilityTAMUSS[[#This Row],[Institution Name]],InputResearch[Education Inst Res])
+SUMIF(InputResearch[Institution Name],AccountabilityTAMUSS[[#This Row],[Institution Name]],InputResearch[Law Inst Res])
+SUMIF(InputResearch[Institution Name],AccountabilityTAMUSS[[#This Row],[Institution Name]],InputResearch[Other Non-Sci. Inst Res])</f>
        <v>62707</v>
      </c>
      <c r="I92" s="85">
        <f>SUMIF(InputResearch[Institution Name],AccountabilityTAMUSS[[#This Row],[Institution Name]],InputResearch[Agricultural Sci. PFP])
+SUMIF(InputResearch[Institution Name],AccountabilityTAMUSS[[#This Row],[Institution Name]],InputResearch[Biological &amp; Other Life Sci. PFP])
+SUMIF(InputResearch[Institution Name],AccountabilityTAMUSS[[#This Row],[Institution Name]],InputResearch[Comp. Sci. PFP])
+SUMIF(InputResearch[Institution Name],AccountabilityTAMUSS[[#This Row],[Institution Name]],InputResearch[Engineering PFP])
+SUMIF(InputResearch[Institution Name],AccountabilityTAMUSS[[#This Row],[Institution Name]],InputResearch[Env Sci. PFP])
+SUMIF(InputResearch[Institution Name],AccountabilityTAMUSS[[#This Row],[Institution Name]],InputResearch[Math PFP])
+SUMIF(InputResearch[Institution Name],AccountabilityTAMUSS[[#This Row],[Institution Name]],InputResearch[Medical PFP])
+SUMIF(InputResearch[Institution Name],AccountabilityTAMUSS[[#This Row],[Institution Name]],InputResearch[Physical Sci. PFP])
+SUMIF(InputResearch[Institution Name],AccountabilityTAMUSS[[#This Row],[Institution Name]],InputResearch[Psychology PFP])
+SUMIF(InputResearch[Institution Name],AccountabilityTAMUSS[[#This Row],[Institution Name]],InputResearch[Social Sci. PFP])
+SUMIF(InputResearch[Institution Name],AccountabilityTAMUSS[[#This Row],[Institution Name]],InputResearch[Other Sci. PFP])
+SUMIF(InputResearch[Institution Name],AccountabilityTAMUSS[[#This Row],[Institution Name]],InputResearch[Arts &amp; Humanities PFP])
+SUMIF(InputResearch[Institution Name],AccountabilityTAMUSS[[#This Row],[Institution Name]],InputResearch[Business PFP])
+SUMIF(InputResearch[Institution Name],AccountabilityTAMUSS[[#This Row],[Institution Name]],InputResearch[Education PFP])
+SUMIF(InputResearch[Institution Name],AccountabilityTAMUSS[[#This Row],[Institution Name]],InputResearch[Law PFP])
+SUMIF(InputResearch[Institution Name],AccountabilityTAMUSS[[#This Row],[Institution Name]],InputResearch[Other Non-Sci. PFP])</f>
        <v>0</v>
      </c>
      <c r="J92" s="85">
        <f>SUMIF(InputResearch[Institution Name],AccountabilityTAMUSS[[#This Row],[Institution Name]],InputResearch[Agricultural Sci. PNP])
+SUMIF(InputResearch[Institution Name],AccountabilityTAMUSS[[#This Row],[Institution Name]],InputResearch[Biological &amp; Other Life Sci. PNP])
+SUMIF(InputResearch[Institution Name],AccountabilityTAMUSS[[#This Row],[Institution Name]],InputResearch[Comp. Sci. PNP])
+SUMIF(InputResearch[Institution Name],AccountabilityTAMUSS[[#This Row],[Institution Name]],InputResearch[Engineering PNP])
+SUMIF(InputResearch[Institution Name],AccountabilityTAMUSS[[#This Row],[Institution Name]],InputResearch[Env Sci. PNP])
+SUMIF(InputResearch[Institution Name],AccountabilityTAMUSS[[#This Row],[Institution Name]],InputResearch[Math PNP])
+SUMIF(InputResearch[Institution Name],AccountabilityTAMUSS[[#This Row],[Institution Name]],InputResearch[Medical PNP])
+SUMIF(InputResearch[Institution Name],AccountabilityTAMUSS[[#This Row],[Institution Name]],InputResearch[Physical Sci. PNP])
+SUMIF(InputResearch[Institution Name],AccountabilityTAMUSS[[#This Row],[Institution Name]],InputResearch[Psychology PNP])
+SUMIF(InputResearch[Institution Name],AccountabilityTAMUSS[[#This Row],[Institution Name]],InputResearch[Social Sci. PNP])
+SUMIF(InputResearch[Institution Name],AccountabilityTAMUSS[[#This Row],[Institution Name]],InputResearch[Other Sci. PNP])
+SUMIF(InputResearch[Institution Name],AccountabilityTAMUSS[[#This Row],[Institution Name]],InputResearch[Arts &amp; Humanities PNP])
+SUMIF(InputResearch[Institution Name],AccountabilityTAMUSS[[#This Row],[Institution Name]],InputResearch[Business PNP])
+SUMIF(InputResearch[Institution Name],AccountabilityTAMUSS[[#This Row],[Institution Name]],InputResearch[Education PNP])
+SUMIF(InputResearch[Institution Name],AccountabilityTAMUSS[[#This Row],[Institution Name]],InputResearch[Law PNP])
+SUMIF(InputResearch[Institution Name],AccountabilityTAMUSS[[#This Row],[Institution Name]],InputResearch[Other Non-Sci. PNP])</f>
        <v>193735</v>
      </c>
      <c r="K92" s="270">
        <f>SUM(AccountabilityTAMUSS[[#This Row],[Private 
For Profit]],AccountabilityTAMUSS[[#This Row],[Private 
Nonprofit]])</f>
        <v>193735</v>
      </c>
      <c r="L92" s="270">
        <f>SUM(AccountabilityTAMUSS[[#This Row],[Federal]],AccountabilityTAMUSS[[#This Row],[State]],AccountabilityTAMUSS[[#This Row],[Institutional 
Resources]],AccountabilityTAMUSS[[#This Row],[Private]])</f>
        <v>2740137</v>
      </c>
      <c r="M92" s="42"/>
      <c r="N92" s="88"/>
      <c r="O92" s="88"/>
    </row>
    <row r="93" spans="1:15" ht="15.6">
      <c r="A93" s="79" t="s">
        <v>61</v>
      </c>
      <c r="B93" s="80">
        <f>VLOOKUP(AccountabilityTAMUSS[[#This Row],[Institution Name]],InputResearch[],3,FALSE)</f>
        <v>650</v>
      </c>
      <c r="C93" s="84">
        <v>708</v>
      </c>
      <c r="D93" s="85">
        <f>SUMIF(InputResearch[Institution Name],AccountabilityTAMUSS[[#This Row],[Institution Name]],InputResearch[Agricultural Sci. Fed])
+SUMIF(InputResearch[Institution Name],AccountabilityTAMUSS[[#This Row],[Institution Name]],InputResearch[Biological &amp; Other Life Sci. Fed])
+SUMIF(InputResearch[Institution Name],AccountabilityTAMUSS[[#This Row],[Institution Name]],InputResearch[Comp. Sci. Fed])
+SUMIF(InputResearch[Institution Name],AccountabilityTAMUSS[[#This Row],[Institution Name]],InputResearch[Engineering Fed])
+SUMIF(InputResearch[Institution Name],AccountabilityTAMUSS[[#This Row],[Institution Name]],InputResearch[Env Sci. Fed])
+SUMIF(InputResearch[Institution Name],AccountabilityTAMUSS[[#This Row],[Institution Name]],InputResearch[Math Fed])
+SUMIF(InputResearch[Institution Name],AccountabilityTAMUSS[[#This Row],[Institution Name]],InputResearch[Medical Fed])
+SUMIF(InputResearch[Institution Name],AccountabilityTAMUSS[[#This Row],[Institution Name]],InputResearch[Physical Sci. Fed])
+SUMIF(InputResearch[Institution Name],AccountabilityTAMUSS[[#This Row],[Institution Name]],InputResearch[Psychology Fed])
+SUMIF(InputResearch[Institution Name],AccountabilityTAMUSS[[#This Row],[Institution Name]],InputResearch[Social Sci. Fed])
+SUMIF(InputResearch[Institution Name],AccountabilityTAMUSS[[#This Row],[Institution Name]],InputResearch[Other Sci. Fed])
+SUMIF(InputResearch[Institution Name],AccountabilityTAMUSS[[#This Row],[Institution Name]],InputResearch[Arts &amp; Humanities Fed])
+SUMIF(InputResearch[Institution Name],AccountabilityTAMUSS[[#This Row],[Institution Name]],InputResearch[Business Fed])
+SUMIF(InputResearch[Institution Name],AccountabilityTAMUSS[[#This Row],[Institution Name]],InputResearch[Education Fed])
+SUMIF(InputResearch[Institution Name],AccountabilityTAMUSS[[#This Row],[Institution Name]],InputResearch[Law Fed])
+SUMIF(InputResearch[Institution Name],AccountabilityTAMUSS[[#This Row],[Institution Name]],InputResearch[Other Non-Sci. Fed])</f>
        <v>4772139</v>
      </c>
      <c r="E93" s="85">
        <f>SUMIF(InputResearch[Institution Name],AccountabilityTAMUSS[[#This Row],[Institution Name]],InputResearch[Agricultural Sci. St. Approp.])
+SUMIF(InputResearch[Institution Name],AccountabilityTAMUSS[[#This Row],[Institution Name]],InputResearch[Biological &amp; Other Life Sci. St. Approp.])
+SUMIF(InputResearch[Institution Name],AccountabilityTAMUSS[[#This Row],[Institution Name]],InputResearch[Comp. Sci. St. Approp.])
+SUMIF(InputResearch[Institution Name],AccountabilityTAMUSS[[#This Row],[Institution Name]],InputResearch[Engineering St. Approp.])
+SUMIF(InputResearch[Institution Name],AccountabilityTAMUSS[[#This Row],[Institution Name]],InputResearch[Env Sci. St. Approp.])
+SUMIF(InputResearch[Institution Name],AccountabilityTAMUSS[[#This Row],[Institution Name]],InputResearch[Math St. Approp.])
+SUMIF(InputResearch[Institution Name],AccountabilityTAMUSS[[#This Row],[Institution Name]],InputResearch[Medical St. Approp.])
+SUMIF(InputResearch[Institution Name],AccountabilityTAMUSS[[#This Row],[Institution Name]],InputResearch[Physical Sci. St. Approp.])
+SUMIF(InputResearch[Institution Name],AccountabilityTAMUSS[[#This Row],[Institution Name]],InputResearch[Psychology St. Approp.])
+SUMIF(InputResearch[Institution Name],AccountabilityTAMUSS[[#This Row],[Institution Name]],InputResearch[Social Sci. St. Approp.])
+SUMIF(InputResearch[Institution Name],AccountabilityTAMUSS[[#This Row],[Institution Name]],InputResearch[Other Sci. St. Approp.])
+SUMIF(InputResearch[Institution Name],AccountabilityTAMUSS[[#This Row],[Institution Name]],InputResearch[Arts &amp; Humanities St. Approp.])
+SUMIF(InputResearch[Institution Name],AccountabilityTAMUSS[[#This Row],[Institution Name]],InputResearch[Business St. Approp.])
+SUMIF(InputResearch[Institution Name],AccountabilityTAMUSS[[#This Row],[Institution Name]],InputResearch[Education St. Approp.])
+SUMIF(InputResearch[Institution Name],AccountabilityTAMUSS[[#This Row],[Institution Name]],InputResearch[Law St. Approp.])
+SUMIF(InputResearch[Institution Name],AccountabilityTAMUSS[[#This Row],[Institution Name]],InputResearch[Other Non-Sci. St. Approp.])</f>
        <v>0</v>
      </c>
      <c r="F93" s="85">
        <f>SUMIF(InputResearch[Institution Name],AccountabilityTAMUSS[[#This Row],[Institution Name]],InputResearch[Agricultural Sci. St. C&amp;G])
+SUMIF(InputResearch[Institution Name],AccountabilityTAMUSS[[#This Row],[Institution Name]],InputResearch[Biological &amp; Other Life Sci. St. C&amp;G])
+SUMIF(InputResearch[Institution Name],AccountabilityTAMUSS[[#This Row],[Institution Name]],InputResearch[Comp. Sci. St. C&amp;G])
+SUMIF(InputResearch[Institution Name],AccountabilityTAMUSS[[#This Row],[Institution Name]],InputResearch[Engineering St. C&amp;G])
+SUMIF(InputResearch[Institution Name],AccountabilityTAMUSS[[#This Row],[Institution Name]],InputResearch[Env Sci. St. C&amp;G])
+SUMIF(InputResearch[Institution Name],AccountabilityTAMUSS[[#This Row],[Institution Name]],InputResearch[Math St. C&amp;G])
+SUMIF(InputResearch[Institution Name],AccountabilityTAMUSS[[#This Row],[Institution Name]],InputResearch[Medical St. C&amp;G])
+SUMIF(InputResearch[Institution Name],AccountabilityTAMUSS[[#This Row],[Institution Name]],InputResearch[Physical Sci. St. C&amp;G])
+SUMIF(InputResearch[Institution Name],AccountabilityTAMUSS[[#This Row],[Institution Name]],InputResearch[Psychology St. C&amp;G])
+SUMIF(InputResearch[Institution Name],AccountabilityTAMUSS[[#This Row],[Institution Name]],InputResearch[Social Sci. St. C&amp;G])
+SUMIF(InputResearch[Institution Name],AccountabilityTAMUSS[[#This Row],[Institution Name]],InputResearch[Other Sci. St. C&amp;G])
+SUMIF(InputResearch[Institution Name],AccountabilityTAMUSS[[#This Row],[Institution Name]],InputResearch[Arts &amp; Humanities St. C&amp;G])
+SUMIF(InputResearch[Institution Name],AccountabilityTAMUSS[[#This Row],[Institution Name]],InputResearch[Business St. C&amp;G])
+SUMIF(InputResearch[Institution Name],AccountabilityTAMUSS[[#This Row],[Institution Name]],InputResearch[Education St. C&amp;G])
+SUMIF(InputResearch[Institution Name],AccountabilityTAMUSS[[#This Row],[Institution Name]],InputResearch[Law St. C&amp;G])
+SUMIF(InputResearch[Institution Name],AccountabilityTAMUSS[[#This Row],[Institution Name]],InputResearch[Other Non-Sci. St. C&amp;G])</f>
        <v>698667</v>
      </c>
      <c r="G93" s="270">
        <f>SUM(AccountabilityTAMUSS[[#This Row],[State 
Appropriation]],AccountabilityTAMUSS[[#This Row],[State 
Contracts/Grants]])</f>
        <v>698667</v>
      </c>
      <c r="H93" s="85">
        <f>SUMIF(InputResearch[Institution Name],AccountabilityTAMUSS[[#This Row],[Institution Name]],InputResearch[Agricultural Sci. Inst Res])
+SUMIF(InputResearch[Institution Name],AccountabilityTAMUSS[[#This Row],[Institution Name]],InputResearch[Biological &amp; Other Life Sci. Inst Res])
+SUMIF(InputResearch[Institution Name],AccountabilityTAMUSS[[#This Row],[Institution Name]],InputResearch[Comp. Sci. Inst Res])
+SUMIF(InputResearch[Institution Name],AccountabilityTAMUSS[[#This Row],[Institution Name]],InputResearch[Engineering Inst Res])
+SUMIF(InputResearch[Institution Name],AccountabilityTAMUSS[[#This Row],[Institution Name]],InputResearch[Env Sci. Inst Res])
+SUMIF(InputResearch[Institution Name],AccountabilityTAMUSS[[#This Row],[Institution Name]],InputResearch[Math Inst Res])
+SUMIF(InputResearch[Institution Name],AccountabilityTAMUSS[[#This Row],[Institution Name]],InputResearch[Medical Inst Res])
+SUMIF(InputResearch[Institution Name],AccountabilityTAMUSS[[#This Row],[Institution Name]],InputResearch[Physical Sci. Inst Res])
+SUMIF(InputResearch[Institution Name],AccountabilityTAMUSS[[#This Row],[Institution Name]],InputResearch[Psychology Inst Res])
+SUMIF(InputResearch[Institution Name],AccountabilityTAMUSS[[#This Row],[Institution Name]],InputResearch[Social Sci. Inst Res])
+SUMIF(InputResearch[Institution Name],AccountabilityTAMUSS[[#This Row],[Institution Name]],InputResearch[Other Sci. Inst Res])
+SUMIF(InputResearch[Institution Name],AccountabilityTAMUSS[[#This Row],[Institution Name]],InputResearch[Arts &amp; Humanities Inst Res])
+SUMIF(InputResearch[Institution Name],AccountabilityTAMUSS[[#This Row],[Institution Name]],InputResearch[Business Inst Res])
+SUMIF(InputResearch[Institution Name],AccountabilityTAMUSS[[#This Row],[Institution Name]],InputResearch[Education Inst Res])
+SUMIF(InputResearch[Institution Name],AccountabilityTAMUSS[[#This Row],[Institution Name]],InputResearch[Law Inst Res])
+SUMIF(InputResearch[Institution Name],AccountabilityTAMUSS[[#This Row],[Institution Name]],InputResearch[Other Non-Sci. Inst Res])</f>
        <v>0</v>
      </c>
      <c r="I93" s="85">
        <f>SUMIF(InputResearch[Institution Name],AccountabilityTAMUSS[[#This Row],[Institution Name]],InputResearch[Agricultural Sci. PFP])
+SUMIF(InputResearch[Institution Name],AccountabilityTAMUSS[[#This Row],[Institution Name]],InputResearch[Biological &amp; Other Life Sci. PFP])
+SUMIF(InputResearch[Institution Name],AccountabilityTAMUSS[[#This Row],[Institution Name]],InputResearch[Comp. Sci. PFP])
+SUMIF(InputResearch[Institution Name],AccountabilityTAMUSS[[#This Row],[Institution Name]],InputResearch[Engineering PFP])
+SUMIF(InputResearch[Institution Name],AccountabilityTAMUSS[[#This Row],[Institution Name]],InputResearch[Env Sci. PFP])
+SUMIF(InputResearch[Institution Name],AccountabilityTAMUSS[[#This Row],[Institution Name]],InputResearch[Math PFP])
+SUMIF(InputResearch[Institution Name],AccountabilityTAMUSS[[#This Row],[Institution Name]],InputResearch[Medical PFP])
+SUMIF(InputResearch[Institution Name],AccountabilityTAMUSS[[#This Row],[Institution Name]],InputResearch[Physical Sci. PFP])
+SUMIF(InputResearch[Institution Name],AccountabilityTAMUSS[[#This Row],[Institution Name]],InputResearch[Psychology PFP])
+SUMIF(InputResearch[Institution Name],AccountabilityTAMUSS[[#This Row],[Institution Name]],InputResearch[Social Sci. PFP])
+SUMIF(InputResearch[Institution Name],AccountabilityTAMUSS[[#This Row],[Institution Name]],InputResearch[Other Sci. PFP])
+SUMIF(InputResearch[Institution Name],AccountabilityTAMUSS[[#This Row],[Institution Name]],InputResearch[Arts &amp; Humanities PFP])
+SUMIF(InputResearch[Institution Name],AccountabilityTAMUSS[[#This Row],[Institution Name]],InputResearch[Business PFP])
+SUMIF(InputResearch[Institution Name],AccountabilityTAMUSS[[#This Row],[Institution Name]],InputResearch[Education PFP])
+SUMIF(InputResearch[Institution Name],AccountabilityTAMUSS[[#This Row],[Institution Name]],InputResearch[Law PFP])
+SUMIF(InputResearch[Institution Name],AccountabilityTAMUSS[[#This Row],[Institution Name]],InputResearch[Other Non-Sci. PFP])</f>
        <v>0</v>
      </c>
      <c r="J93" s="85">
        <f>SUMIF(InputResearch[Institution Name],AccountabilityTAMUSS[[#This Row],[Institution Name]],InputResearch[Agricultural Sci. PNP])
+SUMIF(InputResearch[Institution Name],AccountabilityTAMUSS[[#This Row],[Institution Name]],InputResearch[Biological &amp; Other Life Sci. PNP])
+SUMIF(InputResearch[Institution Name],AccountabilityTAMUSS[[#This Row],[Institution Name]],InputResearch[Comp. Sci. PNP])
+SUMIF(InputResearch[Institution Name],AccountabilityTAMUSS[[#This Row],[Institution Name]],InputResearch[Engineering PNP])
+SUMIF(InputResearch[Institution Name],AccountabilityTAMUSS[[#This Row],[Institution Name]],InputResearch[Env Sci. PNP])
+SUMIF(InputResearch[Institution Name],AccountabilityTAMUSS[[#This Row],[Institution Name]],InputResearch[Math PNP])
+SUMIF(InputResearch[Institution Name],AccountabilityTAMUSS[[#This Row],[Institution Name]],InputResearch[Medical PNP])
+SUMIF(InputResearch[Institution Name],AccountabilityTAMUSS[[#This Row],[Institution Name]],InputResearch[Physical Sci. PNP])
+SUMIF(InputResearch[Institution Name],AccountabilityTAMUSS[[#This Row],[Institution Name]],InputResearch[Psychology PNP])
+SUMIF(InputResearch[Institution Name],AccountabilityTAMUSS[[#This Row],[Institution Name]],InputResearch[Social Sci. PNP])
+SUMIF(InputResearch[Institution Name],AccountabilityTAMUSS[[#This Row],[Institution Name]],InputResearch[Other Sci. PNP])
+SUMIF(InputResearch[Institution Name],AccountabilityTAMUSS[[#This Row],[Institution Name]],InputResearch[Arts &amp; Humanities PNP])
+SUMIF(InputResearch[Institution Name],AccountabilityTAMUSS[[#This Row],[Institution Name]],InputResearch[Business PNP])
+SUMIF(InputResearch[Institution Name],AccountabilityTAMUSS[[#This Row],[Institution Name]],InputResearch[Education PNP])
+SUMIF(InputResearch[Institution Name],AccountabilityTAMUSS[[#This Row],[Institution Name]],InputResearch[Law PNP])
+SUMIF(InputResearch[Institution Name],AccountabilityTAMUSS[[#This Row],[Institution Name]],InputResearch[Other Non-Sci. PNP])</f>
        <v>401595</v>
      </c>
      <c r="K93" s="270">
        <f>SUM(AccountabilityTAMUSS[[#This Row],[Private 
For Profit]],AccountabilityTAMUSS[[#This Row],[Private 
Nonprofit]])</f>
        <v>401595</v>
      </c>
      <c r="L93" s="270">
        <f>SUM(AccountabilityTAMUSS[[#This Row],[Federal]],AccountabilityTAMUSS[[#This Row],[State]],AccountabilityTAMUSS[[#This Row],[Institutional 
Resources]],AccountabilityTAMUSS[[#This Row],[Private]])</f>
        <v>5872401</v>
      </c>
      <c r="M93" s="42"/>
      <c r="N93" s="88"/>
      <c r="O93" s="88"/>
    </row>
    <row r="94" spans="1:15" ht="15.6">
      <c r="A94" s="79" t="s">
        <v>58</v>
      </c>
      <c r="B94" s="80">
        <f>VLOOKUP(AccountabilityTAMUSS[[#This Row],[Institution Name]],InputResearch[],3,FALSE)</f>
        <v>625</v>
      </c>
      <c r="C94" s="84">
        <v>727</v>
      </c>
      <c r="D94" s="85">
        <f>SUMIF(InputResearch[Institution Name],AccountabilityTAMUSS[[#This Row],[Institution Name]],InputResearch[Agricultural Sci. Fed])
+SUMIF(InputResearch[Institution Name],AccountabilityTAMUSS[[#This Row],[Institution Name]],InputResearch[Biological &amp; Other Life Sci. Fed])
+SUMIF(InputResearch[Institution Name],AccountabilityTAMUSS[[#This Row],[Institution Name]],InputResearch[Comp. Sci. Fed])
+SUMIF(InputResearch[Institution Name],AccountabilityTAMUSS[[#This Row],[Institution Name]],InputResearch[Engineering Fed])
+SUMIF(InputResearch[Institution Name],AccountabilityTAMUSS[[#This Row],[Institution Name]],InputResearch[Env Sci. Fed])
+SUMIF(InputResearch[Institution Name],AccountabilityTAMUSS[[#This Row],[Institution Name]],InputResearch[Math Fed])
+SUMIF(InputResearch[Institution Name],AccountabilityTAMUSS[[#This Row],[Institution Name]],InputResearch[Medical Fed])
+SUMIF(InputResearch[Institution Name],AccountabilityTAMUSS[[#This Row],[Institution Name]],InputResearch[Physical Sci. Fed])
+SUMIF(InputResearch[Institution Name],AccountabilityTAMUSS[[#This Row],[Institution Name]],InputResearch[Psychology Fed])
+SUMIF(InputResearch[Institution Name],AccountabilityTAMUSS[[#This Row],[Institution Name]],InputResearch[Social Sci. Fed])
+SUMIF(InputResearch[Institution Name],AccountabilityTAMUSS[[#This Row],[Institution Name]],InputResearch[Other Sci. Fed])
+SUMIF(InputResearch[Institution Name],AccountabilityTAMUSS[[#This Row],[Institution Name]],InputResearch[Arts &amp; Humanities Fed])
+SUMIF(InputResearch[Institution Name],AccountabilityTAMUSS[[#This Row],[Institution Name]],InputResearch[Business Fed])
+SUMIF(InputResearch[Institution Name],AccountabilityTAMUSS[[#This Row],[Institution Name]],InputResearch[Education Fed])
+SUMIF(InputResearch[Institution Name],AccountabilityTAMUSS[[#This Row],[Institution Name]],InputResearch[Law Fed])
+SUMIF(InputResearch[Institution Name],AccountabilityTAMUSS[[#This Row],[Institution Name]],InputResearch[Other Non-Sci. Fed])</f>
        <v>21705399</v>
      </c>
      <c r="E94" s="85">
        <f>SUMIF(InputResearch[Institution Name],AccountabilityTAMUSS[[#This Row],[Institution Name]],InputResearch[Agricultural Sci. St. Approp.])
+SUMIF(InputResearch[Institution Name],AccountabilityTAMUSS[[#This Row],[Institution Name]],InputResearch[Biological &amp; Other Life Sci. St. Approp.])
+SUMIF(InputResearch[Institution Name],AccountabilityTAMUSS[[#This Row],[Institution Name]],InputResearch[Comp. Sci. St. Approp.])
+SUMIF(InputResearch[Institution Name],AccountabilityTAMUSS[[#This Row],[Institution Name]],InputResearch[Engineering St. Approp.])
+SUMIF(InputResearch[Institution Name],AccountabilityTAMUSS[[#This Row],[Institution Name]],InputResearch[Env Sci. St. Approp.])
+SUMIF(InputResearch[Institution Name],AccountabilityTAMUSS[[#This Row],[Institution Name]],InputResearch[Math St. Approp.])
+SUMIF(InputResearch[Institution Name],AccountabilityTAMUSS[[#This Row],[Institution Name]],InputResearch[Medical St. Approp.])
+SUMIF(InputResearch[Institution Name],AccountabilityTAMUSS[[#This Row],[Institution Name]],InputResearch[Physical Sci. St. Approp.])
+SUMIF(InputResearch[Institution Name],AccountabilityTAMUSS[[#This Row],[Institution Name]],InputResearch[Psychology St. Approp.])
+SUMIF(InputResearch[Institution Name],AccountabilityTAMUSS[[#This Row],[Institution Name]],InputResearch[Social Sci. St. Approp.])
+SUMIF(InputResearch[Institution Name],AccountabilityTAMUSS[[#This Row],[Institution Name]],InputResearch[Other Sci. St. Approp.])
+SUMIF(InputResearch[Institution Name],AccountabilityTAMUSS[[#This Row],[Institution Name]],InputResearch[Arts &amp; Humanities St. Approp.])
+SUMIF(InputResearch[Institution Name],AccountabilityTAMUSS[[#This Row],[Institution Name]],InputResearch[Business St. Approp.])
+SUMIF(InputResearch[Institution Name],AccountabilityTAMUSS[[#This Row],[Institution Name]],InputResearch[Education St. Approp.])
+SUMIF(InputResearch[Institution Name],AccountabilityTAMUSS[[#This Row],[Institution Name]],InputResearch[Law St. Approp.])
+SUMIF(InputResearch[Institution Name],AccountabilityTAMUSS[[#This Row],[Institution Name]],InputResearch[Other Non-Sci. St. Approp.])</f>
        <v>10193454</v>
      </c>
      <c r="F94" s="85">
        <f>SUMIF(InputResearch[Institution Name],AccountabilityTAMUSS[[#This Row],[Institution Name]],InputResearch[Agricultural Sci. St. C&amp;G])
+SUMIF(InputResearch[Institution Name],AccountabilityTAMUSS[[#This Row],[Institution Name]],InputResearch[Biological &amp; Other Life Sci. St. C&amp;G])
+SUMIF(InputResearch[Institution Name],AccountabilityTAMUSS[[#This Row],[Institution Name]],InputResearch[Comp. Sci. St. C&amp;G])
+SUMIF(InputResearch[Institution Name],AccountabilityTAMUSS[[#This Row],[Institution Name]],InputResearch[Engineering St. C&amp;G])
+SUMIF(InputResearch[Institution Name],AccountabilityTAMUSS[[#This Row],[Institution Name]],InputResearch[Env Sci. St. C&amp;G])
+SUMIF(InputResearch[Institution Name],AccountabilityTAMUSS[[#This Row],[Institution Name]],InputResearch[Math St. C&amp;G])
+SUMIF(InputResearch[Institution Name],AccountabilityTAMUSS[[#This Row],[Institution Name]],InputResearch[Medical St. C&amp;G])
+SUMIF(InputResearch[Institution Name],AccountabilityTAMUSS[[#This Row],[Institution Name]],InputResearch[Physical Sci. St. C&amp;G])
+SUMIF(InputResearch[Institution Name],AccountabilityTAMUSS[[#This Row],[Institution Name]],InputResearch[Psychology St. C&amp;G])
+SUMIF(InputResearch[Institution Name],AccountabilityTAMUSS[[#This Row],[Institution Name]],InputResearch[Social Sci. St. C&amp;G])
+SUMIF(InputResearch[Institution Name],AccountabilityTAMUSS[[#This Row],[Institution Name]],InputResearch[Other Sci. St. C&amp;G])
+SUMIF(InputResearch[Institution Name],AccountabilityTAMUSS[[#This Row],[Institution Name]],InputResearch[Arts &amp; Humanities St. C&amp;G])
+SUMIF(InputResearch[Institution Name],AccountabilityTAMUSS[[#This Row],[Institution Name]],InputResearch[Business St. C&amp;G])
+SUMIF(InputResearch[Institution Name],AccountabilityTAMUSS[[#This Row],[Institution Name]],InputResearch[Education St. C&amp;G])
+SUMIF(InputResearch[Institution Name],AccountabilityTAMUSS[[#This Row],[Institution Name]],InputResearch[Law St. C&amp;G])
+SUMIF(InputResearch[Institution Name],AccountabilityTAMUSS[[#This Row],[Institution Name]],InputResearch[Other Non-Sci. St. C&amp;G])</f>
        <v>47281661</v>
      </c>
      <c r="G94" s="270">
        <f>SUM(AccountabilityTAMUSS[[#This Row],[State 
Appropriation]],AccountabilityTAMUSS[[#This Row],[State 
Contracts/Grants]])</f>
        <v>57475115</v>
      </c>
      <c r="H94" s="85">
        <f>SUMIF(InputResearch[Institution Name],AccountabilityTAMUSS[[#This Row],[Institution Name]],InputResearch[Agricultural Sci. Inst Res])
+SUMIF(InputResearch[Institution Name],AccountabilityTAMUSS[[#This Row],[Institution Name]],InputResearch[Biological &amp; Other Life Sci. Inst Res])
+SUMIF(InputResearch[Institution Name],AccountabilityTAMUSS[[#This Row],[Institution Name]],InputResearch[Comp. Sci. Inst Res])
+SUMIF(InputResearch[Institution Name],AccountabilityTAMUSS[[#This Row],[Institution Name]],InputResearch[Engineering Inst Res])
+SUMIF(InputResearch[Institution Name],AccountabilityTAMUSS[[#This Row],[Institution Name]],InputResearch[Env Sci. Inst Res])
+SUMIF(InputResearch[Institution Name],AccountabilityTAMUSS[[#This Row],[Institution Name]],InputResearch[Math Inst Res])
+SUMIF(InputResearch[Institution Name],AccountabilityTAMUSS[[#This Row],[Institution Name]],InputResearch[Medical Inst Res])
+SUMIF(InputResearch[Institution Name],AccountabilityTAMUSS[[#This Row],[Institution Name]],InputResearch[Physical Sci. Inst Res])
+SUMIF(InputResearch[Institution Name],AccountabilityTAMUSS[[#This Row],[Institution Name]],InputResearch[Psychology Inst Res])
+SUMIF(InputResearch[Institution Name],AccountabilityTAMUSS[[#This Row],[Institution Name]],InputResearch[Social Sci. Inst Res])
+SUMIF(InputResearch[Institution Name],AccountabilityTAMUSS[[#This Row],[Institution Name]],InputResearch[Other Sci. Inst Res])
+SUMIF(InputResearch[Institution Name],AccountabilityTAMUSS[[#This Row],[Institution Name]],InputResearch[Arts &amp; Humanities Inst Res])
+SUMIF(InputResearch[Institution Name],AccountabilityTAMUSS[[#This Row],[Institution Name]],InputResearch[Business Inst Res])
+SUMIF(InputResearch[Institution Name],AccountabilityTAMUSS[[#This Row],[Institution Name]],InputResearch[Education Inst Res])
+SUMIF(InputResearch[Institution Name],AccountabilityTAMUSS[[#This Row],[Institution Name]],InputResearch[Law Inst Res])
+SUMIF(InputResearch[Institution Name],AccountabilityTAMUSS[[#This Row],[Institution Name]],InputResearch[Other Non-Sci. Inst Res])</f>
        <v>29404917</v>
      </c>
      <c r="I94" s="85">
        <f>SUMIF(InputResearch[Institution Name],AccountabilityTAMUSS[[#This Row],[Institution Name]],InputResearch[Agricultural Sci. PFP])
+SUMIF(InputResearch[Institution Name],AccountabilityTAMUSS[[#This Row],[Institution Name]],InputResearch[Biological &amp; Other Life Sci. PFP])
+SUMIF(InputResearch[Institution Name],AccountabilityTAMUSS[[#This Row],[Institution Name]],InputResearch[Comp. Sci. PFP])
+SUMIF(InputResearch[Institution Name],AccountabilityTAMUSS[[#This Row],[Institution Name]],InputResearch[Engineering PFP])
+SUMIF(InputResearch[Institution Name],AccountabilityTAMUSS[[#This Row],[Institution Name]],InputResearch[Env Sci. PFP])
+SUMIF(InputResearch[Institution Name],AccountabilityTAMUSS[[#This Row],[Institution Name]],InputResearch[Math PFP])
+SUMIF(InputResearch[Institution Name],AccountabilityTAMUSS[[#This Row],[Institution Name]],InputResearch[Medical PFP])
+SUMIF(InputResearch[Institution Name],AccountabilityTAMUSS[[#This Row],[Institution Name]],InputResearch[Physical Sci. PFP])
+SUMIF(InputResearch[Institution Name],AccountabilityTAMUSS[[#This Row],[Institution Name]],InputResearch[Psychology PFP])
+SUMIF(InputResearch[Institution Name],AccountabilityTAMUSS[[#This Row],[Institution Name]],InputResearch[Social Sci. PFP])
+SUMIF(InputResearch[Institution Name],AccountabilityTAMUSS[[#This Row],[Institution Name]],InputResearch[Other Sci. PFP])
+SUMIF(InputResearch[Institution Name],AccountabilityTAMUSS[[#This Row],[Institution Name]],InputResearch[Arts &amp; Humanities PFP])
+SUMIF(InputResearch[Institution Name],AccountabilityTAMUSS[[#This Row],[Institution Name]],InputResearch[Business PFP])
+SUMIF(InputResearch[Institution Name],AccountabilityTAMUSS[[#This Row],[Institution Name]],InputResearch[Education PFP])
+SUMIF(InputResearch[Institution Name],AccountabilityTAMUSS[[#This Row],[Institution Name]],InputResearch[Law PFP])
+SUMIF(InputResearch[Institution Name],AccountabilityTAMUSS[[#This Row],[Institution Name]],InputResearch[Other Non-Sci. PFP])</f>
        <v>2830317</v>
      </c>
      <c r="J94" s="85">
        <f>SUMIF(InputResearch[Institution Name],AccountabilityTAMUSS[[#This Row],[Institution Name]],InputResearch[Agricultural Sci. PNP])
+SUMIF(InputResearch[Institution Name],AccountabilityTAMUSS[[#This Row],[Institution Name]],InputResearch[Biological &amp; Other Life Sci. PNP])
+SUMIF(InputResearch[Institution Name],AccountabilityTAMUSS[[#This Row],[Institution Name]],InputResearch[Comp. Sci. PNP])
+SUMIF(InputResearch[Institution Name],AccountabilityTAMUSS[[#This Row],[Institution Name]],InputResearch[Engineering PNP])
+SUMIF(InputResearch[Institution Name],AccountabilityTAMUSS[[#This Row],[Institution Name]],InputResearch[Env Sci. PNP])
+SUMIF(InputResearch[Institution Name],AccountabilityTAMUSS[[#This Row],[Institution Name]],InputResearch[Math PNP])
+SUMIF(InputResearch[Institution Name],AccountabilityTAMUSS[[#This Row],[Institution Name]],InputResearch[Medical PNP])
+SUMIF(InputResearch[Institution Name],AccountabilityTAMUSS[[#This Row],[Institution Name]],InputResearch[Physical Sci. PNP])
+SUMIF(InputResearch[Institution Name],AccountabilityTAMUSS[[#This Row],[Institution Name]],InputResearch[Psychology PNP])
+SUMIF(InputResearch[Institution Name],AccountabilityTAMUSS[[#This Row],[Institution Name]],InputResearch[Social Sci. PNP])
+SUMIF(InputResearch[Institution Name],AccountabilityTAMUSS[[#This Row],[Institution Name]],InputResearch[Other Sci. PNP])
+SUMIF(InputResearch[Institution Name],AccountabilityTAMUSS[[#This Row],[Institution Name]],InputResearch[Arts &amp; Humanities PNP])
+SUMIF(InputResearch[Institution Name],AccountabilityTAMUSS[[#This Row],[Institution Name]],InputResearch[Business PNP])
+SUMIF(InputResearch[Institution Name],AccountabilityTAMUSS[[#This Row],[Institution Name]],InputResearch[Education PNP])
+SUMIF(InputResearch[Institution Name],AccountabilityTAMUSS[[#This Row],[Institution Name]],InputResearch[Law PNP])
+SUMIF(InputResearch[Institution Name],AccountabilityTAMUSS[[#This Row],[Institution Name]],InputResearch[Other Non-Sci. PNP])</f>
        <v>539165</v>
      </c>
      <c r="K94" s="270">
        <f>SUM(AccountabilityTAMUSS[[#This Row],[Private 
For Profit]],AccountabilityTAMUSS[[#This Row],[Private 
Nonprofit]])</f>
        <v>3369482</v>
      </c>
      <c r="L94" s="270">
        <f>SUM(AccountabilityTAMUSS[[#This Row],[Federal]],AccountabilityTAMUSS[[#This Row],[State]],AccountabilityTAMUSS[[#This Row],[Institutional 
Resources]],AccountabilityTAMUSS[[#This Row],[Private]])</f>
        <v>111954913</v>
      </c>
      <c r="M94" s="42"/>
      <c r="N94" s="88"/>
      <c r="O94" s="88"/>
    </row>
    <row r="95" spans="1:15" ht="15.6">
      <c r="A95" s="79" t="s">
        <v>829</v>
      </c>
      <c r="B95" s="80" t="str">
        <f>VLOOKUP(AccountabilityTAMUSS[[#This Row],[Institution Name]],InputResearch[],3,FALSE)</f>
        <v>S130</v>
      </c>
      <c r="C95" s="84">
        <v>3629</v>
      </c>
      <c r="D95" s="85">
        <f>SUMIF(InputResearch[Institution Name],AccountabilityTAMUSS[[#This Row],[Institution Name]],InputResearch[Agricultural Sci. Fed])
+SUMIF(InputResearch[Institution Name],AccountabilityTAMUSS[[#This Row],[Institution Name]],InputResearch[Biological &amp; Other Life Sci. Fed])
+SUMIF(InputResearch[Institution Name],AccountabilityTAMUSS[[#This Row],[Institution Name]],InputResearch[Comp. Sci. Fed])
+SUMIF(InputResearch[Institution Name],AccountabilityTAMUSS[[#This Row],[Institution Name]],InputResearch[Engineering Fed])
+SUMIF(InputResearch[Institution Name],AccountabilityTAMUSS[[#This Row],[Institution Name]],InputResearch[Env Sci. Fed])
+SUMIF(InputResearch[Institution Name],AccountabilityTAMUSS[[#This Row],[Institution Name]],InputResearch[Math Fed])
+SUMIF(InputResearch[Institution Name],AccountabilityTAMUSS[[#This Row],[Institution Name]],InputResearch[Medical Fed])
+SUMIF(InputResearch[Institution Name],AccountabilityTAMUSS[[#This Row],[Institution Name]],InputResearch[Physical Sci. Fed])
+SUMIF(InputResearch[Institution Name],AccountabilityTAMUSS[[#This Row],[Institution Name]],InputResearch[Psychology Fed])
+SUMIF(InputResearch[Institution Name],AccountabilityTAMUSS[[#This Row],[Institution Name]],InputResearch[Social Sci. Fed])
+SUMIF(InputResearch[Institution Name],AccountabilityTAMUSS[[#This Row],[Institution Name]],InputResearch[Other Sci. Fed])
+SUMIF(InputResearch[Institution Name],AccountabilityTAMUSS[[#This Row],[Institution Name]],InputResearch[Arts &amp; Humanities Fed])
+SUMIF(InputResearch[Institution Name],AccountabilityTAMUSS[[#This Row],[Institution Name]],InputResearch[Business Fed])
+SUMIF(InputResearch[Institution Name],AccountabilityTAMUSS[[#This Row],[Institution Name]],InputResearch[Education Fed])
+SUMIF(InputResearch[Institution Name],AccountabilityTAMUSS[[#This Row],[Institution Name]],InputResearch[Law Fed])
+SUMIF(InputResearch[Institution Name],AccountabilityTAMUSS[[#This Row],[Institution Name]],InputResearch[Other Non-Sci. Fed])</f>
        <v>26818</v>
      </c>
      <c r="E95" s="85">
        <f>SUMIF(InputResearch[Institution Name],AccountabilityTAMUSS[[#This Row],[Institution Name]],InputResearch[Agricultural Sci. St. Approp.])
+SUMIF(InputResearch[Institution Name],AccountabilityTAMUSS[[#This Row],[Institution Name]],InputResearch[Biological &amp; Other Life Sci. St. Approp.])
+SUMIF(InputResearch[Institution Name],AccountabilityTAMUSS[[#This Row],[Institution Name]],InputResearch[Comp. Sci. St. Approp.])
+SUMIF(InputResearch[Institution Name],AccountabilityTAMUSS[[#This Row],[Institution Name]],InputResearch[Engineering St. Approp.])
+SUMIF(InputResearch[Institution Name],AccountabilityTAMUSS[[#This Row],[Institution Name]],InputResearch[Env Sci. St. Approp.])
+SUMIF(InputResearch[Institution Name],AccountabilityTAMUSS[[#This Row],[Institution Name]],InputResearch[Math St. Approp.])
+SUMIF(InputResearch[Institution Name],AccountabilityTAMUSS[[#This Row],[Institution Name]],InputResearch[Medical St. Approp.])
+SUMIF(InputResearch[Institution Name],AccountabilityTAMUSS[[#This Row],[Institution Name]],InputResearch[Physical Sci. St. Approp.])
+SUMIF(InputResearch[Institution Name],AccountabilityTAMUSS[[#This Row],[Institution Name]],InputResearch[Psychology St. Approp.])
+SUMIF(InputResearch[Institution Name],AccountabilityTAMUSS[[#This Row],[Institution Name]],InputResearch[Social Sci. St. Approp.])
+SUMIF(InputResearch[Institution Name],AccountabilityTAMUSS[[#This Row],[Institution Name]],InputResearch[Other Sci. St. Approp.])
+SUMIF(InputResearch[Institution Name],AccountabilityTAMUSS[[#This Row],[Institution Name]],InputResearch[Arts &amp; Humanities St. Approp.])
+SUMIF(InputResearch[Institution Name],AccountabilityTAMUSS[[#This Row],[Institution Name]],InputResearch[Business St. Approp.])
+SUMIF(InputResearch[Institution Name],AccountabilityTAMUSS[[#This Row],[Institution Name]],InputResearch[Education St. Approp.])
+SUMIF(InputResearch[Institution Name],AccountabilityTAMUSS[[#This Row],[Institution Name]],InputResearch[Law St. Approp.])
+SUMIF(InputResearch[Institution Name],AccountabilityTAMUSS[[#This Row],[Institution Name]],InputResearch[Other Non-Sci. St. Approp.])</f>
        <v>0</v>
      </c>
      <c r="F95" s="85">
        <f>SUMIF(InputResearch[Institution Name],AccountabilityTAMUSS[[#This Row],[Institution Name]],InputResearch[Agricultural Sci. St. C&amp;G])
+SUMIF(InputResearch[Institution Name],AccountabilityTAMUSS[[#This Row],[Institution Name]],InputResearch[Biological &amp; Other Life Sci. St. C&amp;G])
+SUMIF(InputResearch[Institution Name],AccountabilityTAMUSS[[#This Row],[Institution Name]],InputResearch[Comp. Sci. St. C&amp;G])
+SUMIF(InputResearch[Institution Name],AccountabilityTAMUSS[[#This Row],[Institution Name]],InputResearch[Engineering St. C&amp;G])
+SUMIF(InputResearch[Institution Name],AccountabilityTAMUSS[[#This Row],[Institution Name]],InputResearch[Env Sci. St. C&amp;G])
+SUMIF(InputResearch[Institution Name],AccountabilityTAMUSS[[#This Row],[Institution Name]],InputResearch[Math St. C&amp;G])
+SUMIF(InputResearch[Institution Name],AccountabilityTAMUSS[[#This Row],[Institution Name]],InputResearch[Medical St. C&amp;G])
+SUMIF(InputResearch[Institution Name],AccountabilityTAMUSS[[#This Row],[Institution Name]],InputResearch[Physical Sci. St. C&amp;G])
+SUMIF(InputResearch[Institution Name],AccountabilityTAMUSS[[#This Row],[Institution Name]],InputResearch[Psychology St. C&amp;G])
+SUMIF(InputResearch[Institution Name],AccountabilityTAMUSS[[#This Row],[Institution Name]],InputResearch[Social Sci. St. C&amp;G])
+SUMIF(InputResearch[Institution Name],AccountabilityTAMUSS[[#This Row],[Institution Name]],InputResearch[Other Sci. St. C&amp;G])
+SUMIF(InputResearch[Institution Name],AccountabilityTAMUSS[[#This Row],[Institution Name]],InputResearch[Arts &amp; Humanities St. C&amp;G])
+SUMIF(InputResearch[Institution Name],AccountabilityTAMUSS[[#This Row],[Institution Name]],InputResearch[Business St. C&amp;G])
+SUMIF(InputResearch[Institution Name],AccountabilityTAMUSS[[#This Row],[Institution Name]],InputResearch[Education St. C&amp;G])
+SUMIF(InputResearch[Institution Name],AccountabilityTAMUSS[[#This Row],[Institution Name]],InputResearch[Law St. C&amp;G])
+SUMIF(InputResearch[Institution Name],AccountabilityTAMUSS[[#This Row],[Institution Name]],InputResearch[Other Non-Sci. St. C&amp;G])</f>
        <v>203178</v>
      </c>
      <c r="G95" s="270">
        <f>SUM(AccountabilityTAMUSS[[#This Row],[State 
Appropriation]],AccountabilityTAMUSS[[#This Row],[State 
Contracts/Grants]])</f>
        <v>203178</v>
      </c>
      <c r="H95" s="85">
        <f>SUMIF(InputResearch[Institution Name],AccountabilityTAMUSS[[#This Row],[Institution Name]],InputResearch[Agricultural Sci. Inst Res])
+SUMIF(InputResearch[Institution Name],AccountabilityTAMUSS[[#This Row],[Institution Name]],InputResearch[Biological &amp; Other Life Sci. Inst Res])
+SUMIF(InputResearch[Institution Name],AccountabilityTAMUSS[[#This Row],[Institution Name]],InputResearch[Comp. Sci. Inst Res])
+SUMIF(InputResearch[Institution Name],AccountabilityTAMUSS[[#This Row],[Institution Name]],InputResearch[Engineering Inst Res])
+SUMIF(InputResearch[Institution Name],AccountabilityTAMUSS[[#This Row],[Institution Name]],InputResearch[Env Sci. Inst Res])
+SUMIF(InputResearch[Institution Name],AccountabilityTAMUSS[[#This Row],[Institution Name]],InputResearch[Math Inst Res])
+SUMIF(InputResearch[Institution Name],AccountabilityTAMUSS[[#This Row],[Institution Name]],InputResearch[Medical Inst Res])
+SUMIF(InputResearch[Institution Name],AccountabilityTAMUSS[[#This Row],[Institution Name]],InputResearch[Physical Sci. Inst Res])
+SUMIF(InputResearch[Institution Name],AccountabilityTAMUSS[[#This Row],[Institution Name]],InputResearch[Psychology Inst Res])
+SUMIF(InputResearch[Institution Name],AccountabilityTAMUSS[[#This Row],[Institution Name]],InputResearch[Social Sci. Inst Res])
+SUMIF(InputResearch[Institution Name],AccountabilityTAMUSS[[#This Row],[Institution Name]],InputResearch[Other Sci. Inst Res])
+SUMIF(InputResearch[Institution Name],AccountabilityTAMUSS[[#This Row],[Institution Name]],InputResearch[Arts &amp; Humanities Inst Res])
+SUMIF(InputResearch[Institution Name],AccountabilityTAMUSS[[#This Row],[Institution Name]],InputResearch[Business Inst Res])
+SUMIF(InputResearch[Institution Name],AccountabilityTAMUSS[[#This Row],[Institution Name]],InputResearch[Education Inst Res])
+SUMIF(InputResearch[Institution Name],AccountabilityTAMUSS[[#This Row],[Institution Name]],InputResearch[Law Inst Res])
+SUMIF(InputResearch[Institution Name],AccountabilityTAMUSS[[#This Row],[Institution Name]],InputResearch[Other Non-Sci. Inst Res])</f>
        <v>0</v>
      </c>
      <c r="I95" s="85">
        <f>SUMIF(InputResearch[Institution Name],AccountabilityTAMUSS[[#This Row],[Institution Name]],InputResearch[Agricultural Sci. PFP])
+SUMIF(InputResearch[Institution Name],AccountabilityTAMUSS[[#This Row],[Institution Name]],InputResearch[Biological &amp; Other Life Sci. PFP])
+SUMIF(InputResearch[Institution Name],AccountabilityTAMUSS[[#This Row],[Institution Name]],InputResearch[Comp. Sci. PFP])
+SUMIF(InputResearch[Institution Name],AccountabilityTAMUSS[[#This Row],[Institution Name]],InputResearch[Engineering PFP])
+SUMIF(InputResearch[Institution Name],AccountabilityTAMUSS[[#This Row],[Institution Name]],InputResearch[Env Sci. PFP])
+SUMIF(InputResearch[Institution Name],AccountabilityTAMUSS[[#This Row],[Institution Name]],InputResearch[Math PFP])
+SUMIF(InputResearch[Institution Name],AccountabilityTAMUSS[[#This Row],[Institution Name]],InputResearch[Medical PFP])
+SUMIF(InputResearch[Institution Name],AccountabilityTAMUSS[[#This Row],[Institution Name]],InputResearch[Physical Sci. PFP])
+SUMIF(InputResearch[Institution Name],AccountabilityTAMUSS[[#This Row],[Institution Name]],InputResearch[Psychology PFP])
+SUMIF(InputResearch[Institution Name],AccountabilityTAMUSS[[#This Row],[Institution Name]],InputResearch[Social Sci. PFP])
+SUMIF(InputResearch[Institution Name],AccountabilityTAMUSS[[#This Row],[Institution Name]],InputResearch[Other Sci. PFP])
+SUMIF(InputResearch[Institution Name],AccountabilityTAMUSS[[#This Row],[Institution Name]],InputResearch[Arts &amp; Humanities PFP])
+SUMIF(InputResearch[Institution Name],AccountabilityTAMUSS[[#This Row],[Institution Name]],InputResearch[Business PFP])
+SUMIF(InputResearch[Institution Name],AccountabilityTAMUSS[[#This Row],[Institution Name]],InputResearch[Education PFP])
+SUMIF(InputResearch[Institution Name],AccountabilityTAMUSS[[#This Row],[Institution Name]],InputResearch[Law PFP])
+SUMIF(InputResearch[Institution Name],AccountabilityTAMUSS[[#This Row],[Institution Name]],InputResearch[Other Non-Sci. PFP])</f>
        <v>0</v>
      </c>
      <c r="J95" s="85">
        <f>SUMIF(InputResearch[Institution Name],AccountabilityTAMUSS[[#This Row],[Institution Name]],InputResearch[Agricultural Sci. PNP])
+SUMIF(InputResearch[Institution Name],AccountabilityTAMUSS[[#This Row],[Institution Name]],InputResearch[Biological &amp; Other Life Sci. PNP])
+SUMIF(InputResearch[Institution Name],AccountabilityTAMUSS[[#This Row],[Institution Name]],InputResearch[Comp. Sci. PNP])
+SUMIF(InputResearch[Institution Name],AccountabilityTAMUSS[[#This Row],[Institution Name]],InputResearch[Engineering PNP])
+SUMIF(InputResearch[Institution Name],AccountabilityTAMUSS[[#This Row],[Institution Name]],InputResearch[Env Sci. PNP])
+SUMIF(InputResearch[Institution Name],AccountabilityTAMUSS[[#This Row],[Institution Name]],InputResearch[Math PNP])
+SUMIF(InputResearch[Institution Name],AccountabilityTAMUSS[[#This Row],[Institution Name]],InputResearch[Medical PNP])
+SUMIF(InputResearch[Institution Name],AccountabilityTAMUSS[[#This Row],[Institution Name]],InputResearch[Physical Sci. PNP])
+SUMIF(InputResearch[Institution Name],AccountabilityTAMUSS[[#This Row],[Institution Name]],InputResearch[Psychology PNP])
+SUMIF(InputResearch[Institution Name],AccountabilityTAMUSS[[#This Row],[Institution Name]],InputResearch[Social Sci. PNP])
+SUMIF(InputResearch[Institution Name],AccountabilityTAMUSS[[#This Row],[Institution Name]],InputResearch[Other Sci. PNP])
+SUMIF(InputResearch[Institution Name],AccountabilityTAMUSS[[#This Row],[Institution Name]],InputResearch[Arts &amp; Humanities PNP])
+SUMIF(InputResearch[Institution Name],AccountabilityTAMUSS[[#This Row],[Institution Name]],InputResearch[Business PNP])
+SUMIF(InputResearch[Institution Name],AccountabilityTAMUSS[[#This Row],[Institution Name]],InputResearch[Education PNP])
+SUMIF(InputResearch[Institution Name],AccountabilityTAMUSS[[#This Row],[Institution Name]],InputResearch[Law PNP])
+SUMIF(InputResearch[Institution Name],AccountabilityTAMUSS[[#This Row],[Institution Name]],InputResearch[Other Non-Sci. PNP])</f>
        <v>0</v>
      </c>
      <c r="K95" s="270">
        <f>SUM(AccountabilityTAMUSS[[#This Row],[Private 
For Profit]],AccountabilityTAMUSS[[#This Row],[Private 
Nonprofit]])</f>
        <v>0</v>
      </c>
      <c r="L95" s="270">
        <f>SUM(AccountabilityTAMUSS[[#This Row],[Federal]],AccountabilityTAMUSS[[#This Row],[State]],AccountabilityTAMUSS[[#This Row],[Institutional 
Resources]],AccountabilityTAMUSS[[#This Row],[Private]])</f>
        <v>229996</v>
      </c>
      <c r="M95" s="42"/>
      <c r="N95" s="88"/>
      <c r="O95" s="88"/>
    </row>
    <row r="96" spans="1:15" ht="15.6">
      <c r="A96" s="79" t="s">
        <v>59</v>
      </c>
      <c r="B96" s="80">
        <f>VLOOKUP(AccountabilityTAMUSS[[#This Row],[Institution Name]],InputResearch[],3,FALSE)</f>
        <v>630</v>
      </c>
      <c r="C96" s="84">
        <v>557</v>
      </c>
      <c r="D96" s="85">
        <f>SUMIF(InputResearch[Institution Name],AccountabilityTAMUSS[[#This Row],[Institution Name]],InputResearch[Agricultural Sci. Fed])
+SUMIF(InputResearch[Institution Name],AccountabilityTAMUSS[[#This Row],[Institution Name]],InputResearch[Biological &amp; Other Life Sci. Fed])
+SUMIF(InputResearch[Institution Name],AccountabilityTAMUSS[[#This Row],[Institution Name]],InputResearch[Comp. Sci. Fed])
+SUMIF(InputResearch[Institution Name],AccountabilityTAMUSS[[#This Row],[Institution Name]],InputResearch[Engineering Fed])
+SUMIF(InputResearch[Institution Name],AccountabilityTAMUSS[[#This Row],[Institution Name]],InputResearch[Env Sci. Fed])
+SUMIF(InputResearch[Institution Name],AccountabilityTAMUSS[[#This Row],[Institution Name]],InputResearch[Math Fed])
+SUMIF(InputResearch[Institution Name],AccountabilityTAMUSS[[#This Row],[Institution Name]],InputResearch[Medical Fed])
+SUMIF(InputResearch[Institution Name],AccountabilityTAMUSS[[#This Row],[Institution Name]],InputResearch[Physical Sci. Fed])
+SUMIF(InputResearch[Institution Name],AccountabilityTAMUSS[[#This Row],[Institution Name]],InputResearch[Psychology Fed])
+SUMIF(InputResearch[Institution Name],AccountabilityTAMUSS[[#This Row],[Institution Name]],InputResearch[Social Sci. Fed])
+SUMIF(InputResearch[Institution Name],AccountabilityTAMUSS[[#This Row],[Institution Name]],InputResearch[Other Sci. Fed])
+SUMIF(InputResearch[Institution Name],AccountabilityTAMUSS[[#This Row],[Institution Name]],InputResearch[Arts &amp; Humanities Fed])
+SUMIF(InputResearch[Institution Name],AccountabilityTAMUSS[[#This Row],[Institution Name]],InputResearch[Business Fed])
+SUMIF(InputResearch[Institution Name],AccountabilityTAMUSS[[#This Row],[Institution Name]],InputResearch[Education Fed])
+SUMIF(InputResearch[Institution Name],AccountabilityTAMUSS[[#This Row],[Institution Name]],InputResearch[Law Fed])
+SUMIF(InputResearch[Institution Name],AccountabilityTAMUSS[[#This Row],[Institution Name]],InputResearch[Other Non-Sci. Fed])</f>
        <v>1012565</v>
      </c>
      <c r="E96" s="85">
        <f>SUMIF(InputResearch[Institution Name],AccountabilityTAMUSS[[#This Row],[Institution Name]],InputResearch[Agricultural Sci. St. Approp.])
+SUMIF(InputResearch[Institution Name],AccountabilityTAMUSS[[#This Row],[Institution Name]],InputResearch[Biological &amp; Other Life Sci. St. Approp.])
+SUMIF(InputResearch[Institution Name],AccountabilityTAMUSS[[#This Row],[Institution Name]],InputResearch[Comp. Sci. St. Approp.])
+SUMIF(InputResearch[Institution Name],AccountabilityTAMUSS[[#This Row],[Institution Name]],InputResearch[Engineering St. Approp.])
+SUMIF(InputResearch[Institution Name],AccountabilityTAMUSS[[#This Row],[Institution Name]],InputResearch[Env Sci. St. Approp.])
+SUMIF(InputResearch[Institution Name],AccountabilityTAMUSS[[#This Row],[Institution Name]],InputResearch[Math St. Approp.])
+SUMIF(InputResearch[Institution Name],AccountabilityTAMUSS[[#This Row],[Institution Name]],InputResearch[Medical St. Approp.])
+SUMIF(InputResearch[Institution Name],AccountabilityTAMUSS[[#This Row],[Institution Name]],InputResearch[Physical Sci. St. Approp.])
+SUMIF(InputResearch[Institution Name],AccountabilityTAMUSS[[#This Row],[Institution Name]],InputResearch[Psychology St. Approp.])
+SUMIF(InputResearch[Institution Name],AccountabilityTAMUSS[[#This Row],[Institution Name]],InputResearch[Social Sci. St. Approp.])
+SUMIF(InputResearch[Institution Name],AccountabilityTAMUSS[[#This Row],[Institution Name]],InputResearch[Other Sci. St. Approp.])
+SUMIF(InputResearch[Institution Name],AccountabilityTAMUSS[[#This Row],[Institution Name]],InputResearch[Arts &amp; Humanities St. Approp.])
+SUMIF(InputResearch[Institution Name],AccountabilityTAMUSS[[#This Row],[Institution Name]],InputResearch[Business St. Approp.])
+SUMIF(InputResearch[Institution Name],AccountabilityTAMUSS[[#This Row],[Institution Name]],InputResearch[Education St. Approp.])
+SUMIF(InputResearch[Institution Name],AccountabilityTAMUSS[[#This Row],[Institution Name]],InputResearch[Law St. Approp.])
+SUMIF(InputResearch[Institution Name],AccountabilityTAMUSS[[#This Row],[Institution Name]],InputResearch[Other Non-Sci. St. Approp.])</f>
        <v>0</v>
      </c>
      <c r="F96" s="85">
        <f>SUMIF(InputResearch[Institution Name],AccountabilityTAMUSS[[#This Row],[Institution Name]],InputResearch[Agricultural Sci. St. C&amp;G])
+SUMIF(InputResearch[Institution Name],AccountabilityTAMUSS[[#This Row],[Institution Name]],InputResearch[Biological &amp; Other Life Sci. St. C&amp;G])
+SUMIF(InputResearch[Institution Name],AccountabilityTAMUSS[[#This Row],[Institution Name]],InputResearch[Comp. Sci. St. C&amp;G])
+SUMIF(InputResearch[Institution Name],AccountabilityTAMUSS[[#This Row],[Institution Name]],InputResearch[Engineering St. C&amp;G])
+SUMIF(InputResearch[Institution Name],AccountabilityTAMUSS[[#This Row],[Institution Name]],InputResearch[Env Sci. St. C&amp;G])
+SUMIF(InputResearch[Institution Name],AccountabilityTAMUSS[[#This Row],[Institution Name]],InputResearch[Math St. C&amp;G])
+SUMIF(InputResearch[Institution Name],AccountabilityTAMUSS[[#This Row],[Institution Name]],InputResearch[Medical St. C&amp;G])
+SUMIF(InputResearch[Institution Name],AccountabilityTAMUSS[[#This Row],[Institution Name]],InputResearch[Physical Sci. St. C&amp;G])
+SUMIF(InputResearch[Institution Name],AccountabilityTAMUSS[[#This Row],[Institution Name]],InputResearch[Psychology St. C&amp;G])
+SUMIF(InputResearch[Institution Name],AccountabilityTAMUSS[[#This Row],[Institution Name]],InputResearch[Social Sci. St. C&amp;G])
+SUMIF(InputResearch[Institution Name],AccountabilityTAMUSS[[#This Row],[Institution Name]],InputResearch[Other Sci. St. C&amp;G])
+SUMIF(InputResearch[Institution Name],AccountabilityTAMUSS[[#This Row],[Institution Name]],InputResearch[Arts &amp; Humanities St. C&amp;G])
+SUMIF(InputResearch[Institution Name],AccountabilityTAMUSS[[#This Row],[Institution Name]],InputResearch[Business St. C&amp;G])
+SUMIF(InputResearch[Institution Name],AccountabilityTAMUSS[[#This Row],[Institution Name]],InputResearch[Education St. C&amp;G])
+SUMIF(InputResearch[Institution Name],AccountabilityTAMUSS[[#This Row],[Institution Name]],InputResearch[Law St. C&amp;G])
+SUMIF(InputResearch[Institution Name],AccountabilityTAMUSS[[#This Row],[Institution Name]],InputResearch[Other Non-Sci. St. C&amp;G])</f>
        <v>0</v>
      </c>
      <c r="G96" s="270">
        <f>SUM(AccountabilityTAMUSS[[#This Row],[State 
Appropriation]],AccountabilityTAMUSS[[#This Row],[State 
Contracts/Grants]])</f>
        <v>0</v>
      </c>
      <c r="H96" s="85">
        <f>SUMIF(InputResearch[Institution Name],AccountabilityTAMUSS[[#This Row],[Institution Name]],InputResearch[Agricultural Sci. Inst Res])
+SUMIF(InputResearch[Institution Name],AccountabilityTAMUSS[[#This Row],[Institution Name]],InputResearch[Biological &amp; Other Life Sci. Inst Res])
+SUMIF(InputResearch[Institution Name],AccountabilityTAMUSS[[#This Row],[Institution Name]],InputResearch[Comp. Sci. Inst Res])
+SUMIF(InputResearch[Institution Name],AccountabilityTAMUSS[[#This Row],[Institution Name]],InputResearch[Engineering Inst Res])
+SUMIF(InputResearch[Institution Name],AccountabilityTAMUSS[[#This Row],[Institution Name]],InputResearch[Env Sci. Inst Res])
+SUMIF(InputResearch[Institution Name],AccountabilityTAMUSS[[#This Row],[Institution Name]],InputResearch[Math Inst Res])
+SUMIF(InputResearch[Institution Name],AccountabilityTAMUSS[[#This Row],[Institution Name]],InputResearch[Medical Inst Res])
+SUMIF(InputResearch[Institution Name],AccountabilityTAMUSS[[#This Row],[Institution Name]],InputResearch[Physical Sci. Inst Res])
+SUMIF(InputResearch[Institution Name],AccountabilityTAMUSS[[#This Row],[Institution Name]],InputResearch[Psychology Inst Res])
+SUMIF(InputResearch[Institution Name],AccountabilityTAMUSS[[#This Row],[Institution Name]],InputResearch[Social Sci. Inst Res])
+SUMIF(InputResearch[Institution Name],AccountabilityTAMUSS[[#This Row],[Institution Name]],InputResearch[Other Sci. Inst Res])
+SUMIF(InputResearch[Institution Name],AccountabilityTAMUSS[[#This Row],[Institution Name]],InputResearch[Arts &amp; Humanities Inst Res])
+SUMIF(InputResearch[Institution Name],AccountabilityTAMUSS[[#This Row],[Institution Name]],InputResearch[Business Inst Res])
+SUMIF(InputResearch[Institution Name],AccountabilityTAMUSS[[#This Row],[Institution Name]],InputResearch[Education Inst Res])
+SUMIF(InputResearch[Institution Name],AccountabilityTAMUSS[[#This Row],[Institution Name]],InputResearch[Law Inst Res])
+SUMIF(InputResearch[Institution Name],AccountabilityTAMUSS[[#This Row],[Institution Name]],InputResearch[Other Non-Sci. Inst Res])</f>
        <v>0</v>
      </c>
      <c r="I96" s="85">
        <f>SUMIF(InputResearch[Institution Name],AccountabilityTAMUSS[[#This Row],[Institution Name]],InputResearch[Agricultural Sci. PFP])
+SUMIF(InputResearch[Institution Name],AccountabilityTAMUSS[[#This Row],[Institution Name]],InputResearch[Biological &amp; Other Life Sci. PFP])
+SUMIF(InputResearch[Institution Name],AccountabilityTAMUSS[[#This Row],[Institution Name]],InputResearch[Comp. Sci. PFP])
+SUMIF(InputResearch[Institution Name],AccountabilityTAMUSS[[#This Row],[Institution Name]],InputResearch[Engineering PFP])
+SUMIF(InputResearch[Institution Name],AccountabilityTAMUSS[[#This Row],[Institution Name]],InputResearch[Env Sci. PFP])
+SUMIF(InputResearch[Institution Name],AccountabilityTAMUSS[[#This Row],[Institution Name]],InputResearch[Math PFP])
+SUMIF(InputResearch[Institution Name],AccountabilityTAMUSS[[#This Row],[Institution Name]],InputResearch[Medical PFP])
+SUMIF(InputResearch[Institution Name],AccountabilityTAMUSS[[#This Row],[Institution Name]],InputResearch[Physical Sci. PFP])
+SUMIF(InputResearch[Institution Name],AccountabilityTAMUSS[[#This Row],[Institution Name]],InputResearch[Psychology PFP])
+SUMIF(InputResearch[Institution Name],AccountabilityTAMUSS[[#This Row],[Institution Name]],InputResearch[Social Sci. PFP])
+SUMIF(InputResearch[Institution Name],AccountabilityTAMUSS[[#This Row],[Institution Name]],InputResearch[Other Sci. PFP])
+SUMIF(InputResearch[Institution Name],AccountabilityTAMUSS[[#This Row],[Institution Name]],InputResearch[Arts &amp; Humanities PFP])
+SUMIF(InputResearch[Institution Name],AccountabilityTAMUSS[[#This Row],[Institution Name]],InputResearch[Business PFP])
+SUMIF(InputResearch[Institution Name],AccountabilityTAMUSS[[#This Row],[Institution Name]],InputResearch[Education PFP])
+SUMIF(InputResearch[Institution Name],AccountabilityTAMUSS[[#This Row],[Institution Name]],InputResearch[Law PFP])
+SUMIF(InputResearch[Institution Name],AccountabilityTAMUSS[[#This Row],[Institution Name]],InputResearch[Other Non-Sci. PFP])</f>
        <v>0</v>
      </c>
      <c r="J96" s="85">
        <f>SUMIF(InputResearch[Institution Name],AccountabilityTAMUSS[[#This Row],[Institution Name]],InputResearch[Agricultural Sci. PNP])
+SUMIF(InputResearch[Institution Name],AccountabilityTAMUSS[[#This Row],[Institution Name]],InputResearch[Biological &amp; Other Life Sci. PNP])
+SUMIF(InputResearch[Institution Name],AccountabilityTAMUSS[[#This Row],[Institution Name]],InputResearch[Comp. Sci. PNP])
+SUMIF(InputResearch[Institution Name],AccountabilityTAMUSS[[#This Row],[Institution Name]],InputResearch[Engineering PNP])
+SUMIF(InputResearch[Institution Name],AccountabilityTAMUSS[[#This Row],[Institution Name]],InputResearch[Env Sci. PNP])
+SUMIF(InputResearch[Institution Name],AccountabilityTAMUSS[[#This Row],[Institution Name]],InputResearch[Math PNP])
+SUMIF(InputResearch[Institution Name],AccountabilityTAMUSS[[#This Row],[Institution Name]],InputResearch[Medical PNP])
+SUMIF(InputResearch[Institution Name],AccountabilityTAMUSS[[#This Row],[Institution Name]],InputResearch[Physical Sci. PNP])
+SUMIF(InputResearch[Institution Name],AccountabilityTAMUSS[[#This Row],[Institution Name]],InputResearch[Psychology PNP])
+SUMIF(InputResearch[Institution Name],AccountabilityTAMUSS[[#This Row],[Institution Name]],InputResearch[Social Sci. PNP])
+SUMIF(InputResearch[Institution Name],AccountabilityTAMUSS[[#This Row],[Institution Name]],InputResearch[Other Sci. PNP])
+SUMIF(InputResearch[Institution Name],AccountabilityTAMUSS[[#This Row],[Institution Name]],InputResearch[Arts &amp; Humanities PNP])
+SUMIF(InputResearch[Institution Name],AccountabilityTAMUSS[[#This Row],[Institution Name]],InputResearch[Business PNP])
+SUMIF(InputResearch[Institution Name],AccountabilityTAMUSS[[#This Row],[Institution Name]],InputResearch[Education PNP])
+SUMIF(InputResearch[Institution Name],AccountabilityTAMUSS[[#This Row],[Institution Name]],InputResearch[Law PNP])
+SUMIF(InputResearch[Institution Name],AccountabilityTAMUSS[[#This Row],[Institution Name]],InputResearch[Other Non-Sci. PNP])</f>
        <v>0</v>
      </c>
      <c r="K96" s="270">
        <f>SUM(AccountabilityTAMUSS[[#This Row],[Private 
For Profit]],AccountabilityTAMUSS[[#This Row],[Private 
Nonprofit]])</f>
        <v>0</v>
      </c>
      <c r="L96" s="270">
        <f>SUM(AccountabilityTAMUSS[[#This Row],[Federal]],AccountabilityTAMUSS[[#This Row],[State]],AccountabilityTAMUSS[[#This Row],[Institutional 
Resources]],AccountabilityTAMUSS[[#This Row],[Private]])</f>
        <v>1012565</v>
      </c>
      <c r="M96" s="42"/>
      <c r="N96" s="88"/>
      <c r="O96" s="88"/>
    </row>
    <row r="97" spans="1:15" ht="15.6">
      <c r="A97" s="79" t="s">
        <v>60</v>
      </c>
      <c r="B97" s="80">
        <f>VLOOKUP(AccountabilityTAMUSS[[#This Row],[Institution Name]],InputResearch[],3,FALSE)</f>
        <v>640</v>
      </c>
      <c r="C97" s="84">
        <v>575</v>
      </c>
      <c r="D97" s="85">
        <f>SUMIF(InputResearch[Institution Name],AccountabilityTAMUSS[[#This Row],[Institution Name]],InputResearch[Agricultural Sci. Fed])
+SUMIF(InputResearch[Institution Name],AccountabilityTAMUSS[[#This Row],[Institution Name]],InputResearch[Biological &amp; Other Life Sci. Fed])
+SUMIF(InputResearch[Institution Name],AccountabilityTAMUSS[[#This Row],[Institution Name]],InputResearch[Comp. Sci. Fed])
+SUMIF(InputResearch[Institution Name],AccountabilityTAMUSS[[#This Row],[Institution Name]],InputResearch[Engineering Fed])
+SUMIF(InputResearch[Institution Name],AccountabilityTAMUSS[[#This Row],[Institution Name]],InputResearch[Env Sci. Fed])
+SUMIF(InputResearch[Institution Name],AccountabilityTAMUSS[[#This Row],[Institution Name]],InputResearch[Math Fed])
+SUMIF(InputResearch[Institution Name],AccountabilityTAMUSS[[#This Row],[Institution Name]],InputResearch[Medical Fed])
+SUMIF(InputResearch[Institution Name],AccountabilityTAMUSS[[#This Row],[Institution Name]],InputResearch[Physical Sci. Fed])
+SUMIF(InputResearch[Institution Name],AccountabilityTAMUSS[[#This Row],[Institution Name]],InputResearch[Psychology Fed])
+SUMIF(InputResearch[Institution Name],AccountabilityTAMUSS[[#This Row],[Institution Name]],InputResearch[Social Sci. Fed])
+SUMIF(InputResearch[Institution Name],AccountabilityTAMUSS[[#This Row],[Institution Name]],InputResearch[Other Sci. Fed])
+SUMIF(InputResearch[Institution Name],AccountabilityTAMUSS[[#This Row],[Institution Name]],InputResearch[Arts &amp; Humanities Fed])
+SUMIF(InputResearch[Institution Name],AccountabilityTAMUSS[[#This Row],[Institution Name]],InputResearch[Business Fed])
+SUMIF(InputResearch[Institution Name],AccountabilityTAMUSS[[#This Row],[Institution Name]],InputResearch[Education Fed])
+SUMIF(InputResearch[Institution Name],AccountabilityTAMUSS[[#This Row],[Institution Name]],InputResearch[Law Fed])
+SUMIF(InputResearch[Institution Name],AccountabilityTAMUSS[[#This Row],[Institution Name]],InputResearch[Other Non-Sci. Fed])</f>
        <v>0</v>
      </c>
      <c r="E97" s="85">
        <f>SUMIF(InputResearch[Institution Name],AccountabilityTAMUSS[[#This Row],[Institution Name]],InputResearch[Agricultural Sci. St. Approp.])
+SUMIF(InputResearch[Institution Name],AccountabilityTAMUSS[[#This Row],[Institution Name]],InputResearch[Biological &amp; Other Life Sci. St. Approp.])
+SUMIF(InputResearch[Institution Name],AccountabilityTAMUSS[[#This Row],[Institution Name]],InputResearch[Comp. Sci. St. Approp.])
+SUMIF(InputResearch[Institution Name],AccountabilityTAMUSS[[#This Row],[Institution Name]],InputResearch[Engineering St. Approp.])
+SUMIF(InputResearch[Institution Name],AccountabilityTAMUSS[[#This Row],[Institution Name]],InputResearch[Env Sci. St. Approp.])
+SUMIF(InputResearch[Institution Name],AccountabilityTAMUSS[[#This Row],[Institution Name]],InputResearch[Math St. Approp.])
+SUMIF(InputResearch[Institution Name],AccountabilityTAMUSS[[#This Row],[Institution Name]],InputResearch[Medical St. Approp.])
+SUMIF(InputResearch[Institution Name],AccountabilityTAMUSS[[#This Row],[Institution Name]],InputResearch[Physical Sci. St. Approp.])
+SUMIF(InputResearch[Institution Name],AccountabilityTAMUSS[[#This Row],[Institution Name]],InputResearch[Psychology St. Approp.])
+SUMIF(InputResearch[Institution Name],AccountabilityTAMUSS[[#This Row],[Institution Name]],InputResearch[Social Sci. St. Approp.])
+SUMIF(InputResearch[Institution Name],AccountabilityTAMUSS[[#This Row],[Institution Name]],InputResearch[Other Sci. St. Approp.])
+SUMIF(InputResearch[Institution Name],AccountabilityTAMUSS[[#This Row],[Institution Name]],InputResearch[Arts &amp; Humanities St. Approp.])
+SUMIF(InputResearch[Institution Name],AccountabilityTAMUSS[[#This Row],[Institution Name]],InputResearch[Business St. Approp.])
+SUMIF(InputResearch[Institution Name],AccountabilityTAMUSS[[#This Row],[Institution Name]],InputResearch[Education St. Approp.])
+SUMIF(InputResearch[Institution Name],AccountabilityTAMUSS[[#This Row],[Institution Name]],InputResearch[Law St. Approp.])
+SUMIF(InputResearch[Institution Name],AccountabilityTAMUSS[[#This Row],[Institution Name]],InputResearch[Other Non-Sci. St. Approp.])</f>
        <v>0</v>
      </c>
      <c r="F97" s="85">
        <f>SUMIF(InputResearch[Institution Name],AccountabilityTAMUSS[[#This Row],[Institution Name]],InputResearch[Agricultural Sci. St. C&amp;G])
+SUMIF(InputResearch[Institution Name],AccountabilityTAMUSS[[#This Row],[Institution Name]],InputResearch[Biological &amp; Other Life Sci. St. C&amp;G])
+SUMIF(InputResearch[Institution Name],AccountabilityTAMUSS[[#This Row],[Institution Name]],InputResearch[Comp. Sci. St. C&amp;G])
+SUMIF(InputResearch[Institution Name],AccountabilityTAMUSS[[#This Row],[Institution Name]],InputResearch[Engineering St. C&amp;G])
+SUMIF(InputResearch[Institution Name],AccountabilityTAMUSS[[#This Row],[Institution Name]],InputResearch[Env Sci. St. C&amp;G])
+SUMIF(InputResearch[Institution Name],AccountabilityTAMUSS[[#This Row],[Institution Name]],InputResearch[Math St. C&amp;G])
+SUMIF(InputResearch[Institution Name],AccountabilityTAMUSS[[#This Row],[Institution Name]],InputResearch[Medical St. C&amp;G])
+SUMIF(InputResearch[Institution Name],AccountabilityTAMUSS[[#This Row],[Institution Name]],InputResearch[Physical Sci. St. C&amp;G])
+SUMIF(InputResearch[Institution Name],AccountabilityTAMUSS[[#This Row],[Institution Name]],InputResearch[Psychology St. C&amp;G])
+SUMIF(InputResearch[Institution Name],AccountabilityTAMUSS[[#This Row],[Institution Name]],InputResearch[Social Sci. St. C&amp;G])
+SUMIF(InputResearch[Institution Name],AccountabilityTAMUSS[[#This Row],[Institution Name]],InputResearch[Other Sci. St. C&amp;G])
+SUMIF(InputResearch[Institution Name],AccountabilityTAMUSS[[#This Row],[Institution Name]],InputResearch[Arts &amp; Humanities St. C&amp;G])
+SUMIF(InputResearch[Institution Name],AccountabilityTAMUSS[[#This Row],[Institution Name]],InputResearch[Business St. C&amp;G])
+SUMIF(InputResearch[Institution Name],AccountabilityTAMUSS[[#This Row],[Institution Name]],InputResearch[Education St. C&amp;G])
+SUMIF(InputResearch[Institution Name],AccountabilityTAMUSS[[#This Row],[Institution Name]],InputResearch[Law St. C&amp;G])
+SUMIF(InputResearch[Institution Name],AccountabilityTAMUSS[[#This Row],[Institution Name]],InputResearch[Other Non-Sci. St. C&amp;G])</f>
        <v>0</v>
      </c>
      <c r="G97" s="270">
        <f>SUM(AccountabilityTAMUSS[[#This Row],[State 
Appropriation]],AccountabilityTAMUSS[[#This Row],[State 
Contracts/Grants]])</f>
        <v>0</v>
      </c>
      <c r="H97" s="85">
        <f>SUMIF(InputResearch[Institution Name],AccountabilityTAMUSS[[#This Row],[Institution Name]],InputResearch[Agricultural Sci. Inst Res])
+SUMIF(InputResearch[Institution Name],AccountabilityTAMUSS[[#This Row],[Institution Name]],InputResearch[Biological &amp; Other Life Sci. Inst Res])
+SUMIF(InputResearch[Institution Name],AccountabilityTAMUSS[[#This Row],[Institution Name]],InputResearch[Comp. Sci. Inst Res])
+SUMIF(InputResearch[Institution Name],AccountabilityTAMUSS[[#This Row],[Institution Name]],InputResearch[Engineering Inst Res])
+SUMIF(InputResearch[Institution Name],AccountabilityTAMUSS[[#This Row],[Institution Name]],InputResearch[Env Sci. Inst Res])
+SUMIF(InputResearch[Institution Name],AccountabilityTAMUSS[[#This Row],[Institution Name]],InputResearch[Math Inst Res])
+SUMIF(InputResearch[Institution Name],AccountabilityTAMUSS[[#This Row],[Institution Name]],InputResearch[Medical Inst Res])
+SUMIF(InputResearch[Institution Name],AccountabilityTAMUSS[[#This Row],[Institution Name]],InputResearch[Physical Sci. Inst Res])
+SUMIF(InputResearch[Institution Name],AccountabilityTAMUSS[[#This Row],[Institution Name]],InputResearch[Psychology Inst Res])
+SUMIF(InputResearch[Institution Name],AccountabilityTAMUSS[[#This Row],[Institution Name]],InputResearch[Social Sci. Inst Res])
+SUMIF(InputResearch[Institution Name],AccountabilityTAMUSS[[#This Row],[Institution Name]],InputResearch[Other Sci. Inst Res])
+SUMIF(InputResearch[Institution Name],AccountabilityTAMUSS[[#This Row],[Institution Name]],InputResearch[Arts &amp; Humanities Inst Res])
+SUMIF(InputResearch[Institution Name],AccountabilityTAMUSS[[#This Row],[Institution Name]],InputResearch[Business Inst Res])
+SUMIF(InputResearch[Institution Name],AccountabilityTAMUSS[[#This Row],[Institution Name]],InputResearch[Education Inst Res])
+SUMIF(InputResearch[Institution Name],AccountabilityTAMUSS[[#This Row],[Institution Name]],InputResearch[Law Inst Res])
+SUMIF(InputResearch[Institution Name],AccountabilityTAMUSS[[#This Row],[Institution Name]],InputResearch[Other Non-Sci. Inst Res])</f>
        <v>0</v>
      </c>
      <c r="I97" s="85">
        <f>SUMIF(InputResearch[Institution Name],AccountabilityTAMUSS[[#This Row],[Institution Name]],InputResearch[Agricultural Sci. PFP])
+SUMIF(InputResearch[Institution Name],AccountabilityTAMUSS[[#This Row],[Institution Name]],InputResearch[Biological &amp; Other Life Sci. PFP])
+SUMIF(InputResearch[Institution Name],AccountabilityTAMUSS[[#This Row],[Institution Name]],InputResearch[Comp. Sci. PFP])
+SUMIF(InputResearch[Institution Name],AccountabilityTAMUSS[[#This Row],[Institution Name]],InputResearch[Engineering PFP])
+SUMIF(InputResearch[Institution Name],AccountabilityTAMUSS[[#This Row],[Institution Name]],InputResearch[Env Sci. PFP])
+SUMIF(InputResearch[Institution Name],AccountabilityTAMUSS[[#This Row],[Institution Name]],InputResearch[Math PFP])
+SUMIF(InputResearch[Institution Name],AccountabilityTAMUSS[[#This Row],[Institution Name]],InputResearch[Medical PFP])
+SUMIF(InputResearch[Institution Name],AccountabilityTAMUSS[[#This Row],[Institution Name]],InputResearch[Physical Sci. PFP])
+SUMIF(InputResearch[Institution Name],AccountabilityTAMUSS[[#This Row],[Institution Name]],InputResearch[Psychology PFP])
+SUMIF(InputResearch[Institution Name],AccountabilityTAMUSS[[#This Row],[Institution Name]],InputResearch[Social Sci. PFP])
+SUMIF(InputResearch[Institution Name],AccountabilityTAMUSS[[#This Row],[Institution Name]],InputResearch[Other Sci. PFP])
+SUMIF(InputResearch[Institution Name],AccountabilityTAMUSS[[#This Row],[Institution Name]],InputResearch[Arts &amp; Humanities PFP])
+SUMIF(InputResearch[Institution Name],AccountabilityTAMUSS[[#This Row],[Institution Name]],InputResearch[Business PFP])
+SUMIF(InputResearch[Institution Name],AccountabilityTAMUSS[[#This Row],[Institution Name]],InputResearch[Education PFP])
+SUMIF(InputResearch[Institution Name],AccountabilityTAMUSS[[#This Row],[Institution Name]],InputResearch[Law PFP])
+SUMIF(InputResearch[Institution Name],AccountabilityTAMUSS[[#This Row],[Institution Name]],InputResearch[Other Non-Sci. PFP])</f>
        <v>0</v>
      </c>
      <c r="J97" s="85">
        <f>SUMIF(InputResearch[Institution Name],AccountabilityTAMUSS[[#This Row],[Institution Name]],InputResearch[Agricultural Sci. PNP])
+SUMIF(InputResearch[Institution Name],AccountabilityTAMUSS[[#This Row],[Institution Name]],InputResearch[Biological &amp; Other Life Sci. PNP])
+SUMIF(InputResearch[Institution Name],AccountabilityTAMUSS[[#This Row],[Institution Name]],InputResearch[Comp. Sci. PNP])
+SUMIF(InputResearch[Institution Name],AccountabilityTAMUSS[[#This Row],[Institution Name]],InputResearch[Engineering PNP])
+SUMIF(InputResearch[Institution Name],AccountabilityTAMUSS[[#This Row],[Institution Name]],InputResearch[Env Sci. PNP])
+SUMIF(InputResearch[Institution Name],AccountabilityTAMUSS[[#This Row],[Institution Name]],InputResearch[Math PNP])
+SUMIF(InputResearch[Institution Name],AccountabilityTAMUSS[[#This Row],[Institution Name]],InputResearch[Medical PNP])
+SUMIF(InputResearch[Institution Name],AccountabilityTAMUSS[[#This Row],[Institution Name]],InputResearch[Physical Sci. PNP])
+SUMIF(InputResearch[Institution Name],AccountabilityTAMUSS[[#This Row],[Institution Name]],InputResearch[Psychology PNP])
+SUMIF(InputResearch[Institution Name],AccountabilityTAMUSS[[#This Row],[Institution Name]],InputResearch[Social Sci. PNP])
+SUMIF(InputResearch[Institution Name],AccountabilityTAMUSS[[#This Row],[Institution Name]],InputResearch[Other Sci. PNP])
+SUMIF(InputResearch[Institution Name],AccountabilityTAMUSS[[#This Row],[Institution Name]],InputResearch[Arts &amp; Humanities PNP])
+SUMIF(InputResearch[Institution Name],AccountabilityTAMUSS[[#This Row],[Institution Name]],InputResearch[Business PNP])
+SUMIF(InputResearch[Institution Name],AccountabilityTAMUSS[[#This Row],[Institution Name]],InputResearch[Education PNP])
+SUMIF(InputResearch[Institution Name],AccountabilityTAMUSS[[#This Row],[Institution Name]],InputResearch[Law PNP])
+SUMIF(InputResearch[Institution Name],AccountabilityTAMUSS[[#This Row],[Institution Name]],InputResearch[Other Non-Sci. PNP])</f>
        <v>0</v>
      </c>
      <c r="K97" s="270">
        <f>SUM(AccountabilityTAMUSS[[#This Row],[Private 
For Profit]],AccountabilityTAMUSS[[#This Row],[Private 
Nonprofit]])</f>
        <v>0</v>
      </c>
      <c r="L97" s="270">
        <f>SUM(AccountabilityTAMUSS[[#This Row],[Federal]],AccountabilityTAMUSS[[#This Row],[State]],AccountabilityTAMUSS[[#This Row],[Institutional 
Resources]],AccountabilityTAMUSS[[#This Row],[Private]])</f>
        <v>0</v>
      </c>
      <c r="M97" s="42"/>
      <c r="N97" s="88"/>
      <c r="O97" s="88"/>
    </row>
    <row r="98" spans="1:15" ht="15.6">
      <c r="B98" s="212"/>
      <c r="D98" s="270">
        <f>SUBTOTAL(109,AccountabilityTAMUSS[Federal])</f>
        <v>475928266</v>
      </c>
      <c r="E98" s="270">
        <f>SUBTOTAL(109,AccountabilityTAMUSS[State 
Appropriation])</f>
        <v>141936222</v>
      </c>
      <c r="F98" s="270">
        <f>SUBTOTAL(109,AccountabilityTAMUSS[State 
Contracts/Grants])</f>
        <v>70850841</v>
      </c>
      <c r="G98" s="270">
        <f>SUBTOTAL(109,AccountabilityTAMUSS[State])</f>
        <v>212787063</v>
      </c>
      <c r="H98" s="270">
        <f>SUBTOTAL(109,AccountabilityTAMUSS[Institutional 
Resources])</f>
        <v>226702160</v>
      </c>
      <c r="I98" s="270">
        <f>SUBTOTAL(109,AccountabilityTAMUSS[Private 
For Profit])</f>
        <v>40509847</v>
      </c>
      <c r="J98" s="270">
        <f>SUBTOTAL(109,AccountabilityTAMUSS[Private 
Nonprofit])</f>
        <v>83664256</v>
      </c>
      <c r="K98" s="270">
        <f>SUBTOTAL(109,AccountabilityTAMUSS[Private])</f>
        <v>124174103</v>
      </c>
      <c r="L98" s="270">
        <f>SUBTOTAL(109,AccountabilityTAMUSS[Total Research 
Expenditures])</f>
        <v>1039591592</v>
      </c>
      <c r="M98" s="42"/>
      <c r="N98" s="88"/>
      <c r="O98" s="88"/>
    </row>
    <row r="99" spans="1:15" ht="15.6">
      <c r="A99" s="481" t="s">
        <v>964</v>
      </c>
      <c r="B99" s="481"/>
      <c r="C99" s="481"/>
      <c r="D99" s="481"/>
      <c r="E99" s="481"/>
      <c r="F99" s="481"/>
      <c r="G99" s="481"/>
      <c r="H99" s="481"/>
      <c r="I99" s="481"/>
      <c r="J99" s="481"/>
      <c r="K99" s="481"/>
      <c r="L99" s="481"/>
      <c r="M99" s="42"/>
      <c r="N99" s="88"/>
      <c r="O99" s="88"/>
    </row>
    <row r="100" spans="1:15" ht="15.6">
      <c r="A100" s="42"/>
      <c r="B100" s="42"/>
      <c r="C100" s="42"/>
      <c r="D100" s="42"/>
      <c r="E100" s="42"/>
      <c r="F100" s="42"/>
      <c r="G100" s="42"/>
      <c r="H100" s="42"/>
      <c r="I100" s="42"/>
      <c r="J100" s="42"/>
      <c r="K100" s="42"/>
      <c r="L100" s="42"/>
      <c r="M100" s="42"/>
      <c r="N100" s="88"/>
      <c r="O100" s="88"/>
    </row>
    <row r="101" spans="1:15" ht="33" customHeight="1">
      <c r="A101" s="439" t="s">
        <v>843</v>
      </c>
      <c r="B101" s="440"/>
      <c r="C101" s="440"/>
      <c r="D101" s="440"/>
      <c r="E101" s="440"/>
      <c r="F101" s="440"/>
      <c r="G101" s="440"/>
      <c r="H101" s="440"/>
      <c r="I101" s="440"/>
      <c r="J101" s="440"/>
      <c r="K101" s="440"/>
      <c r="L101" s="440"/>
      <c r="M101" s="88"/>
      <c r="N101" s="88"/>
      <c r="O101" s="88"/>
    </row>
    <row r="102" spans="1:15" ht="17.399999999999999">
      <c r="A102" s="438">
        <f>Hidden!$A$4</f>
        <v>45412</v>
      </c>
      <c r="B102" s="438"/>
      <c r="C102" s="438"/>
      <c r="D102" s="438"/>
      <c r="E102" s="438"/>
      <c r="F102" s="438"/>
      <c r="G102" s="438"/>
      <c r="H102" s="438"/>
      <c r="I102" s="438"/>
      <c r="J102" s="438"/>
      <c r="K102" s="438"/>
      <c r="L102" s="438"/>
      <c r="M102" s="344"/>
      <c r="N102" s="88"/>
      <c r="O102" s="88"/>
    </row>
    <row r="103" spans="1:15">
      <c r="A103" s="88"/>
      <c r="B103" s="89"/>
      <c r="C103" s="88"/>
      <c r="D103" s="88"/>
      <c r="E103" s="88"/>
      <c r="F103" s="88"/>
      <c r="G103" s="88"/>
      <c r="H103" s="88"/>
      <c r="I103" s="88"/>
      <c r="J103" s="88"/>
      <c r="K103" s="88"/>
      <c r="L103" s="88"/>
      <c r="M103" s="88"/>
      <c r="N103" s="88"/>
      <c r="O103" s="88"/>
    </row>
    <row r="104" spans="1:15" ht="30">
      <c r="A104" s="79" t="s">
        <v>1</v>
      </c>
      <c r="B104" s="80" t="s">
        <v>889</v>
      </c>
      <c r="C104" s="80" t="s">
        <v>2</v>
      </c>
      <c r="D104" s="80" t="s">
        <v>100</v>
      </c>
      <c r="E104" s="82" t="s">
        <v>669</v>
      </c>
      <c r="F104" s="82" t="s">
        <v>670</v>
      </c>
      <c r="G104" s="82" t="s">
        <v>671</v>
      </c>
      <c r="H104" s="82" t="s">
        <v>672</v>
      </c>
      <c r="I104" s="82" t="s">
        <v>673</v>
      </c>
      <c r="J104" s="82" t="s">
        <v>674</v>
      </c>
      <c r="K104" s="82" t="s">
        <v>675</v>
      </c>
      <c r="L104" s="82" t="s">
        <v>847</v>
      </c>
      <c r="M104" s="88"/>
      <c r="N104" s="88"/>
      <c r="O104" s="88"/>
    </row>
    <row r="105" spans="1:15">
      <c r="A105" s="79" t="s">
        <v>825</v>
      </c>
      <c r="B105" s="80">
        <f>VLOOKUP(AccountabilityAHM[[#This Row],[Institution Name]],InputResearch[],3,FALSE)</f>
        <v>50</v>
      </c>
      <c r="C105" s="84">
        <v>3658</v>
      </c>
      <c r="D105" s="85">
        <f>SUMIF(InputResearch[Institution Name],AccountabilityAHM[[#This Row],[Institution Name]],InputResearch[Agricultural Sci. Fed])
+SUMIF(InputResearch[Institution Name],AccountabilityAHM[[#This Row],[Institution Name]],InputResearch[Biological &amp; Other Life Sci. Fed])
+SUMIF(InputResearch[Institution Name],AccountabilityAHM[[#This Row],[Institution Name]],InputResearch[Comp. Sci. Fed])
+SUMIF(InputResearch[Institution Name],AccountabilityAHM[[#This Row],[Institution Name]],InputResearch[Engineering Fed])
+SUMIF(InputResearch[Institution Name],AccountabilityAHM[[#This Row],[Institution Name]],InputResearch[Env Sci. Fed])
+SUMIF(InputResearch[Institution Name],AccountabilityAHM[[#This Row],[Institution Name]],InputResearch[Math Fed])
+SUMIF(InputResearch[Institution Name],AccountabilityAHM[[#This Row],[Institution Name]],InputResearch[Medical Fed])
+SUMIF(InputResearch[Institution Name],AccountabilityAHM[[#This Row],[Institution Name]],InputResearch[Physical Sci. Fed])
+SUMIF(InputResearch[Institution Name],AccountabilityAHM[[#This Row],[Institution Name]],InputResearch[Psychology Fed])
+SUMIF(InputResearch[Institution Name],AccountabilityAHM[[#This Row],[Institution Name]],InputResearch[Social Sci. Fed])
+SUMIF(InputResearch[Institution Name],AccountabilityAHM[[#This Row],[Institution Name]],InputResearch[Other Sci. Fed])
+SUMIF(InputResearch[Institution Name],AccountabilityAHM[[#This Row],[Institution Name]],InputResearch[Arts &amp; Humanities Fed])
+SUMIF(InputResearch[Institution Name],AccountabilityAHM[[#This Row],[Institution Name]],InputResearch[Business Fed])
+SUMIF(InputResearch[Institution Name],AccountabilityAHM[[#This Row],[Institution Name]],InputResearch[Education Fed])
+SUMIF(InputResearch[Institution Name],AccountabilityAHM[[#This Row],[Institution Name]],InputResearch[Law Fed])
+SUMIF(InputResearch[Institution Name],AccountabilityAHM[[#This Row],[Institution Name]],InputResearch[Other Non-Sci. Fed])</f>
        <v>647453818</v>
      </c>
      <c r="E105" s="85">
        <f>SUMIF(InputResearch[Institution Name],AccountabilityAHM[[#This Row],[Institution Name]],InputResearch[Agricultural Sci. St. Approp.])
+SUMIF(InputResearch[Institution Name],AccountabilityAHM[[#This Row],[Institution Name]],InputResearch[Biological &amp; Other Life Sci. St. Approp.])
+SUMIF(InputResearch[Institution Name],AccountabilityAHM[[#This Row],[Institution Name]],InputResearch[Comp. Sci. St. Approp.])
+SUMIF(InputResearch[Institution Name],AccountabilityAHM[[#This Row],[Institution Name]],InputResearch[Engineering St. Approp.])
+SUMIF(InputResearch[Institution Name],AccountabilityAHM[[#This Row],[Institution Name]],InputResearch[Env Sci. St. Approp.])
+SUMIF(InputResearch[Institution Name],AccountabilityAHM[[#This Row],[Institution Name]],InputResearch[Math St. Approp.])
+SUMIF(InputResearch[Institution Name],AccountabilityAHM[[#This Row],[Institution Name]],InputResearch[Medical St. Approp.])
+SUMIF(InputResearch[Institution Name],AccountabilityAHM[[#This Row],[Institution Name]],InputResearch[Physical Sci. St. Approp.])
+SUMIF(InputResearch[Institution Name],AccountabilityAHM[[#This Row],[Institution Name]],InputResearch[Psychology St. Approp.])
+SUMIF(InputResearch[Institution Name],AccountabilityAHM[[#This Row],[Institution Name]],InputResearch[Social Sci. St. Approp.])
+SUMIF(InputResearch[Institution Name],AccountabilityAHM[[#This Row],[Institution Name]],InputResearch[Other Sci. St. Approp.])
+SUMIF(InputResearch[Institution Name],AccountabilityAHM[[#This Row],[Institution Name]],InputResearch[Arts &amp; Humanities St. Approp.])
+SUMIF(InputResearch[Institution Name],AccountabilityAHM[[#This Row],[Institution Name]],InputResearch[Business St. Approp.])
+SUMIF(InputResearch[Institution Name],AccountabilityAHM[[#This Row],[Institution Name]],InputResearch[Education St. Approp.])
+SUMIF(InputResearch[Institution Name],AccountabilityAHM[[#This Row],[Institution Name]],InputResearch[Law St. Approp.])
+SUMIF(InputResearch[Institution Name],AccountabilityAHM[[#This Row],[Institution Name]],InputResearch[Other Non-Sci. St. Approp.])</f>
        <v>24587684</v>
      </c>
      <c r="F105" s="85">
        <f>SUMIF(InputResearch[Institution Name],AccountabilityAHM[[#This Row],[Institution Name]],InputResearch[Agricultural Sci. St. C&amp;G])
+SUMIF(InputResearch[Institution Name],AccountabilityAHM[[#This Row],[Institution Name]],InputResearch[Biological &amp; Other Life Sci. St. C&amp;G])
+SUMIF(InputResearch[Institution Name],AccountabilityAHM[[#This Row],[Institution Name]],InputResearch[Comp. Sci. St. C&amp;G])
+SUMIF(InputResearch[Institution Name],AccountabilityAHM[[#This Row],[Institution Name]],InputResearch[Engineering St. C&amp;G])
+SUMIF(InputResearch[Institution Name],AccountabilityAHM[[#This Row],[Institution Name]],InputResearch[Env Sci. St. C&amp;G])
+SUMIF(InputResearch[Institution Name],AccountabilityAHM[[#This Row],[Institution Name]],InputResearch[Math St. C&amp;G])
+SUMIF(InputResearch[Institution Name],AccountabilityAHM[[#This Row],[Institution Name]],InputResearch[Medical St. C&amp;G])
+SUMIF(InputResearch[Institution Name],AccountabilityAHM[[#This Row],[Institution Name]],InputResearch[Physical Sci. St. C&amp;G])
+SUMIF(InputResearch[Institution Name],AccountabilityAHM[[#This Row],[Institution Name]],InputResearch[Psychology St. C&amp;G])
+SUMIF(InputResearch[Institution Name],AccountabilityAHM[[#This Row],[Institution Name]],InputResearch[Social Sci. St. C&amp;G])
+SUMIF(InputResearch[Institution Name],AccountabilityAHM[[#This Row],[Institution Name]],InputResearch[Other Sci. St. C&amp;G])
+SUMIF(InputResearch[Institution Name],AccountabilityAHM[[#This Row],[Institution Name]],InputResearch[Arts &amp; Humanities St. C&amp;G])
+SUMIF(InputResearch[Institution Name],AccountabilityAHM[[#This Row],[Institution Name]],InputResearch[Business St. C&amp;G])
+SUMIF(InputResearch[Institution Name],AccountabilityAHM[[#This Row],[Institution Name]],InputResearch[Education St. C&amp;G])
+SUMIF(InputResearch[Institution Name],AccountabilityAHM[[#This Row],[Institution Name]],InputResearch[Law St. C&amp;G])
+SUMIF(InputResearch[Institution Name],AccountabilityAHM[[#This Row],[Institution Name]],InputResearch[Other Non-Sci. St. C&amp;G])</f>
        <v>41112259</v>
      </c>
      <c r="G105" s="270">
        <f>SUM(AccountabilityAHM[[#This Row],[State 
Appropriation]],AccountabilityAHM[[#This Row],[State 
Contracts/Grants]])</f>
        <v>65699943</v>
      </c>
      <c r="H105" s="85">
        <f>SUMIF(InputResearch[Institution Name],AccountabilityAHM[[#This Row],[Institution Name]],InputResearch[Agricultural Sci. Inst Res])
+SUMIF(InputResearch[Institution Name],AccountabilityAHM[[#This Row],[Institution Name]],InputResearch[Biological &amp; Other Life Sci. Inst Res])
+SUMIF(InputResearch[Institution Name],AccountabilityAHM[[#This Row],[Institution Name]],InputResearch[Comp. Sci. Inst Res])
+SUMIF(InputResearch[Institution Name],AccountabilityAHM[[#This Row],[Institution Name]],InputResearch[Engineering Inst Res])
+SUMIF(InputResearch[Institution Name],AccountabilityAHM[[#This Row],[Institution Name]],InputResearch[Env Sci. Inst Res])
+SUMIF(InputResearch[Institution Name],AccountabilityAHM[[#This Row],[Institution Name]],InputResearch[Math Inst Res])
+SUMIF(InputResearch[Institution Name],AccountabilityAHM[[#This Row],[Institution Name]],InputResearch[Medical Inst Res])
+SUMIF(InputResearch[Institution Name],AccountabilityAHM[[#This Row],[Institution Name]],InputResearch[Physical Sci. Inst Res])
+SUMIF(InputResearch[Institution Name],AccountabilityAHM[[#This Row],[Institution Name]],InputResearch[Psychology Inst Res])
+SUMIF(InputResearch[Institution Name],AccountabilityAHM[[#This Row],[Institution Name]],InputResearch[Social Sci. Inst Res])
+SUMIF(InputResearch[Institution Name],AccountabilityAHM[[#This Row],[Institution Name]],InputResearch[Other Sci. Inst Res])
+SUMIF(InputResearch[Institution Name],AccountabilityAHM[[#This Row],[Institution Name]],InputResearch[Arts &amp; Humanities Inst Res])
+SUMIF(InputResearch[Institution Name],AccountabilityAHM[[#This Row],[Institution Name]],InputResearch[Business Inst Res])
+SUMIF(InputResearch[Institution Name],AccountabilityAHM[[#This Row],[Institution Name]],InputResearch[Education Inst Res])
+SUMIF(InputResearch[Institution Name],AccountabilityAHM[[#This Row],[Institution Name]],InputResearch[Law Inst Res])
+SUMIF(InputResearch[Institution Name],AccountabilityAHM[[#This Row],[Institution Name]],InputResearch[Other Non-Sci. Inst Res])</f>
        <v>101685250</v>
      </c>
      <c r="I105" s="85">
        <f>SUMIF(InputResearch[Institution Name],AccountabilityAHM[[#This Row],[Institution Name]],InputResearch[Agricultural Sci. PFP])
+SUMIF(InputResearch[Institution Name],AccountabilityAHM[[#This Row],[Institution Name]],InputResearch[Biological &amp; Other Life Sci. PFP])
+SUMIF(InputResearch[Institution Name],AccountabilityAHM[[#This Row],[Institution Name]],InputResearch[Comp. Sci. PFP])
+SUMIF(InputResearch[Institution Name],AccountabilityAHM[[#This Row],[Institution Name]],InputResearch[Engineering PFP])
+SUMIF(InputResearch[Institution Name],AccountabilityAHM[[#This Row],[Institution Name]],InputResearch[Env Sci. PFP])
+SUMIF(InputResearch[Institution Name],AccountabilityAHM[[#This Row],[Institution Name]],InputResearch[Math PFP])
+SUMIF(InputResearch[Institution Name],AccountabilityAHM[[#This Row],[Institution Name]],InputResearch[Medical PFP])
+SUMIF(InputResearch[Institution Name],AccountabilityAHM[[#This Row],[Institution Name]],InputResearch[Physical Sci. PFP])
+SUMIF(InputResearch[Institution Name],AccountabilityAHM[[#This Row],[Institution Name]],InputResearch[Psychology PFP])
+SUMIF(InputResearch[Institution Name],AccountabilityAHM[[#This Row],[Institution Name]],InputResearch[Social Sci. PFP])
+SUMIF(InputResearch[Institution Name],AccountabilityAHM[[#This Row],[Institution Name]],InputResearch[Other Sci. PFP])
+SUMIF(InputResearch[Institution Name],AccountabilityAHM[[#This Row],[Institution Name]],InputResearch[Arts &amp; Humanities PFP])
+SUMIF(InputResearch[Institution Name],AccountabilityAHM[[#This Row],[Institution Name]],InputResearch[Business PFP])
+SUMIF(InputResearch[Institution Name],AccountabilityAHM[[#This Row],[Institution Name]],InputResearch[Education PFP])
+SUMIF(InputResearch[Institution Name],AccountabilityAHM[[#This Row],[Institution Name]],InputResearch[Law PFP])
+SUMIF(InputResearch[Institution Name],AccountabilityAHM[[#This Row],[Institution Name]],InputResearch[Other Non-Sci. PFP])</f>
        <v>91683314</v>
      </c>
      <c r="J105" s="85">
        <f>SUMIF(InputResearch[Institution Name],AccountabilityAHM[[#This Row],[Institution Name]],InputResearch[Agricultural Sci. PNP])
+SUMIF(InputResearch[Institution Name],AccountabilityAHM[[#This Row],[Institution Name]],InputResearch[Biological &amp; Other Life Sci. PNP])
+SUMIF(InputResearch[Institution Name],AccountabilityAHM[[#This Row],[Institution Name]],InputResearch[Comp. Sci. PNP])
+SUMIF(InputResearch[Institution Name],AccountabilityAHM[[#This Row],[Institution Name]],InputResearch[Engineering PNP])
+SUMIF(InputResearch[Institution Name],AccountabilityAHM[[#This Row],[Institution Name]],InputResearch[Env Sci. PNP])
+SUMIF(InputResearch[Institution Name],AccountabilityAHM[[#This Row],[Institution Name]],InputResearch[Math PNP])
+SUMIF(InputResearch[Institution Name],AccountabilityAHM[[#This Row],[Institution Name]],InputResearch[Medical PNP])
+SUMIF(InputResearch[Institution Name],AccountabilityAHM[[#This Row],[Institution Name]],InputResearch[Physical Sci. PNP])
+SUMIF(InputResearch[Institution Name],AccountabilityAHM[[#This Row],[Institution Name]],InputResearch[Psychology PNP])
+SUMIF(InputResearch[Institution Name],AccountabilityAHM[[#This Row],[Institution Name]],InputResearch[Social Sci. PNP])
+SUMIF(InputResearch[Institution Name],AccountabilityAHM[[#This Row],[Institution Name]],InputResearch[Other Sci. PNP])
+SUMIF(InputResearch[Institution Name],AccountabilityAHM[[#This Row],[Institution Name]],InputResearch[Arts &amp; Humanities PNP])
+SUMIF(InputResearch[Institution Name],AccountabilityAHM[[#This Row],[Institution Name]],InputResearch[Business PNP])
+SUMIF(InputResearch[Institution Name],AccountabilityAHM[[#This Row],[Institution Name]],InputResearch[Education PNP])
+SUMIF(InputResearch[Institution Name],AccountabilityAHM[[#This Row],[Institution Name]],InputResearch[Law PNP])
+SUMIF(InputResearch[Institution Name],AccountabilityAHM[[#This Row],[Institution Name]],InputResearch[Other Non-Sci. PNP])</f>
        <v>50092560</v>
      </c>
      <c r="K105" s="270">
        <f>SUM(AccountabilityAHM[[#This Row],[Private 
For Profit]],AccountabilityAHM[[#This Row],[Private 
Nonprofit]])</f>
        <v>141775874</v>
      </c>
      <c r="L105" s="270">
        <f>SUM(AccountabilityAHM[[#This Row],[Federal]],AccountabilityAHM[[#This Row],[State]],AccountabilityAHM[[#This Row],[Institutional 
Resources]],AccountabilityAHM[[#This Row],[Private]])</f>
        <v>956614885</v>
      </c>
      <c r="M105" s="88"/>
      <c r="N105" s="88"/>
      <c r="O105" s="88"/>
    </row>
    <row r="106" spans="1:15">
      <c r="A106" s="79" t="s">
        <v>826</v>
      </c>
      <c r="B106" s="80">
        <f>VLOOKUP(AccountabilityAHM[[#This Row],[Institution Name]],InputResearch[],3,FALSE)</f>
        <v>90</v>
      </c>
      <c r="C106" s="84">
        <v>3599</v>
      </c>
      <c r="D106" s="85">
        <f>SUMIF(InputResearch[Institution Name],AccountabilityAHM[[#This Row],[Institution Name]],InputResearch[Agricultural Sci. Fed])
+SUMIF(InputResearch[Institution Name],AccountabilityAHM[[#This Row],[Institution Name]],InputResearch[Biological &amp; Other Life Sci. Fed])
+SUMIF(InputResearch[Institution Name],AccountabilityAHM[[#This Row],[Institution Name]],InputResearch[Comp. Sci. Fed])
+SUMIF(InputResearch[Institution Name],AccountabilityAHM[[#This Row],[Institution Name]],InputResearch[Engineering Fed])
+SUMIF(InputResearch[Institution Name],AccountabilityAHM[[#This Row],[Institution Name]],InputResearch[Env Sci. Fed])
+SUMIF(InputResearch[Institution Name],AccountabilityAHM[[#This Row],[Institution Name]],InputResearch[Math Fed])
+SUMIF(InputResearch[Institution Name],AccountabilityAHM[[#This Row],[Institution Name]],InputResearch[Medical Fed])
+SUMIF(InputResearch[Institution Name],AccountabilityAHM[[#This Row],[Institution Name]],InputResearch[Physical Sci. Fed])
+SUMIF(InputResearch[Institution Name],AccountabilityAHM[[#This Row],[Institution Name]],InputResearch[Psychology Fed])
+SUMIF(InputResearch[Institution Name],AccountabilityAHM[[#This Row],[Institution Name]],InputResearch[Social Sci. Fed])
+SUMIF(InputResearch[Institution Name],AccountabilityAHM[[#This Row],[Institution Name]],InputResearch[Other Sci. Fed])
+SUMIF(InputResearch[Institution Name],AccountabilityAHM[[#This Row],[Institution Name]],InputResearch[Arts &amp; Humanities Fed])
+SUMIF(InputResearch[Institution Name],AccountabilityAHM[[#This Row],[Institution Name]],InputResearch[Business Fed])
+SUMIF(InputResearch[Institution Name],AccountabilityAHM[[#This Row],[Institution Name]],InputResearch[Education Fed])
+SUMIF(InputResearch[Institution Name],AccountabilityAHM[[#This Row],[Institution Name]],InputResearch[Law Fed])
+SUMIF(InputResearch[Institution Name],AccountabilityAHM[[#This Row],[Institution Name]],InputResearch[Other Non-Sci. Fed])</f>
        <v>23811068</v>
      </c>
      <c r="E106" s="85">
        <f>SUMIF(InputResearch[Institution Name],AccountabilityAHM[[#This Row],[Institution Name]],InputResearch[Agricultural Sci. St. Approp.])
+SUMIF(InputResearch[Institution Name],AccountabilityAHM[[#This Row],[Institution Name]],InputResearch[Biological &amp; Other Life Sci. St. Approp.])
+SUMIF(InputResearch[Institution Name],AccountabilityAHM[[#This Row],[Institution Name]],InputResearch[Comp. Sci. St. Approp.])
+SUMIF(InputResearch[Institution Name],AccountabilityAHM[[#This Row],[Institution Name]],InputResearch[Engineering St. Approp.])
+SUMIF(InputResearch[Institution Name],AccountabilityAHM[[#This Row],[Institution Name]],InputResearch[Env Sci. St. Approp.])
+SUMIF(InputResearch[Institution Name],AccountabilityAHM[[#This Row],[Institution Name]],InputResearch[Math St. Approp.])
+SUMIF(InputResearch[Institution Name],AccountabilityAHM[[#This Row],[Institution Name]],InputResearch[Medical St. Approp.])
+SUMIF(InputResearch[Institution Name],AccountabilityAHM[[#This Row],[Institution Name]],InputResearch[Physical Sci. St. Approp.])
+SUMIF(InputResearch[Institution Name],AccountabilityAHM[[#This Row],[Institution Name]],InputResearch[Psychology St. Approp.])
+SUMIF(InputResearch[Institution Name],AccountabilityAHM[[#This Row],[Institution Name]],InputResearch[Social Sci. St. Approp.])
+SUMIF(InputResearch[Institution Name],AccountabilityAHM[[#This Row],[Institution Name]],InputResearch[Other Sci. St. Approp.])
+SUMIF(InputResearch[Institution Name],AccountabilityAHM[[#This Row],[Institution Name]],InputResearch[Arts &amp; Humanities St. Approp.])
+SUMIF(InputResearch[Institution Name],AccountabilityAHM[[#This Row],[Institution Name]],InputResearch[Business St. Approp.])
+SUMIF(InputResearch[Institution Name],AccountabilityAHM[[#This Row],[Institution Name]],InputResearch[Education St. Approp.])
+SUMIF(InputResearch[Institution Name],AccountabilityAHM[[#This Row],[Institution Name]],InputResearch[Law St. Approp.])
+SUMIF(InputResearch[Institution Name],AccountabilityAHM[[#This Row],[Institution Name]],InputResearch[Other Non-Sci. St. Approp.])</f>
        <v>2888924</v>
      </c>
      <c r="F106" s="85">
        <f>SUMIF(InputResearch[Institution Name],AccountabilityAHM[[#This Row],[Institution Name]],InputResearch[Agricultural Sci. St. C&amp;G])
+SUMIF(InputResearch[Institution Name],AccountabilityAHM[[#This Row],[Institution Name]],InputResearch[Biological &amp; Other Life Sci. St. C&amp;G])
+SUMIF(InputResearch[Institution Name],AccountabilityAHM[[#This Row],[Institution Name]],InputResearch[Comp. Sci. St. C&amp;G])
+SUMIF(InputResearch[Institution Name],AccountabilityAHM[[#This Row],[Institution Name]],InputResearch[Engineering St. C&amp;G])
+SUMIF(InputResearch[Institution Name],AccountabilityAHM[[#This Row],[Institution Name]],InputResearch[Env Sci. St. C&amp;G])
+SUMIF(InputResearch[Institution Name],AccountabilityAHM[[#This Row],[Institution Name]],InputResearch[Math St. C&amp;G])
+SUMIF(InputResearch[Institution Name],AccountabilityAHM[[#This Row],[Institution Name]],InputResearch[Medical St. C&amp;G])
+SUMIF(InputResearch[Institution Name],AccountabilityAHM[[#This Row],[Institution Name]],InputResearch[Physical Sci. St. C&amp;G])
+SUMIF(InputResearch[Institution Name],AccountabilityAHM[[#This Row],[Institution Name]],InputResearch[Psychology St. C&amp;G])
+SUMIF(InputResearch[Institution Name],AccountabilityAHM[[#This Row],[Institution Name]],InputResearch[Social Sci. St. C&amp;G])
+SUMIF(InputResearch[Institution Name],AccountabilityAHM[[#This Row],[Institution Name]],InputResearch[Other Sci. St. C&amp;G])
+SUMIF(InputResearch[Institution Name],AccountabilityAHM[[#This Row],[Institution Name]],InputResearch[Arts &amp; Humanities St. C&amp;G])
+SUMIF(InputResearch[Institution Name],AccountabilityAHM[[#This Row],[Institution Name]],InputResearch[Business St. C&amp;G])
+SUMIF(InputResearch[Institution Name],AccountabilityAHM[[#This Row],[Institution Name]],InputResearch[Education St. C&amp;G])
+SUMIF(InputResearch[Institution Name],AccountabilityAHM[[#This Row],[Institution Name]],InputResearch[Law St. C&amp;G])
+SUMIF(InputResearch[Institution Name],AccountabilityAHM[[#This Row],[Institution Name]],InputResearch[Other Non-Sci. St. C&amp;G])</f>
        <v>1582774</v>
      </c>
      <c r="G106" s="270">
        <f>SUM(AccountabilityAHM[[#This Row],[State 
Appropriation]],AccountabilityAHM[[#This Row],[State 
Contracts/Grants]])</f>
        <v>4471698</v>
      </c>
      <c r="H106" s="85">
        <f>SUMIF(InputResearch[Institution Name],AccountabilityAHM[[#This Row],[Institution Name]],InputResearch[Agricultural Sci. Inst Res])
+SUMIF(InputResearch[Institution Name],AccountabilityAHM[[#This Row],[Institution Name]],InputResearch[Biological &amp; Other Life Sci. Inst Res])
+SUMIF(InputResearch[Institution Name],AccountabilityAHM[[#This Row],[Institution Name]],InputResearch[Comp. Sci. Inst Res])
+SUMIF(InputResearch[Institution Name],AccountabilityAHM[[#This Row],[Institution Name]],InputResearch[Engineering Inst Res])
+SUMIF(InputResearch[Institution Name],AccountabilityAHM[[#This Row],[Institution Name]],InputResearch[Env Sci. Inst Res])
+SUMIF(InputResearch[Institution Name],AccountabilityAHM[[#This Row],[Institution Name]],InputResearch[Math Inst Res])
+SUMIF(InputResearch[Institution Name],AccountabilityAHM[[#This Row],[Institution Name]],InputResearch[Medical Inst Res])
+SUMIF(InputResearch[Institution Name],AccountabilityAHM[[#This Row],[Institution Name]],InputResearch[Physical Sci. Inst Res])
+SUMIF(InputResearch[Institution Name],AccountabilityAHM[[#This Row],[Institution Name]],InputResearch[Psychology Inst Res])
+SUMIF(InputResearch[Institution Name],AccountabilityAHM[[#This Row],[Institution Name]],InputResearch[Social Sci. Inst Res])
+SUMIF(InputResearch[Institution Name],AccountabilityAHM[[#This Row],[Institution Name]],InputResearch[Other Sci. Inst Res])
+SUMIF(InputResearch[Institution Name],AccountabilityAHM[[#This Row],[Institution Name]],InputResearch[Arts &amp; Humanities Inst Res])
+SUMIF(InputResearch[Institution Name],AccountabilityAHM[[#This Row],[Institution Name]],InputResearch[Business Inst Res])
+SUMIF(InputResearch[Institution Name],AccountabilityAHM[[#This Row],[Institution Name]],InputResearch[Education Inst Res])
+SUMIF(InputResearch[Institution Name],AccountabilityAHM[[#This Row],[Institution Name]],InputResearch[Law Inst Res])
+SUMIF(InputResearch[Institution Name],AccountabilityAHM[[#This Row],[Institution Name]],InputResearch[Other Non-Sci. Inst Res])</f>
        <v>33476257</v>
      </c>
      <c r="I106" s="85">
        <f>SUMIF(InputResearch[Institution Name],AccountabilityAHM[[#This Row],[Institution Name]],InputResearch[Agricultural Sci. PFP])
+SUMIF(InputResearch[Institution Name],AccountabilityAHM[[#This Row],[Institution Name]],InputResearch[Biological &amp; Other Life Sci. PFP])
+SUMIF(InputResearch[Institution Name],AccountabilityAHM[[#This Row],[Institution Name]],InputResearch[Comp. Sci. PFP])
+SUMIF(InputResearch[Institution Name],AccountabilityAHM[[#This Row],[Institution Name]],InputResearch[Engineering PFP])
+SUMIF(InputResearch[Institution Name],AccountabilityAHM[[#This Row],[Institution Name]],InputResearch[Env Sci. PFP])
+SUMIF(InputResearch[Institution Name],AccountabilityAHM[[#This Row],[Institution Name]],InputResearch[Math PFP])
+SUMIF(InputResearch[Institution Name],AccountabilityAHM[[#This Row],[Institution Name]],InputResearch[Medical PFP])
+SUMIF(InputResearch[Institution Name],AccountabilityAHM[[#This Row],[Institution Name]],InputResearch[Physical Sci. PFP])
+SUMIF(InputResearch[Institution Name],AccountabilityAHM[[#This Row],[Institution Name]],InputResearch[Psychology PFP])
+SUMIF(InputResearch[Institution Name],AccountabilityAHM[[#This Row],[Institution Name]],InputResearch[Social Sci. PFP])
+SUMIF(InputResearch[Institution Name],AccountabilityAHM[[#This Row],[Institution Name]],InputResearch[Other Sci. PFP])
+SUMIF(InputResearch[Institution Name],AccountabilityAHM[[#This Row],[Institution Name]],InputResearch[Arts &amp; Humanities PFP])
+SUMIF(InputResearch[Institution Name],AccountabilityAHM[[#This Row],[Institution Name]],InputResearch[Business PFP])
+SUMIF(InputResearch[Institution Name],AccountabilityAHM[[#This Row],[Institution Name]],InputResearch[Education PFP])
+SUMIF(InputResearch[Institution Name],AccountabilityAHM[[#This Row],[Institution Name]],InputResearch[Law PFP])
+SUMIF(InputResearch[Institution Name],AccountabilityAHM[[#This Row],[Institution Name]],InputResearch[Other Non-Sci. PFP])</f>
        <v>497702</v>
      </c>
      <c r="J106" s="85">
        <f>SUMIF(InputResearch[Institution Name],AccountabilityAHM[[#This Row],[Institution Name]],InputResearch[Agricultural Sci. PNP])
+SUMIF(InputResearch[Institution Name],AccountabilityAHM[[#This Row],[Institution Name]],InputResearch[Biological &amp; Other Life Sci. PNP])
+SUMIF(InputResearch[Institution Name],AccountabilityAHM[[#This Row],[Institution Name]],InputResearch[Comp. Sci. PNP])
+SUMIF(InputResearch[Institution Name],AccountabilityAHM[[#This Row],[Institution Name]],InputResearch[Engineering PNP])
+SUMIF(InputResearch[Institution Name],AccountabilityAHM[[#This Row],[Institution Name]],InputResearch[Env Sci. PNP])
+SUMIF(InputResearch[Institution Name],AccountabilityAHM[[#This Row],[Institution Name]],InputResearch[Math PNP])
+SUMIF(InputResearch[Institution Name],AccountabilityAHM[[#This Row],[Institution Name]],InputResearch[Medical PNP])
+SUMIF(InputResearch[Institution Name],AccountabilityAHM[[#This Row],[Institution Name]],InputResearch[Physical Sci. PNP])
+SUMIF(InputResearch[Institution Name],AccountabilityAHM[[#This Row],[Institution Name]],InputResearch[Psychology PNP])
+SUMIF(InputResearch[Institution Name],AccountabilityAHM[[#This Row],[Institution Name]],InputResearch[Social Sci. PNP])
+SUMIF(InputResearch[Institution Name],AccountabilityAHM[[#This Row],[Institution Name]],InputResearch[Other Sci. PNP])
+SUMIF(InputResearch[Institution Name],AccountabilityAHM[[#This Row],[Institution Name]],InputResearch[Arts &amp; Humanities PNP])
+SUMIF(InputResearch[Institution Name],AccountabilityAHM[[#This Row],[Institution Name]],InputResearch[Business PNP])
+SUMIF(InputResearch[Institution Name],AccountabilityAHM[[#This Row],[Institution Name]],InputResearch[Education PNP])
+SUMIF(InputResearch[Institution Name],AccountabilityAHM[[#This Row],[Institution Name]],InputResearch[Law PNP])
+SUMIF(InputResearch[Institution Name],AccountabilityAHM[[#This Row],[Institution Name]],InputResearch[Other Non-Sci. PNP])</f>
        <v>15262893</v>
      </c>
      <c r="K106" s="270">
        <f>SUM(AccountabilityAHM[[#This Row],[Private 
For Profit]],AccountabilityAHM[[#This Row],[Private 
Nonprofit]])</f>
        <v>15760595</v>
      </c>
      <c r="L106" s="270">
        <f>SUM(AccountabilityAHM[[#This Row],[Federal]],AccountabilityAHM[[#This Row],[State]],AccountabilityAHM[[#This Row],[Institutional 
Resources]],AccountabilityAHM[[#This Row],[Private]])</f>
        <v>77519618</v>
      </c>
      <c r="M106" s="88"/>
      <c r="N106" s="88"/>
      <c r="O106" s="88"/>
    </row>
    <row r="107" spans="1:15">
      <c r="A107" s="79" t="s">
        <v>827</v>
      </c>
      <c r="B107" s="80">
        <f>VLOOKUP(AccountabilityAHM[[#This Row],[Institution Name]],InputResearch[],3,FALSE)</f>
        <v>230</v>
      </c>
      <c r="C107" s="84">
        <v>3652</v>
      </c>
      <c r="D107" s="85">
        <f>SUMIF(InputResearch[Institution Name],AccountabilityAHM[[#This Row],[Institution Name]],InputResearch[Agricultural Sci. Fed])
+SUMIF(InputResearch[Institution Name],AccountabilityAHM[[#This Row],[Institution Name]],InputResearch[Biological &amp; Other Life Sci. Fed])
+SUMIF(InputResearch[Institution Name],AccountabilityAHM[[#This Row],[Institution Name]],InputResearch[Comp. Sci. Fed])
+SUMIF(InputResearch[Institution Name],AccountabilityAHM[[#This Row],[Institution Name]],InputResearch[Engineering Fed])
+SUMIF(InputResearch[Institution Name],AccountabilityAHM[[#This Row],[Institution Name]],InputResearch[Env Sci. Fed])
+SUMIF(InputResearch[Institution Name],AccountabilityAHM[[#This Row],[Institution Name]],InputResearch[Math Fed])
+SUMIF(InputResearch[Institution Name],AccountabilityAHM[[#This Row],[Institution Name]],InputResearch[Medical Fed])
+SUMIF(InputResearch[Institution Name],AccountabilityAHM[[#This Row],[Institution Name]],InputResearch[Physical Sci. Fed])
+SUMIF(InputResearch[Institution Name],AccountabilityAHM[[#This Row],[Institution Name]],InputResearch[Psychology Fed])
+SUMIF(InputResearch[Institution Name],AccountabilityAHM[[#This Row],[Institution Name]],InputResearch[Social Sci. Fed])
+SUMIF(InputResearch[Institution Name],AccountabilityAHM[[#This Row],[Institution Name]],InputResearch[Other Sci. Fed])
+SUMIF(InputResearch[Institution Name],AccountabilityAHM[[#This Row],[Institution Name]],InputResearch[Arts &amp; Humanities Fed])
+SUMIF(InputResearch[Institution Name],AccountabilityAHM[[#This Row],[Institution Name]],InputResearch[Business Fed])
+SUMIF(InputResearch[Institution Name],AccountabilityAHM[[#This Row],[Institution Name]],InputResearch[Education Fed])
+SUMIF(InputResearch[Institution Name],AccountabilityAHM[[#This Row],[Institution Name]],InputResearch[Law Fed])
+SUMIF(InputResearch[Institution Name],AccountabilityAHM[[#This Row],[Institution Name]],InputResearch[Other Non-Sci. Fed])</f>
        <v>96738601</v>
      </c>
      <c r="E107" s="85">
        <f>SUMIF(InputResearch[Institution Name],AccountabilityAHM[[#This Row],[Institution Name]],InputResearch[Agricultural Sci. St. Approp.])
+SUMIF(InputResearch[Institution Name],AccountabilityAHM[[#This Row],[Institution Name]],InputResearch[Biological &amp; Other Life Sci. St. Approp.])
+SUMIF(InputResearch[Institution Name],AccountabilityAHM[[#This Row],[Institution Name]],InputResearch[Comp. Sci. St. Approp.])
+SUMIF(InputResearch[Institution Name],AccountabilityAHM[[#This Row],[Institution Name]],InputResearch[Engineering St. Approp.])
+SUMIF(InputResearch[Institution Name],AccountabilityAHM[[#This Row],[Institution Name]],InputResearch[Env Sci. St. Approp.])
+SUMIF(InputResearch[Institution Name],AccountabilityAHM[[#This Row],[Institution Name]],InputResearch[Math St. Approp.])
+SUMIF(InputResearch[Institution Name],AccountabilityAHM[[#This Row],[Institution Name]],InputResearch[Medical St. Approp.])
+SUMIF(InputResearch[Institution Name],AccountabilityAHM[[#This Row],[Institution Name]],InputResearch[Physical Sci. St. Approp.])
+SUMIF(InputResearch[Institution Name],AccountabilityAHM[[#This Row],[Institution Name]],InputResearch[Psychology St. Approp.])
+SUMIF(InputResearch[Institution Name],AccountabilityAHM[[#This Row],[Institution Name]],InputResearch[Social Sci. St. Approp.])
+SUMIF(InputResearch[Institution Name],AccountabilityAHM[[#This Row],[Institution Name]],InputResearch[Other Sci. St. Approp.])
+SUMIF(InputResearch[Institution Name],AccountabilityAHM[[#This Row],[Institution Name]],InputResearch[Arts &amp; Humanities St. Approp.])
+SUMIF(InputResearch[Institution Name],AccountabilityAHM[[#This Row],[Institution Name]],InputResearch[Business St. Approp.])
+SUMIF(InputResearch[Institution Name],AccountabilityAHM[[#This Row],[Institution Name]],InputResearch[Education St. Approp.])
+SUMIF(InputResearch[Institution Name],AccountabilityAHM[[#This Row],[Institution Name]],InputResearch[Law St. Approp.])
+SUMIF(InputResearch[Institution Name],AccountabilityAHM[[#This Row],[Institution Name]],InputResearch[Other Non-Sci. St. Approp.])</f>
        <v>349462</v>
      </c>
      <c r="F107" s="85">
        <f>SUMIF(InputResearch[Institution Name],AccountabilityAHM[[#This Row],[Institution Name]],InputResearch[Agricultural Sci. St. C&amp;G])
+SUMIF(InputResearch[Institution Name],AccountabilityAHM[[#This Row],[Institution Name]],InputResearch[Biological &amp; Other Life Sci. St. C&amp;G])
+SUMIF(InputResearch[Institution Name],AccountabilityAHM[[#This Row],[Institution Name]],InputResearch[Comp. Sci. St. C&amp;G])
+SUMIF(InputResearch[Institution Name],AccountabilityAHM[[#This Row],[Institution Name]],InputResearch[Engineering St. C&amp;G])
+SUMIF(InputResearch[Institution Name],AccountabilityAHM[[#This Row],[Institution Name]],InputResearch[Env Sci. St. C&amp;G])
+SUMIF(InputResearch[Institution Name],AccountabilityAHM[[#This Row],[Institution Name]],InputResearch[Math St. C&amp;G])
+SUMIF(InputResearch[Institution Name],AccountabilityAHM[[#This Row],[Institution Name]],InputResearch[Medical St. C&amp;G])
+SUMIF(InputResearch[Institution Name],AccountabilityAHM[[#This Row],[Institution Name]],InputResearch[Physical Sci. St. C&amp;G])
+SUMIF(InputResearch[Institution Name],AccountabilityAHM[[#This Row],[Institution Name]],InputResearch[Psychology St. C&amp;G])
+SUMIF(InputResearch[Institution Name],AccountabilityAHM[[#This Row],[Institution Name]],InputResearch[Social Sci. St. C&amp;G])
+SUMIF(InputResearch[Institution Name],AccountabilityAHM[[#This Row],[Institution Name]],InputResearch[Other Sci. St. C&amp;G])
+SUMIF(InputResearch[Institution Name],AccountabilityAHM[[#This Row],[Institution Name]],InputResearch[Arts &amp; Humanities St. C&amp;G])
+SUMIF(InputResearch[Institution Name],AccountabilityAHM[[#This Row],[Institution Name]],InputResearch[Business St. C&amp;G])
+SUMIF(InputResearch[Institution Name],AccountabilityAHM[[#This Row],[Institution Name]],InputResearch[Education St. C&amp;G])
+SUMIF(InputResearch[Institution Name],AccountabilityAHM[[#This Row],[Institution Name]],InputResearch[Law St. C&amp;G])
+SUMIF(InputResearch[Institution Name],AccountabilityAHM[[#This Row],[Institution Name]],InputResearch[Other Non-Sci. St. C&amp;G])</f>
        <v>10332595</v>
      </c>
      <c r="G107" s="270">
        <f>SUM(AccountabilityAHM[[#This Row],[State 
Appropriation]],AccountabilityAHM[[#This Row],[State 
Contracts/Grants]])</f>
        <v>10682057</v>
      </c>
      <c r="H107" s="85">
        <f>SUMIF(InputResearch[Institution Name],AccountabilityAHM[[#This Row],[Institution Name]],InputResearch[Agricultural Sci. Inst Res])
+SUMIF(InputResearch[Institution Name],AccountabilityAHM[[#This Row],[Institution Name]],InputResearch[Biological &amp; Other Life Sci. Inst Res])
+SUMIF(InputResearch[Institution Name],AccountabilityAHM[[#This Row],[Institution Name]],InputResearch[Comp. Sci. Inst Res])
+SUMIF(InputResearch[Institution Name],AccountabilityAHM[[#This Row],[Institution Name]],InputResearch[Engineering Inst Res])
+SUMIF(InputResearch[Institution Name],AccountabilityAHM[[#This Row],[Institution Name]],InputResearch[Env Sci. Inst Res])
+SUMIF(InputResearch[Institution Name],AccountabilityAHM[[#This Row],[Institution Name]],InputResearch[Math Inst Res])
+SUMIF(InputResearch[Institution Name],AccountabilityAHM[[#This Row],[Institution Name]],InputResearch[Medical Inst Res])
+SUMIF(InputResearch[Institution Name],AccountabilityAHM[[#This Row],[Institution Name]],InputResearch[Physical Sci. Inst Res])
+SUMIF(InputResearch[Institution Name],AccountabilityAHM[[#This Row],[Institution Name]],InputResearch[Psychology Inst Res])
+SUMIF(InputResearch[Institution Name],AccountabilityAHM[[#This Row],[Institution Name]],InputResearch[Social Sci. Inst Res])
+SUMIF(InputResearch[Institution Name],AccountabilityAHM[[#This Row],[Institution Name]],InputResearch[Other Sci. Inst Res])
+SUMIF(InputResearch[Institution Name],AccountabilityAHM[[#This Row],[Institution Name]],InputResearch[Arts &amp; Humanities Inst Res])
+SUMIF(InputResearch[Institution Name],AccountabilityAHM[[#This Row],[Institution Name]],InputResearch[Business Inst Res])
+SUMIF(InputResearch[Institution Name],AccountabilityAHM[[#This Row],[Institution Name]],InputResearch[Education Inst Res])
+SUMIF(InputResearch[Institution Name],AccountabilityAHM[[#This Row],[Institution Name]],InputResearch[Law Inst Res])
+SUMIF(InputResearch[Institution Name],AccountabilityAHM[[#This Row],[Institution Name]],InputResearch[Other Non-Sci. Inst Res])</f>
        <v>48008971</v>
      </c>
      <c r="I107" s="85">
        <f>SUMIF(InputResearch[Institution Name],AccountabilityAHM[[#This Row],[Institution Name]],InputResearch[Agricultural Sci. PFP])
+SUMIF(InputResearch[Institution Name],AccountabilityAHM[[#This Row],[Institution Name]],InputResearch[Biological &amp; Other Life Sci. PFP])
+SUMIF(InputResearch[Institution Name],AccountabilityAHM[[#This Row],[Institution Name]],InputResearch[Comp. Sci. PFP])
+SUMIF(InputResearch[Institution Name],AccountabilityAHM[[#This Row],[Institution Name]],InputResearch[Engineering PFP])
+SUMIF(InputResearch[Institution Name],AccountabilityAHM[[#This Row],[Institution Name]],InputResearch[Env Sci. PFP])
+SUMIF(InputResearch[Institution Name],AccountabilityAHM[[#This Row],[Institution Name]],InputResearch[Math PFP])
+SUMIF(InputResearch[Institution Name],AccountabilityAHM[[#This Row],[Institution Name]],InputResearch[Medical PFP])
+SUMIF(InputResearch[Institution Name],AccountabilityAHM[[#This Row],[Institution Name]],InputResearch[Physical Sci. PFP])
+SUMIF(InputResearch[Institution Name],AccountabilityAHM[[#This Row],[Institution Name]],InputResearch[Psychology PFP])
+SUMIF(InputResearch[Institution Name],AccountabilityAHM[[#This Row],[Institution Name]],InputResearch[Social Sci. PFP])
+SUMIF(InputResearch[Institution Name],AccountabilityAHM[[#This Row],[Institution Name]],InputResearch[Other Sci. PFP])
+SUMIF(InputResearch[Institution Name],AccountabilityAHM[[#This Row],[Institution Name]],InputResearch[Arts &amp; Humanities PFP])
+SUMIF(InputResearch[Institution Name],AccountabilityAHM[[#This Row],[Institution Name]],InputResearch[Business PFP])
+SUMIF(InputResearch[Institution Name],AccountabilityAHM[[#This Row],[Institution Name]],InputResearch[Education PFP])
+SUMIF(InputResearch[Institution Name],AccountabilityAHM[[#This Row],[Institution Name]],InputResearch[Law PFP])
+SUMIF(InputResearch[Institution Name],AccountabilityAHM[[#This Row],[Institution Name]],InputResearch[Other Non-Sci. PFP])</f>
        <v>8403915</v>
      </c>
      <c r="J107" s="85">
        <f>SUMIF(InputResearch[Institution Name],AccountabilityAHM[[#This Row],[Institution Name]],InputResearch[Agricultural Sci. PNP])
+SUMIF(InputResearch[Institution Name],AccountabilityAHM[[#This Row],[Institution Name]],InputResearch[Biological &amp; Other Life Sci. PNP])
+SUMIF(InputResearch[Institution Name],AccountabilityAHM[[#This Row],[Institution Name]],InputResearch[Comp. Sci. PNP])
+SUMIF(InputResearch[Institution Name],AccountabilityAHM[[#This Row],[Institution Name]],InputResearch[Engineering PNP])
+SUMIF(InputResearch[Institution Name],AccountabilityAHM[[#This Row],[Institution Name]],InputResearch[Env Sci. PNP])
+SUMIF(InputResearch[Institution Name],AccountabilityAHM[[#This Row],[Institution Name]],InputResearch[Math PNP])
+SUMIF(InputResearch[Institution Name],AccountabilityAHM[[#This Row],[Institution Name]],InputResearch[Medical PNP])
+SUMIF(InputResearch[Institution Name],AccountabilityAHM[[#This Row],[Institution Name]],InputResearch[Physical Sci. PNP])
+SUMIF(InputResearch[Institution Name],AccountabilityAHM[[#This Row],[Institution Name]],InputResearch[Psychology PNP])
+SUMIF(InputResearch[Institution Name],AccountabilityAHM[[#This Row],[Institution Name]],InputResearch[Social Sci. PNP])
+SUMIF(InputResearch[Institution Name],AccountabilityAHM[[#This Row],[Institution Name]],InputResearch[Other Sci. PNP])
+SUMIF(InputResearch[Institution Name],AccountabilityAHM[[#This Row],[Institution Name]],InputResearch[Arts &amp; Humanities PNP])
+SUMIF(InputResearch[Institution Name],AccountabilityAHM[[#This Row],[Institution Name]],InputResearch[Business PNP])
+SUMIF(InputResearch[Institution Name],AccountabilityAHM[[#This Row],[Institution Name]],InputResearch[Education PNP])
+SUMIF(InputResearch[Institution Name],AccountabilityAHM[[#This Row],[Institution Name]],InputResearch[Law PNP])
+SUMIF(InputResearch[Institution Name],AccountabilityAHM[[#This Row],[Institution Name]],InputResearch[Other Non-Sci. PNP])</f>
        <v>5542124</v>
      </c>
      <c r="K107" s="270">
        <f>SUM(AccountabilityAHM[[#This Row],[Private 
For Profit]],AccountabilityAHM[[#This Row],[Private 
Nonprofit]])</f>
        <v>13946039</v>
      </c>
      <c r="L107" s="270">
        <f>SUM(AccountabilityAHM[[#This Row],[Federal]],AccountabilityAHM[[#This Row],[State]],AccountabilityAHM[[#This Row],[Institutional 
Resources]],AccountabilityAHM[[#This Row],[Private]])</f>
        <v>169375668</v>
      </c>
      <c r="M107" s="88"/>
      <c r="N107" s="88"/>
      <c r="O107" s="88"/>
    </row>
    <row r="108" spans="1:15">
      <c r="A108" s="79" t="s">
        <v>841</v>
      </c>
      <c r="B108" s="80">
        <f>VLOOKUP(AccountabilityAHM[[#This Row],[Institution Name]],InputResearch[],3,FALSE)</f>
        <v>280</v>
      </c>
      <c r="C108" s="84">
        <v>3606</v>
      </c>
      <c r="D108" s="85">
        <f>SUMIF(InputResearch[Institution Name],AccountabilityAHM[[#This Row],[Institution Name]],InputResearch[Agricultural Sci. Fed])
+SUMIF(InputResearch[Institution Name],AccountabilityAHM[[#This Row],[Institution Name]],InputResearch[Biological &amp; Other Life Sci. Fed])
+SUMIF(InputResearch[Institution Name],AccountabilityAHM[[#This Row],[Institution Name]],InputResearch[Comp. Sci. Fed])
+SUMIF(InputResearch[Institution Name],AccountabilityAHM[[#This Row],[Institution Name]],InputResearch[Engineering Fed])
+SUMIF(InputResearch[Institution Name],AccountabilityAHM[[#This Row],[Institution Name]],InputResearch[Env Sci. Fed])
+SUMIF(InputResearch[Institution Name],AccountabilityAHM[[#This Row],[Institution Name]],InputResearch[Math Fed])
+SUMIF(InputResearch[Institution Name],AccountabilityAHM[[#This Row],[Institution Name]],InputResearch[Medical Fed])
+SUMIF(InputResearch[Institution Name],AccountabilityAHM[[#This Row],[Institution Name]],InputResearch[Physical Sci. Fed])
+SUMIF(InputResearch[Institution Name],AccountabilityAHM[[#This Row],[Institution Name]],InputResearch[Psychology Fed])
+SUMIF(InputResearch[Institution Name],AccountabilityAHM[[#This Row],[Institution Name]],InputResearch[Social Sci. Fed])
+SUMIF(InputResearch[Institution Name],AccountabilityAHM[[#This Row],[Institution Name]],InputResearch[Other Sci. Fed])
+SUMIF(InputResearch[Institution Name],AccountabilityAHM[[#This Row],[Institution Name]],InputResearch[Arts &amp; Humanities Fed])
+SUMIF(InputResearch[Institution Name],AccountabilityAHM[[#This Row],[Institution Name]],InputResearch[Business Fed])
+SUMIF(InputResearch[Institution Name],AccountabilityAHM[[#This Row],[Institution Name]],InputResearch[Education Fed])
+SUMIF(InputResearch[Institution Name],AccountabilityAHM[[#This Row],[Institution Name]],InputResearch[Law Fed])
+SUMIF(InputResearch[Institution Name],AccountabilityAHM[[#This Row],[Institution Name]],InputResearch[Other Non-Sci. Fed])</f>
        <v>3307130</v>
      </c>
      <c r="E108" s="85">
        <f>SUMIF(InputResearch[Institution Name],AccountabilityAHM[[#This Row],[Institution Name]],InputResearch[Agricultural Sci. St. Approp.])
+SUMIF(InputResearch[Institution Name],AccountabilityAHM[[#This Row],[Institution Name]],InputResearch[Biological &amp; Other Life Sci. St. Approp.])
+SUMIF(InputResearch[Institution Name],AccountabilityAHM[[#This Row],[Institution Name]],InputResearch[Comp. Sci. St. Approp.])
+SUMIF(InputResearch[Institution Name],AccountabilityAHM[[#This Row],[Institution Name]],InputResearch[Engineering St. Approp.])
+SUMIF(InputResearch[Institution Name],AccountabilityAHM[[#This Row],[Institution Name]],InputResearch[Env Sci. St. Approp.])
+SUMIF(InputResearch[Institution Name],AccountabilityAHM[[#This Row],[Institution Name]],InputResearch[Math St. Approp.])
+SUMIF(InputResearch[Institution Name],AccountabilityAHM[[#This Row],[Institution Name]],InputResearch[Medical St. Approp.])
+SUMIF(InputResearch[Institution Name],AccountabilityAHM[[#This Row],[Institution Name]],InputResearch[Physical Sci. St. Approp.])
+SUMIF(InputResearch[Institution Name],AccountabilityAHM[[#This Row],[Institution Name]],InputResearch[Psychology St. Approp.])
+SUMIF(InputResearch[Institution Name],AccountabilityAHM[[#This Row],[Institution Name]],InputResearch[Social Sci. St. Approp.])
+SUMIF(InputResearch[Institution Name],AccountabilityAHM[[#This Row],[Institution Name]],InputResearch[Other Sci. St. Approp.])
+SUMIF(InputResearch[Institution Name],AccountabilityAHM[[#This Row],[Institution Name]],InputResearch[Arts &amp; Humanities St. Approp.])
+SUMIF(InputResearch[Institution Name],AccountabilityAHM[[#This Row],[Institution Name]],InputResearch[Business St. Approp.])
+SUMIF(InputResearch[Institution Name],AccountabilityAHM[[#This Row],[Institution Name]],InputResearch[Education St. Approp.])
+SUMIF(InputResearch[Institution Name],AccountabilityAHM[[#This Row],[Institution Name]],InputResearch[Law St. Approp.])
+SUMIF(InputResearch[Institution Name],AccountabilityAHM[[#This Row],[Institution Name]],InputResearch[Other Non-Sci. St. Approp.])</f>
        <v>0</v>
      </c>
      <c r="F108" s="85">
        <f>SUMIF(InputResearch[Institution Name],AccountabilityAHM[[#This Row],[Institution Name]],InputResearch[Agricultural Sci. St. C&amp;G])
+SUMIF(InputResearch[Institution Name],AccountabilityAHM[[#This Row],[Institution Name]],InputResearch[Biological &amp; Other Life Sci. St. C&amp;G])
+SUMIF(InputResearch[Institution Name],AccountabilityAHM[[#This Row],[Institution Name]],InputResearch[Comp. Sci. St. C&amp;G])
+SUMIF(InputResearch[Institution Name],AccountabilityAHM[[#This Row],[Institution Name]],InputResearch[Engineering St. C&amp;G])
+SUMIF(InputResearch[Institution Name],AccountabilityAHM[[#This Row],[Institution Name]],InputResearch[Env Sci. St. C&amp;G])
+SUMIF(InputResearch[Institution Name],AccountabilityAHM[[#This Row],[Institution Name]],InputResearch[Math St. C&amp;G])
+SUMIF(InputResearch[Institution Name],AccountabilityAHM[[#This Row],[Institution Name]],InputResearch[Medical St. C&amp;G])
+SUMIF(InputResearch[Institution Name],AccountabilityAHM[[#This Row],[Institution Name]],InputResearch[Physical Sci. St. C&amp;G])
+SUMIF(InputResearch[Institution Name],AccountabilityAHM[[#This Row],[Institution Name]],InputResearch[Psychology St. C&amp;G])
+SUMIF(InputResearch[Institution Name],AccountabilityAHM[[#This Row],[Institution Name]],InputResearch[Social Sci. St. C&amp;G])
+SUMIF(InputResearch[Institution Name],AccountabilityAHM[[#This Row],[Institution Name]],InputResearch[Other Sci. St. C&amp;G])
+SUMIF(InputResearch[Institution Name],AccountabilityAHM[[#This Row],[Institution Name]],InputResearch[Arts &amp; Humanities St. C&amp;G])
+SUMIF(InputResearch[Institution Name],AccountabilityAHM[[#This Row],[Institution Name]],InputResearch[Business St. C&amp;G])
+SUMIF(InputResearch[Institution Name],AccountabilityAHM[[#This Row],[Institution Name]],InputResearch[Education St. C&amp;G])
+SUMIF(InputResearch[Institution Name],AccountabilityAHM[[#This Row],[Institution Name]],InputResearch[Law St. C&amp;G])
+SUMIF(InputResearch[Institution Name],AccountabilityAHM[[#This Row],[Institution Name]],InputResearch[Other Non-Sci. St. C&amp;G])</f>
        <v>1046016</v>
      </c>
      <c r="G108" s="270">
        <f>SUM(AccountabilityAHM[[#This Row],[State 
Appropriation]],AccountabilityAHM[[#This Row],[State 
Contracts/Grants]])</f>
        <v>1046016</v>
      </c>
      <c r="H108" s="85">
        <f>SUMIF(InputResearch[Institution Name],AccountabilityAHM[[#This Row],[Institution Name]],InputResearch[Agricultural Sci. Inst Res])
+SUMIF(InputResearch[Institution Name],AccountabilityAHM[[#This Row],[Institution Name]],InputResearch[Biological &amp; Other Life Sci. Inst Res])
+SUMIF(InputResearch[Institution Name],AccountabilityAHM[[#This Row],[Institution Name]],InputResearch[Comp. Sci. Inst Res])
+SUMIF(InputResearch[Institution Name],AccountabilityAHM[[#This Row],[Institution Name]],InputResearch[Engineering Inst Res])
+SUMIF(InputResearch[Institution Name],AccountabilityAHM[[#This Row],[Institution Name]],InputResearch[Env Sci. Inst Res])
+SUMIF(InputResearch[Institution Name],AccountabilityAHM[[#This Row],[Institution Name]],InputResearch[Math Inst Res])
+SUMIF(InputResearch[Institution Name],AccountabilityAHM[[#This Row],[Institution Name]],InputResearch[Medical Inst Res])
+SUMIF(InputResearch[Institution Name],AccountabilityAHM[[#This Row],[Institution Name]],InputResearch[Physical Sci. Inst Res])
+SUMIF(InputResearch[Institution Name],AccountabilityAHM[[#This Row],[Institution Name]],InputResearch[Psychology Inst Res])
+SUMIF(InputResearch[Institution Name],AccountabilityAHM[[#This Row],[Institution Name]],InputResearch[Social Sci. Inst Res])
+SUMIF(InputResearch[Institution Name],AccountabilityAHM[[#This Row],[Institution Name]],InputResearch[Other Sci. Inst Res])
+SUMIF(InputResearch[Institution Name],AccountabilityAHM[[#This Row],[Institution Name]],InputResearch[Arts &amp; Humanities Inst Res])
+SUMIF(InputResearch[Institution Name],AccountabilityAHM[[#This Row],[Institution Name]],InputResearch[Business Inst Res])
+SUMIF(InputResearch[Institution Name],AccountabilityAHM[[#This Row],[Institution Name]],InputResearch[Education Inst Res])
+SUMIF(InputResearch[Institution Name],AccountabilityAHM[[#This Row],[Institution Name]],InputResearch[Law Inst Res])
+SUMIF(InputResearch[Institution Name],AccountabilityAHM[[#This Row],[Institution Name]],InputResearch[Other Non-Sci. Inst Res])</f>
        <v>6787561</v>
      </c>
      <c r="I108" s="85">
        <f>SUMIF(InputResearch[Institution Name],AccountabilityAHM[[#This Row],[Institution Name]],InputResearch[Agricultural Sci. PFP])
+SUMIF(InputResearch[Institution Name],AccountabilityAHM[[#This Row],[Institution Name]],InputResearch[Biological &amp; Other Life Sci. PFP])
+SUMIF(InputResearch[Institution Name],AccountabilityAHM[[#This Row],[Institution Name]],InputResearch[Comp. Sci. PFP])
+SUMIF(InputResearch[Institution Name],AccountabilityAHM[[#This Row],[Institution Name]],InputResearch[Engineering PFP])
+SUMIF(InputResearch[Institution Name],AccountabilityAHM[[#This Row],[Institution Name]],InputResearch[Env Sci. PFP])
+SUMIF(InputResearch[Institution Name],AccountabilityAHM[[#This Row],[Institution Name]],InputResearch[Math PFP])
+SUMIF(InputResearch[Institution Name],AccountabilityAHM[[#This Row],[Institution Name]],InputResearch[Medical PFP])
+SUMIF(InputResearch[Institution Name],AccountabilityAHM[[#This Row],[Institution Name]],InputResearch[Physical Sci. PFP])
+SUMIF(InputResearch[Institution Name],AccountabilityAHM[[#This Row],[Institution Name]],InputResearch[Psychology PFP])
+SUMIF(InputResearch[Institution Name],AccountabilityAHM[[#This Row],[Institution Name]],InputResearch[Social Sci. PFP])
+SUMIF(InputResearch[Institution Name],AccountabilityAHM[[#This Row],[Institution Name]],InputResearch[Other Sci. PFP])
+SUMIF(InputResearch[Institution Name],AccountabilityAHM[[#This Row],[Institution Name]],InputResearch[Arts &amp; Humanities PFP])
+SUMIF(InputResearch[Institution Name],AccountabilityAHM[[#This Row],[Institution Name]],InputResearch[Business PFP])
+SUMIF(InputResearch[Institution Name],AccountabilityAHM[[#This Row],[Institution Name]],InputResearch[Education PFP])
+SUMIF(InputResearch[Institution Name],AccountabilityAHM[[#This Row],[Institution Name]],InputResearch[Law PFP])
+SUMIF(InputResearch[Institution Name],AccountabilityAHM[[#This Row],[Institution Name]],InputResearch[Other Non-Sci. PFP])</f>
        <v>771818</v>
      </c>
      <c r="J108" s="85">
        <f>SUMIF(InputResearch[Institution Name],AccountabilityAHM[[#This Row],[Institution Name]],InputResearch[Agricultural Sci. PNP])
+SUMIF(InputResearch[Institution Name],AccountabilityAHM[[#This Row],[Institution Name]],InputResearch[Biological &amp; Other Life Sci. PNP])
+SUMIF(InputResearch[Institution Name],AccountabilityAHM[[#This Row],[Institution Name]],InputResearch[Comp. Sci. PNP])
+SUMIF(InputResearch[Institution Name],AccountabilityAHM[[#This Row],[Institution Name]],InputResearch[Engineering PNP])
+SUMIF(InputResearch[Institution Name],AccountabilityAHM[[#This Row],[Institution Name]],InputResearch[Env Sci. PNP])
+SUMIF(InputResearch[Institution Name],AccountabilityAHM[[#This Row],[Institution Name]],InputResearch[Math PNP])
+SUMIF(InputResearch[Institution Name],AccountabilityAHM[[#This Row],[Institution Name]],InputResearch[Medical PNP])
+SUMIF(InputResearch[Institution Name],AccountabilityAHM[[#This Row],[Institution Name]],InputResearch[Physical Sci. PNP])
+SUMIF(InputResearch[Institution Name],AccountabilityAHM[[#This Row],[Institution Name]],InputResearch[Psychology PNP])
+SUMIF(InputResearch[Institution Name],AccountabilityAHM[[#This Row],[Institution Name]],InputResearch[Social Sci. PNP])
+SUMIF(InputResearch[Institution Name],AccountabilityAHM[[#This Row],[Institution Name]],InputResearch[Other Sci. PNP])
+SUMIF(InputResearch[Institution Name],AccountabilityAHM[[#This Row],[Institution Name]],InputResearch[Arts &amp; Humanities PNP])
+SUMIF(InputResearch[Institution Name],AccountabilityAHM[[#This Row],[Institution Name]],InputResearch[Business PNP])
+SUMIF(InputResearch[Institution Name],AccountabilityAHM[[#This Row],[Institution Name]],InputResearch[Education PNP])
+SUMIF(InputResearch[Institution Name],AccountabilityAHM[[#This Row],[Institution Name]],InputResearch[Law PNP])
+SUMIF(InputResearch[Institution Name],AccountabilityAHM[[#This Row],[Institution Name]],InputResearch[Other Non-Sci. PNP])</f>
        <v>315188</v>
      </c>
      <c r="K108" s="270">
        <f>SUM(AccountabilityAHM[[#This Row],[Private 
For Profit]],AccountabilityAHM[[#This Row],[Private 
Nonprofit]])</f>
        <v>1087006</v>
      </c>
      <c r="L108" s="270">
        <f>SUM(AccountabilityAHM[[#This Row],[Federal]],AccountabilityAHM[[#This Row],[State]],AccountabilityAHM[[#This Row],[Institutional 
Resources]],AccountabilityAHM[[#This Row],[Private]])</f>
        <v>12227713</v>
      </c>
      <c r="M108" s="88"/>
      <c r="N108" s="88"/>
      <c r="O108" s="88"/>
    </row>
    <row r="109" spans="1:15">
      <c r="B109" s="212"/>
      <c r="C109" s="84"/>
      <c r="D109" s="270">
        <f>SUBTOTAL(109,AccountabilityAHM[Federal])</f>
        <v>771310617</v>
      </c>
      <c r="E109" s="270">
        <f>SUBTOTAL(109,AccountabilityAHM[State 
Appropriation])</f>
        <v>27826070</v>
      </c>
      <c r="F109" s="270">
        <f>SUBTOTAL(109,AccountabilityAHM[State 
Contracts/Grants])</f>
        <v>54073644</v>
      </c>
      <c r="G109" s="270">
        <f>SUBTOTAL(109,AccountabilityAHM[State])</f>
        <v>81899714</v>
      </c>
      <c r="H109" s="270">
        <f>SUBTOTAL(109,AccountabilityAHM[Institutional 
Resources])</f>
        <v>189958039</v>
      </c>
      <c r="I109" s="270">
        <f>SUBTOTAL(109,AccountabilityAHM[Private 
For Profit])</f>
        <v>101356749</v>
      </c>
      <c r="J109" s="270">
        <f>SUBTOTAL(109,AccountabilityAHM[Private 
Nonprofit])</f>
        <v>71212765</v>
      </c>
      <c r="K109" s="270">
        <f>SUBTOTAL(109,AccountabilityAHM[Private])</f>
        <v>172569514</v>
      </c>
      <c r="L109" s="270">
        <f>SUBTOTAL(109,AccountabilityAHM[Total Research 
Expenditures])</f>
        <v>1215737884</v>
      </c>
      <c r="M109" s="88"/>
      <c r="N109" s="88"/>
      <c r="O109" s="88"/>
    </row>
    <row r="110" spans="1:15">
      <c r="A110" s="88"/>
      <c r="B110" s="89"/>
      <c r="C110" s="88"/>
      <c r="D110" s="88"/>
      <c r="E110" s="88"/>
      <c r="F110" s="88"/>
      <c r="G110" s="88"/>
      <c r="H110" s="88"/>
      <c r="I110" s="88"/>
      <c r="J110" s="88"/>
      <c r="K110" s="88"/>
      <c r="L110" s="88"/>
      <c r="M110" s="88"/>
      <c r="N110" s="88"/>
      <c r="O110" s="88"/>
    </row>
    <row r="111" spans="1:15">
      <c r="A111" s="88"/>
      <c r="B111" s="89"/>
      <c r="C111" s="88"/>
      <c r="D111" s="88"/>
      <c r="E111" s="88"/>
      <c r="F111" s="88"/>
      <c r="G111" s="88"/>
      <c r="H111" s="88"/>
      <c r="I111" s="88"/>
      <c r="J111" s="88"/>
      <c r="K111" s="88"/>
      <c r="L111" s="88"/>
      <c r="M111" s="88"/>
      <c r="N111" s="88"/>
      <c r="O111" s="88"/>
    </row>
    <row r="112" spans="1:15" ht="33" customHeight="1">
      <c r="A112" s="439" t="s">
        <v>971</v>
      </c>
      <c r="B112" s="440"/>
      <c r="C112" s="440"/>
      <c r="D112" s="440"/>
      <c r="E112" s="440"/>
      <c r="F112" s="440"/>
      <c r="G112" s="440"/>
      <c r="H112" s="440"/>
      <c r="I112" s="440"/>
      <c r="J112" s="440"/>
      <c r="K112" s="440"/>
      <c r="L112" s="440"/>
      <c r="M112" s="88"/>
      <c r="N112" s="88"/>
      <c r="O112" s="88"/>
    </row>
    <row r="113" spans="1:15" ht="17.399999999999999">
      <c r="A113" s="438">
        <f>Hidden!$A$4</f>
        <v>45412</v>
      </c>
      <c r="B113" s="438"/>
      <c r="C113" s="438"/>
      <c r="D113" s="438"/>
      <c r="E113" s="438"/>
      <c r="F113" s="438"/>
      <c r="G113" s="438"/>
      <c r="H113" s="438"/>
      <c r="I113" s="438"/>
      <c r="J113" s="438"/>
      <c r="K113" s="438"/>
      <c r="L113" s="438"/>
      <c r="M113" s="344"/>
      <c r="N113" s="88"/>
      <c r="O113" s="88"/>
    </row>
    <row r="114" spans="1:15">
      <c r="A114" s="88"/>
      <c r="B114" s="89"/>
      <c r="C114" s="88"/>
      <c r="D114" s="88"/>
      <c r="E114" s="88"/>
      <c r="F114" s="88"/>
      <c r="G114" s="88"/>
      <c r="H114" s="88"/>
      <c r="I114" s="88"/>
      <c r="J114" s="88"/>
      <c r="K114" s="88"/>
      <c r="L114" s="88"/>
      <c r="M114" s="88"/>
      <c r="N114" s="88"/>
      <c r="O114" s="88"/>
    </row>
    <row r="115" spans="1:15" s="80" customFormat="1" ht="30">
      <c r="A115" s="81" t="s">
        <v>1</v>
      </c>
      <c r="B115" s="82" t="s">
        <v>889</v>
      </c>
      <c r="C115" s="82" t="s">
        <v>2</v>
      </c>
      <c r="D115" s="82" t="s">
        <v>100</v>
      </c>
      <c r="E115" s="82" t="s">
        <v>669</v>
      </c>
      <c r="F115" s="82" t="s">
        <v>670</v>
      </c>
      <c r="G115" s="82" t="s">
        <v>671</v>
      </c>
      <c r="H115" s="82" t="s">
        <v>672</v>
      </c>
      <c r="I115" s="82" t="s">
        <v>673</v>
      </c>
      <c r="J115" s="82" t="s">
        <v>674</v>
      </c>
      <c r="K115" s="82" t="s">
        <v>675</v>
      </c>
      <c r="L115" s="82" t="s">
        <v>847</v>
      </c>
      <c r="M115" s="89"/>
      <c r="N115" s="89"/>
      <c r="O115" s="89"/>
    </row>
    <row r="116" spans="1:15">
      <c r="A116" s="79" t="s">
        <v>305</v>
      </c>
      <c r="B116" s="80">
        <f>VLOOKUP(AccountabilityInd[[#This Row],[Institution Name]],InputResearch[],3,FALSE)</f>
        <v>0</v>
      </c>
      <c r="C116" s="84">
        <v>3537</v>
      </c>
      <c r="D116"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764646</v>
      </c>
      <c r="E116"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16"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0</v>
      </c>
      <c r="G116" s="270">
        <f>SUM(AccountabilityInd[[#This Row],[State 
Appropriation]],AccountabilityInd[[#This Row],[State 
Contracts/Grants]])</f>
        <v>0</v>
      </c>
      <c r="H116"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192490</v>
      </c>
      <c r="I116"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6332916</v>
      </c>
      <c r="J116"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122527</v>
      </c>
      <c r="K116" s="270">
        <f>SUM(AccountabilityInd[[#This Row],[Private 
For Profit]],AccountabilityInd[[#This Row],[Private 
Nonprofit]])</f>
        <v>6455443</v>
      </c>
      <c r="L116" s="270">
        <f>SUM(AccountabilityInd[[#This Row],[Federal]],AccountabilityInd[[#This Row],[State]],AccountabilityInd[[#This Row],[Institutional 
Resources]],AccountabilityInd[[#This Row],[Private]])</f>
        <v>7412579</v>
      </c>
      <c r="M116" s="88"/>
      <c r="N116" s="88"/>
      <c r="O116" s="88"/>
    </row>
    <row r="117" spans="1:15">
      <c r="A117" s="79" t="s">
        <v>297</v>
      </c>
      <c r="B117" s="80">
        <f>VLOOKUP(AccountabilityInd[[#This Row],[Institution Name]],InputResearch[],3,FALSE)</f>
        <v>0</v>
      </c>
      <c r="C117" s="84">
        <v>3543</v>
      </c>
      <c r="D117"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107574</v>
      </c>
      <c r="E117"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17"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0</v>
      </c>
      <c r="G117" s="270">
        <f>SUM(AccountabilityInd[[#This Row],[State 
Appropriation]],AccountabilityInd[[#This Row],[State 
Contracts/Grants]])</f>
        <v>0</v>
      </c>
      <c r="H117"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92906</v>
      </c>
      <c r="I117"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0</v>
      </c>
      <c r="J117"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182998</v>
      </c>
      <c r="K117" s="270">
        <f>SUM(AccountabilityInd[[#This Row],[Private 
For Profit]],AccountabilityInd[[#This Row],[Private 
Nonprofit]])</f>
        <v>182998</v>
      </c>
      <c r="L117" s="270">
        <f>SUM(AccountabilityInd[[#This Row],[Federal]],AccountabilityInd[[#This Row],[State]],AccountabilityInd[[#This Row],[Institutional 
Resources]],AccountabilityInd[[#This Row],[Private]])</f>
        <v>383478</v>
      </c>
      <c r="M117" s="88"/>
      <c r="N117" s="88"/>
      <c r="O117" s="88"/>
    </row>
    <row r="118" spans="1:15">
      <c r="A118" s="79" t="s">
        <v>306</v>
      </c>
      <c r="B118" s="80">
        <f>VLOOKUP(AccountabilityInd[[#This Row],[Institution Name]],InputResearch[],3,FALSE)</f>
        <v>0</v>
      </c>
      <c r="C118" s="84">
        <v>3545</v>
      </c>
      <c r="D118"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17920748</v>
      </c>
      <c r="E118"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18"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2821739</v>
      </c>
      <c r="G118" s="270">
        <f>SUM(AccountabilityInd[[#This Row],[State 
Appropriation]],AccountabilityInd[[#This Row],[State 
Contracts/Grants]])</f>
        <v>2821739</v>
      </c>
      <c r="H118"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40073515</v>
      </c>
      <c r="I118"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3460101</v>
      </c>
      <c r="J118"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12779386</v>
      </c>
      <c r="K118" s="270">
        <f>SUM(AccountabilityInd[[#This Row],[Private 
For Profit]],AccountabilityInd[[#This Row],[Private 
Nonprofit]])</f>
        <v>16239487</v>
      </c>
      <c r="L118" s="270">
        <f>SUM(AccountabilityInd[[#This Row],[Federal]],AccountabilityInd[[#This Row],[State]],AccountabilityInd[[#This Row],[Institutional 
Resources]],AccountabilityInd[[#This Row],[Private]])</f>
        <v>77055489</v>
      </c>
      <c r="M118" s="88"/>
      <c r="N118" s="88"/>
      <c r="O118" s="88"/>
    </row>
    <row r="119" spans="1:15">
      <c r="A119" s="79" t="s">
        <v>690</v>
      </c>
      <c r="B119" s="80">
        <f>VLOOKUP(AccountabilityInd[[#This Row],[Institution Name]],InputResearch[],3,FALSE)</f>
        <v>0</v>
      </c>
      <c r="C119" s="84">
        <v>3564</v>
      </c>
      <c r="D119"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0</v>
      </c>
      <c r="E119"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19"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0</v>
      </c>
      <c r="G119" s="270">
        <f>SUM(AccountabilityInd[[#This Row],[State 
Appropriation]],AccountabilityInd[[#This Row],[State 
Contracts/Grants]])</f>
        <v>0</v>
      </c>
      <c r="H119"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0</v>
      </c>
      <c r="I119"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0</v>
      </c>
      <c r="J119"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10734</v>
      </c>
      <c r="K119" s="270">
        <f>SUM(AccountabilityInd[[#This Row],[Private 
For Profit]],AccountabilityInd[[#This Row],[Private 
Nonprofit]])</f>
        <v>10734</v>
      </c>
      <c r="L119" s="270">
        <f>SUM(AccountabilityInd[[#This Row],[Federal]],AccountabilityInd[[#This Row],[State]],AccountabilityInd[[#This Row],[Institutional 
Resources]],AccountabilityInd[[#This Row],[Private]])</f>
        <v>10734</v>
      </c>
      <c r="M119" s="88"/>
      <c r="N119" s="88"/>
      <c r="O119" s="88"/>
    </row>
    <row r="120" spans="1:15">
      <c r="A120" s="79" t="s">
        <v>308</v>
      </c>
      <c r="B120" s="80">
        <f>VLOOKUP(AccountabilityInd[[#This Row],[Institution Name]],InputResearch[],3,FALSE)</f>
        <v>0</v>
      </c>
      <c r="C120" s="84">
        <v>3577</v>
      </c>
      <c r="D120"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300000</v>
      </c>
      <c r="E120"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20"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0</v>
      </c>
      <c r="G120" s="270">
        <f>SUM(AccountabilityInd[[#This Row],[State 
Appropriation]],AccountabilityInd[[#This Row],[State 
Contracts/Grants]])</f>
        <v>0</v>
      </c>
      <c r="H120"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0</v>
      </c>
      <c r="I120"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0</v>
      </c>
      <c r="J120"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0</v>
      </c>
      <c r="K120" s="270">
        <f>SUM(AccountabilityInd[[#This Row],[Private 
For Profit]],AccountabilityInd[[#This Row],[Private 
Nonprofit]])</f>
        <v>0</v>
      </c>
      <c r="L120" s="270">
        <f>SUM(AccountabilityInd[[#This Row],[Federal]],AccountabilityInd[[#This Row],[State]],AccountabilityInd[[#This Row],[Institutional 
Resources]],AccountabilityInd[[#This Row],[Private]])</f>
        <v>300000</v>
      </c>
      <c r="M120" s="88"/>
      <c r="N120" s="88"/>
      <c r="O120" s="88"/>
    </row>
    <row r="121" spans="1:15">
      <c r="A121" s="79" t="s">
        <v>691</v>
      </c>
      <c r="B121" s="80">
        <f>VLOOKUP(AccountabilityInd[[#This Row],[Institution Name]],InputResearch[],3,FALSE)</f>
        <v>0</v>
      </c>
      <c r="C121" s="84">
        <v>3584</v>
      </c>
      <c r="D121"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88222</v>
      </c>
      <c r="E121"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21"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0</v>
      </c>
      <c r="G121" s="270">
        <f>SUM(AccountabilityInd[[#This Row],[State 
Appropriation]],AccountabilityInd[[#This Row],[State 
Contracts/Grants]])</f>
        <v>0</v>
      </c>
      <c r="H121"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68224</v>
      </c>
      <c r="I121"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15388</v>
      </c>
      <c r="J121"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3377</v>
      </c>
      <c r="K121" s="270">
        <f>SUM(AccountabilityInd[[#This Row],[Private 
For Profit]],AccountabilityInd[[#This Row],[Private 
Nonprofit]])</f>
        <v>18765</v>
      </c>
      <c r="L121" s="270">
        <f>SUM(AccountabilityInd[[#This Row],[Federal]],AccountabilityInd[[#This Row],[State]],AccountabilityInd[[#This Row],[Institutional 
Resources]],AccountabilityInd[[#This Row],[Private]])</f>
        <v>175211</v>
      </c>
      <c r="M121" s="88"/>
      <c r="N121" s="88"/>
      <c r="O121" s="88"/>
    </row>
    <row r="122" spans="1:15">
      <c r="A122" s="79" t="s">
        <v>692</v>
      </c>
      <c r="B122" s="80">
        <f>VLOOKUP(AccountabilityInd[[#This Row],[Institution Name]],InputResearch[],3,FALSE)</f>
        <v>0</v>
      </c>
      <c r="C122" s="84">
        <v>3591</v>
      </c>
      <c r="D122"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37470</v>
      </c>
      <c r="E122"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22"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0</v>
      </c>
      <c r="G122" s="270">
        <f>SUM(AccountabilityInd[[#This Row],[State 
Appropriation]],AccountabilityInd[[#This Row],[State 
Contracts/Grants]])</f>
        <v>0</v>
      </c>
      <c r="H122"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0</v>
      </c>
      <c r="I122"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0</v>
      </c>
      <c r="J122"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51949</v>
      </c>
      <c r="K122" s="270">
        <f>SUM(AccountabilityInd[[#This Row],[Private 
For Profit]],AccountabilityInd[[#This Row],[Private 
Nonprofit]])</f>
        <v>51949</v>
      </c>
      <c r="L122" s="270">
        <f>SUM(AccountabilityInd[[#This Row],[Federal]],AccountabilityInd[[#This Row],[State]],AccountabilityInd[[#This Row],[Institutional 
Resources]],AccountabilityInd[[#This Row],[Private]])</f>
        <v>89419</v>
      </c>
      <c r="M122" s="88"/>
      <c r="N122" s="88"/>
      <c r="O122" s="88"/>
    </row>
    <row r="123" spans="1:15">
      <c r="A123" s="79" t="s">
        <v>311</v>
      </c>
      <c r="B123" s="80">
        <f>VLOOKUP(AccountabilityInd[[#This Row],[Institution Name]],InputResearch[],3,FALSE)</f>
        <v>0</v>
      </c>
      <c r="C123" s="84">
        <v>23053</v>
      </c>
      <c r="D123"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0</v>
      </c>
      <c r="E123"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23"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0</v>
      </c>
      <c r="G123" s="270">
        <f>SUM(AccountabilityInd[[#This Row],[State 
Appropriation]],AccountabilityInd[[#This Row],[State 
Contracts/Grants]])</f>
        <v>0</v>
      </c>
      <c r="H123"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587000</v>
      </c>
      <c r="I123"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0</v>
      </c>
      <c r="J123"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0</v>
      </c>
      <c r="K123" s="270">
        <f>SUM(AccountabilityInd[[#This Row],[Private 
For Profit]],AccountabilityInd[[#This Row],[Private 
Nonprofit]])</f>
        <v>0</v>
      </c>
      <c r="L123" s="270">
        <f>SUM(AccountabilityInd[[#This Row],[Federal]],AccountabilityInd[[#This Row],[State]],AccountabilityInd[[#This Row],[Institutional 
Resources]],AccountabilityInd[[#This Row],[Private]])</f>
        <v>587000</v>
      </c>
      <c r="M123" s="88"/>
      <c r="N123" s="88"/>
      <c r="O123" s="88"/>
    </row>
    <row r="124" spans="1:15">
      <c r="A124" s="79" t="s">
        <v>312</v>
      </c>
      <c r="B124" s="80">
        <f>VLOOKUP(AccountabilityInd[[#This Row],[Institution Name]],InputResearch[],3,FALSE)</f>
        <v>0</v>
      </c>
      <c r="C124" s="84">
        <v>3613</v>
      </c>
      <c r="D124"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20149682</v>
      </c>
      <c r="E124"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24"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1297084</v>
      </c>
      <c r="G124" s="270">
        <f>SUM(AccountabilityInd[[#This Row],[State 
Appropriation]],AccountabilityInd[[#This Row],[State 
Contracts/Grants]])</f>
        <v>1297084</v>
      </c>
      <c r="H124"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20419936</v>
      </c>
      <c r="I124"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1571207</v>
      </c>
      <c r="J124"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3530394</v>
      </c>
      <c r="K124" s="270">
        <f>SUM(AccountabilityInd[[#This Row],[Private 
For Profit]],AccountabilityInd[[#This Row],[Private 
Nonprofit]])</f>
        <v>5101601</v>
      </c>
      <c r="L124" s="270">
        <f>SUM(AccountabilityInd[[#This Row],[Federal]],AccountabilityInd[[#This Row],[State]],AccountabilityInd[[#This Row],[Institutional 
Resources]],AccountabilityInd[[#This Row],[Private]])</f>
        <v>46968303</v>
      </c>
      <c r="M124" s="88"/>
      <c r="N124" s="88"/>
      <c r="O124" s="88"/>
    </row>
    <row r="125" spans="1:15">
      <c r="A125" s="79" t="s">
        <v>313</v>
      </c>
      <c r="B125" s="80">
        <f>VLOOKUP(AccountabilityInd[[#This Row],[Institution Name]],InputResearch[],3,FALSE)</f>
        <v>0</v>
      </c>
      <c r="C125" s="84">
        <v>3620</v>
      </c>
      <c r="D125"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152527</v>
      </c>
      <c r="E125"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25"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0</v>
      </c>
      <c r="G125" s="270">
        <f>SUM(AccountabilityInd[[#This Row],[State 
Appropriation]],AccountabilityInd[[#This Row],[State 
Contracts/Grants]])</f>
        <v>0</v>
      </c>
      <c r="H125"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0</v>
      </c>
      <c r="I125"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11225</v>
      </c>
      <c r="J125"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76115</v>
      </c>
      <c r="K125" s="270">
        <f>SUM(AccountabilityInd[[#This Row],[Private 
For Profit]],AccountabilityInd[[#This Row],[Private 
Nonprofit]])</f>
        <v>87340</v>
      </c>
      <c r="L125" s="270">
        <f>SUM(AccountabilityInd[[#This Row],[Federal]],AccountabilityInd[[#This Row],[State]],AccountabilityInd[[#This Row],[Institutional 
Resources]],AccountabilityInd[[#This Row],[Private]])</f>
        <v>239867</v>
      </c>
      <c r="M125" s="88"/>
      <c r="N125" s="88"/>
      <c r="O125" s="88"/>
    </row>
    <row r="126" spans="1:15">
      <c r="A126" s="79" t="s">
        <v>318</v>
      </c>
      <c r="B126" s="80">
        <f>VLOOKUP(AccountabilityInd[[#This Row],[Institution Name]],InputResearch[],3,FALSE)</f>
        <v>0</v>
      </c>
      <c r="C126" s="84">
        <v>3636</v>
      </c>
      <c r="D126"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8992101</v>
      </c>
      <c r="E126"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26"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109697</v>
      </c>
      <c r="G126" s="270">
        <f>SUM(AccountabilityInd[[#This Row],[State 
Appropriation]],AccountabilityInd[[#This Row],[State 
Contracts/Grants]])</f>
        <v>109697</v>
      </c>
      <c r="H126"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528699</v>
      </c>
      <c r="I126"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4574282</v>
      </c>
      <c r="J126"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0</v>
      </c>
      <c r="K126" s="270">
        <f>SUM(AccountabilityInd[[#This Row],[Private 
For Profit]],AccountabilityInd[[#This Row],[Private 
Nonprofit]])</f>
        <v>4574282</v>
      </c>
      <c r="L126" s="270">
        <f>SUM(AccountabilityInd[[#This Row],[Federal]],AccountabilityInd[[#This Row],[State]],AccountabilityInd[[#This Row],[Institutional 
Resources]],AccountabilityInd[[#This Row],[Private]])</f>
        <v>14204779</v>
      </c>
      <c r="M126" s="88"/>
      <c r="N126" s="88"/>
      <c r="O126" s="88"/>
    </row>
    <row r="127" spans="1:15">
      <c r="A127" s="79" t="s">
        <v>315</v>
      </c>
      <c r="B127" s="80">
        <f>VLOOKUP(AccountabilityInd[[#This Row],[Institution Name]],InputResearch[],3,FALSE)</f>
        <v>0</v>
      </c>
      <c r="C127" s="84">
        <v>3641</v>
      </c>
      <c r="D127"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146873</v>
      </c>
      <c r="E127"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27"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0</v>
      </c>
      <c r="G127" s="270">
        <f>SUM(AccountabilityInd[[#This Row],[State 
Appropriation]],AccountabilityInd[[#This Row],[State 
Contracts/Grants]])</f>
        <v>0</v>
      </c>
      <c r="H127"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10418</v>
      </c>
      <c r="I127"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29467</v>
      </c>
      <c r="J127"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52403</v>
      </c>
      <c r="K127" s="270">
        <f>SUM(AccountabilityInd[[#This Row],[Private 
For Profit]],AccountabilityInd[[#This Row],[Private 
Nonprofit]])</f>
        <v>81870</v>
      </c>
      <c r="L127" s="270">
        <f>SUM(AccountabilityInd[[#This Row],[Federal]],AccountabilityInd[[#This Row],[State]],AccountabilityInd[[#This Row],[Institutional 
Resources]],AccountabilityInd[[#This Row],[Private]])</f>
        <v>239161</v>
      </c>
      <c r="M127" s="88"/>
      <c r="N127" s="88"/>
      <c r="O127" s="88"/>
    </row>
    <row r="128" spans="1:15">
      <c r="A128" s="79" t="s">
        <v>316</v>
      </c>
      <c r="B128" s="80">
        <f>VLOOKUP(AccountabilityInd[[#This Row],[Institution Name]],InputResearch[],3,FALSE)</f>
        <v>0</v>
      </c>
      <c r="C128" s="84">
        <v>3645</v>
      </c>
      <c r="D128"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0</v>
      </c>
      <c r="E128"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28"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0</v>
      </c>
      <c r="G128" s="270">
        <f>SUM(AccountabilityInd[[#This Row],[State 
Appropriation]],AccountabilityInd[[#This Row],[State 
Contracts/Grants]])</f>
        <v>0</v>
      </c>
      <c r="H128"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0</v>
      </c>
      <c r="I128"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0</v>
      </c>
      <c r="J128"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157325</v>
      </c>
      <c r="K128" s="270">
        <f>SUM(AccountabilityInd[[#This Row],[Private 
For Profit]],AccountabilityInd[[#This Row],[Private 
Nonprofit]])</f>
        <v>157325</v>
      </c>
      <c r="L128" s="270">
        <f>SUM(AccountabilityInd[[#This Row],[Federal]],AccountabilityInd[[#This Row],[State]],AccountabilityInd[[#This Row],[Institutional 
Resources]],AccountabilityInd[[#This Row],[Private]])</f>
        <v>157325</v>
      </c>
      <c r="M128" s="88"/>
      <c r="N128" s="88"/>
      <c r="O128" s="88"/>
    </row>
    <row r="129" spans="1:15">
      <c r="A129" s="79" t="s">
        <v>317</v>
      </c>
      <c r="B129" s="80">
        <f>VLOOKUP(AccountabilityInd[[#This Row],[Institution Name]],InputResearch[],3,FALSE)</f>
        <v>0</v>
      </c>
      <c r="C129" s="84">
        <v>3647</v>
      </c>
      <c r="D129"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2211036</v>
      </c>
      <c r="E129"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29"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1674</v>
      </c>
      <c r="G129" s="270">
        <f>SUM(AccountabilityInd[[#This Row],[State 
Appropriation]],AccountabilityInd[[#This Row],[State 
Contracts/Grants]])</f>
        <v>1674</v>
      </c>
      <c r="H129"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1747964</v>
      </c>
      <c r="I129"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0</v>
      </c>
      <c r="J129"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1334863</v>
      </c>
      <c r="K129" s="270">
        <f>SUM(AccountabilityInd[[#This Row],[Private 
For Profit]],AccountabilityInd[[#This Row],[Private 
Nonprofit]])</f>
        <v>1334863</v>
      </c>
      <c r="L129" s="270">
        <f>SUM(AccountabilityInd[[#This Row],[Federal]],AccountabilityInd[[#This Row],[State]],AccountabilityInd[[#This Row],[Institutional 
Resources]],AccountabilityInd[[#This Row],[Private]])</f>
        <v>5295537</v>
      </c>
      <c r="M129" s="88"/>
      <c r="N129" s="88"/>
      <c r="O129" s="88"/>
    </row>
    <row r="130" spans="1:15">
      <c r="A130" s="79" t="s">
        <v>694</v>
      </c>
      <c r="B130" s="80">
        <f>VLOOKUP(AccountabilityInd[[#This Row],[Institution Name]],InputResearch[],3,FALSE)</f>
        <v>0</v>
      </c>
      <c r="C130" s="84">
        <v>3651</v>
      </c>
      <c r="D130"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21974</v>
      </c>
      <c r="E130"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30"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0</v>
      </c>
      <c r="G130" s="270">
        <f>SUM(AccountabilityInd[[#This Row],[State 
Appropriation]],AccountabilityInd[[#This Row],[State 
Contracts/Grants]])</f>
        <v>0</v>
      </c>
      <c r="H130"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0</v>
      </c>
      <c r="I130"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0</v>
      </c>
      <c r="J130"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189961</v>
      </c>
      <c r="K130" s="270">
        <f>SUM(AccountabilityInd[[#This Row],[Private 
For Profit]],AccountabilityInd[[#This Row],[Private 
Nonprofit]])</f>
        <v>189961</v>
      </c>
      <c r="L130" s="270">
        <f>SUM(AccountabilityInd[[#This Row],[Federal]],AccountabilityInd[[#This Row],[State]],AccountabilityInd[[#This Row],[Institutional 
Resources]],AccountabilityInd[[#This Row],[Private]])</f>
        <v>211935</v>
      </c>
      <c r="M130" s="88"/>
      <c r="N130" s="88"/>
      <c r="O130" s="88"/>
    </row>
    <row r="131" spans="1:15">
      <c r="A131" s="79" t="s">
        <v>695</v>
      </c>
      <c r="B131" s="80">
        <f>VLOOKUP(AccountabilityInd[[#This Row],[Institution Name]],InputResearch[],3,FALSE)</f>
        <v>0</v>
      </c>
      <c r="C131" s="84">
        <v>3663</v>
      </c>
      <c r="D131"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6100</v>
      </c>
      <c r="E131"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31"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0</v>
      </c>
      <c r="G131" s="270">
        <f>SUM(AccountabilityInd[[#This Row],[State 
Appropriation]],AccountabilityInd[[#This Row],[State 
Contracts/Grants]])</f>
        <v>0</v>
      </c>
      <c r="H131"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2617</v>
      </c>
      <c r="I131"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5000</v>
      </c>
      <c r="J131"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28000</v>
      </c>
      <c r="K131" s="270">
        <f>SUM(AccountabilityInd[[#This Row],[Private 
For Profit]],AccountabilityInd[[#This Row],[Private 
Nonprofit]])</f>
        <v>33000</v>
      </c>
      <c r="L131" s="270">
        <f>SUM(AccountabilityInd[[#This Row],[Federal]],AccountabilityInd[[#This Row],[State]],AccountabilityInd[[#This Row],[Institutional 
Resources]],AccountabilityInd[[#This Row],[Private]])</f>
        <v>41717</v>
      </c>
      <c r="M131" s="88"/>
      <c r="N131" s="88"/>
      <c r="O131" s="88"/>
    </row>
    <row r="132" spans="1:15">
      <c r="A132" s="79" t="s">
        <v>693</v>
      </c>
      <c r="B132" s="80">
        <f>VLOOKUP(AccountabilityInd[[#This Row],[Institution Name]],InputResearch[],3,FALSE)</f>
        <v>0</v>
      </c>
      <c r="C132" s="84">
        <v>3604</v>
      </c>
      <c r="D132" s="85">
        <f>SUMIF(InputResearch[Institution Name],AccountabilityInd[[#This Row],[Institution Name]],InputResearch[Agricultural Sci. Fed])
+SUMIF(InputResearch[Institution Name],AccountabilityInd[[#This Row],[Institution Name]],InputResearch[Biological &amp; Other Life Sci. Fed])
+SUMIF(InputResearch[Institution Name],AccountabilityInd[[#This Row],[Institution Name]],InputResearch[Comp. Sci. Fed])
+SUMIF(InputResearch[Institution Name],AccountabilityInd[[#This Row],[Institution Name]],InputResearch[Engineering Fed])
+SUMIF(InputResearch[Institution Name],AccountabilityInd[[#This Row],[Institution Name]],InputResearch[Env Sci. Fed])
+SUMIF(InputResearch[Institution Name],AccountabilityInd[[#This Row],[Institution Name]],InputResearch[Math Fed])
+SUMIF(InputResearch[Institution Name],AccountabilityInd[[#This Row],[Institution Name]],InputResearch[Medical Fed])
+SUMIF(InputResearch[Institution Name],AccountabilityInd[[#This Row],[Institution Name]],InputResearch[Physical Sci. Fed])
+SUMIF(InputResearch[Institution Name],AccountabilityInd[[#This Row],[Institution Name]],InputResearch[Psychology Fed])
+SUMIF(InputResearch[Institution Name],AccountabilityInd[[#This Row],[Institution Name]],InputResearch[Social Sci. Fed])
+SUMIF(InputResearch[Institution Name],AccountabilityInd[[#This Row],[Institution Name]],InputResearch[Other Sci. Fed])
+SUMIF(InputResearch[Institution Name],AccountabilityInd[[#This Row],[Institution Name]],InputResearch[Arts &amp; Humanities Fed])
+SUMIF(InputResearch[Institution Name],AccountabilityInd[[#This Row],[Institution Name]],InputResearch[Business Fed])
+SUMIF(InputResearch[Institution Name],AccountabilityInd[[#This Row],[Institution Name]],InputResearch[Education Fed])
+SUMIF(InputResearch[Institution Name],AccountabilityInd[[#This Row],[Institution Name]],InputResearch[Law Fed])
+SUMIF(InputResearch[Institution Name],AccountabilityInd[[#This Row],[Institution Name]],InputResearch[Other Non-Sci. Fed])</f>
        <v>118010361</v>
      </c>
      <c r="E132" s="85">
        <f>SUMIF(InputResearch[Institution Name],AccountabilityInd[[#This Row],[Institution Name]],InputResearch[Agricultural Sci. St. Approp.])
+SUMIF(InputResearch[Institution Name],AccountabilityInd[[#This Row],[Institution Name]],InputResearch[Biological &amp; Other Life Sci. St. Approp.])
+SUMIF(InputResearch[Institution Name],AccountabilityInd[[#This Row],[Institution Name]],InputResearch[Comp. Sci. St. Approp.])
+SUMIF(InputResearch[Institution Name],AccountabilityInd[[#This Row],[Institution Name]],InputResearch[Engineering St. Approp.])
+SUMIF(InputResearch[Institution Name],AccountabilityInd[[#This Row],[Institution Name]],InputResearch[Env Sci. St. Approp.])
+SUMIF(InputResearch[Institution Name],AccountabilityInd[[#This Row],[Institution Name]],InputResearch[Math St. Approp.])
+SUMIF(InputResearch[Institution Name],AccountabilityInd[[#This Row],[Institution Name]],InputResearch[Medical St. Approp.])
+SUMIF(InputResearch[Institution Name],AccountabilityInd[[#This Row],[Institution Name]],InputResearch[Physical Sci. St. Approp.])
+SUMIF(InputResearch[Institution Name],AccountabilityInd[[#This Row],[Institution Name]],InputResearch[Psychology St. Approp.])
+SUMIF(InputResearch[Institution Name],AccountabilityInd[[#This Row],[Institution Name]],InputResearch[Social Sci. St. Approp.])
+SUMIF(InputResearch[Institution Name],AccountabilityInd[[#This Row],[Institution Name]],InputResearch[Other Sci. St. Approp.])
+SUMIF(InputResearch[Institution Name],AccountabilityInd[[#This Row],[Institution Name]],InputResearch[Arts &amp; Humanities St. Approp.])
+SUMIF(InputResearch[Institution Name],AccountabilityInd[[#This Row],[Institution Name]],InputResearch[Business St. Approp.])
+SUMIF(InputResearch[Institution Name],AccountabilityInd[[#This Row],[Institution Name]],InputResearch[Education St. Approp.])
+SUMIF(InputResearch[Institution Name],AccountabilityInd[[#This Row],[Institution Name]],InputResearch[Law St. Approp.])
+SUMIF(InputResearch[Institution Name],AccountabilityInd[[#This Row],[Institution Name]],InputResearch[Other Non-Sci. St. Approp.])</f>
        <v>0</v>
      </c>
      <c r="F132" s="85">
        <f>SUMIF(InputResearch[Institution Name],AccountabilityInd[[#This Row],[Institution Name]],InputResearch[Agricultural Sci. St. C&amp;G])
+SUMIF(InputResearch[Institution Name],AccountabilityInd[[#This Row],[Institution Name]],InputResearch[Biological &amp; Other Life Sci. St. C&amp;G])
+SUMIF(InputResearch[Institution Name],AccountabilityInd[[#This Row],[Institution Name]],InputResearch[Comp. Sci. St. C&amp;G])
+SUMIF(InputResearch[Institution Name],AccountabilityInd[[#This Row],[Institution Name]],InputResearch[Engineering St. C&amp;G])
+SUMIF(InputResearch[Institution Name],AccountabilityInd[[#This Row],[Institution Name]],InputResearch[Env Sci. St. C&amp;G])
+SUMIF(InputResearch[Institution Name],AccountabilityInd[[#This Row],[Institution Name]],InputResearch[Math St. C&amp;G])
+SUMIF(InputResearch[Institution Name],AccountabilityInd[[#This Row],[Institution Name]],InputResearch[Medical St. C&amp;G])
+SUMIF(InputResearch[Institution Name],AccountabilityInd[[#This Row],[Institution Name]],InputResearch[Physical Sci. St. C&amp;G])
+SUMIF(InputResearch[Institution Name],AccountabilityInd[[#This Row],[Institution Name]],InputResearch[Psychology St. C&amp;G])
+SUMIF(InputResearch[Institution Name],AccountabilityInd[[#This Row],[Institution Name]],InputResearch[Social Sci. St. C&amp;G])
+SUMIF(InputResearch[Institution Name],AccountabilityInd[[#This Row],[Institution Name]],InputResearch[Other Sci. St. C&amp;G])
+SUMIF(InputResearch[Institution Name],AccountabilityInd[[#This Row],[Institution Name]],InputResearch[Arts &amp; Humanities St. C&amp;G])
+SUMIF(InputResearch[Institution Name],AccountabilityInd[[#This Row],[Institution Name]],InputResearch[Business St. C&amp;G])
+SUMIF(InputResearch[Institution Name],AccountabilityInd[[#This Row],[Institution Name]],InputResearch[Education St. C&amp;G])
+SUMIF(InputResearch[Institution Name],AccountabilityInd[[#This Row],[Institution Name]],InputResearch[Law St. C&amp;G])
+SUMIF(InputResearch[Institution Name],AccountabilityInd[[#This Row],[Institution Name]],InputResearch[Other Non-Sci. St. C&amp;G])</f>
        <v>10176906</v>
      </c>
      <c r="G132" s="270">
        <f>SUM(AccountabilityInd[[#This Row],[State 
Appropriation]],AccountabilityInd[[#This Row],[State 
Contracts/Grants]])</f>
        <v>10176906</v>
      </c>
      <c r="H132" s="85">
        <f>SUMIF(InputResearch[Institution Name],AccountabilityInd[[#This Row],[Institution Name]],InputResearch[Agricultural Sci. Inst Res])
+SUMIF(InputResearch[Institution Name],AccountabilityInd[[#This Row],[Institution Name]],InputResearch[Biological &amp; Other Life Sci. Inst Res])
+SUMIF(InputResearch[Institution Name],AccountabilityInd[[#This Row],[Institution Name]],InputResearch[Comp. Sci. Inst Res])
+SUMIF(InputResearch[Institution Name],AccountabilityInd[[#This Row],[Institution Name]],InputResearch[Engineering Inst Res])
+SUMIF(InputResearch[Institution Name],AccountabilityInd[[#This Row],[Institution Name]],InputResearch[Env Sci. Inst Res])
+SUMIF(InputResearch[Institution Name],AccountabilityInd[[#This Row],[Institution Name]],InputResearch[Math Inst Res])
+SUMIF(InputResearch[Institution Name],AccountabilityInd[[#This Row],[Institution Name]],InputResearch[Medical Inst Res])
+SUMIF(InputResearch[Institution Name],AccountabilityInd[[#This Row],[Institution Name]],InputResearch[Physical Sci. Inst Res])
+SUMIF(InputResearch[Institution Name],AccountabilityInd[[#This Row],[Institution Name]],InputResearch[Psychology Inst Res])
+SUMIF(InputResearch[Institution Name],AccountabilityInd[[#This Row],[Institution Name]],InputResearch[Social Sci. Inst Res])
+SUMIF(InputResearch[Institution Name],AccountabilityInd[[#This Row],[Institution Name]],InputResearch[Other Sci. Inst Res])
+SUMIF(InputResearch[Institution Name],AccountabilityInd[[#This Row],[Institution Name]],InputResearch[Arts &amp; Humanities Inst Res])
+SUMIF(InputResearch[Institution Name],AccountabilityInd[[#This Row],[Institution Name]],InputResearch[Business Inst Res])
+SUMIF(InputResearch[Institution Name],AccountabilityInd[[#This Row],[Institution Name]],InputResearch[Education Inst Res])
+SUMIF(InputResearch[Institution Name],AccountabilityInd[[#This Row],[Institution Name]],InputResearch[Law Inst Res])
+SUMIF(InputResearch[Institution Name],AccountabilityInd[[#This Row],[Institution Name]],InputResearch[Other Non-Sci. Inst Res])</f>
        <v>82990515</v>
      </c>
      <c r="I132" s="85">
        <f>SUMIF(InputResearch[Institution Name],AccountabilityInd[[#This Row],[Institution Name]],InputResearch[Agricultural Sci. PFP])
+SUMIF(InputResearch[Institution Name],AccountabilityInd[[#This Row],[Institution Name]],InputResearch[Biological &amp; Other Life Sci. PFP])
+SUMIF(InputResearch[Institution Name],AccountabilityInd[[#This Row],[Institution Name]],InputResearch[Comp. Sci. PFP])
+SUMIF(InputResearch[Institution Name],AccountabilityInd[[#This Row],[Institution Name]],InputResearch[Engineering PFP])
+SUMIF(InputResearch[Institution Name],AccountabilityInd[[#This Row],[Institution Name]],InputResearch[Env Sci. PFP])
+SUMIF(InputResearch[Institution Name],AccountabilityInd[[#This Row],[Institution Name]],InputResearch[Math PFP])
+SUMIF(InputResearch[Institution Name],AccountabilityInd[[#This Row],[Institution Name]],InputResearch[Medical PFP])
+SUMIF(InputResearch[Institution Name],AccountabilityInd[[#This Row],[Institution Name]],InputResearch[Physical Sci. PFP])
+SUMIF(InputResearch[Institution Name],AccountabilityInd[[#This Row],[Institution Name]],InputResearch[Psychology PFP])
+SUMIF(InputResearch[Institution Name],AccountabilityInd[[#This Row],[Institution Name]],InputResearch[Social Sci. PFP])
+SUMIF(InputResearch[Institution Name],AccountabilityInd[[#This Row],[Institution Name]],InputResearch[Other Sci. PFP])
+SUMIF(InputResearch[Institution Name],AccountabilityInd[[#This Row],[Institution Name]],InputResearch[Arts &amp; Humanities PFP])
+SUMIF(InputResearch[Institution Name],AccountabilityInd[[#This Row],[Institution Name]],InputResearch[Business PFP])
+SUMIF(InputResearch[Institution Name],AccountabilityInd[[#This Row],[Institution Name]],InputResearch[Education PFP])
+SUMIF(InputResearch[Institution Name],AccountabilityInd[[#This Row],[Institution Name]],InputResearch[Law PFP])
+SUMIF(InputResearch[Institution Name],AccountabilityInd[[#This Row],[Institution Name]],InputResearch[Other Non-Sci. PFP])</f>
        <v>7505788</v>
      </c>
      <c r="J132" s="85">
        <f>SUMIF(InputResearch[Institution Name],AccountabilityInd[[#This Row],[Institution Name]],InputResearch[Agricultural Sci. PNP])
+SUMIF(InputResearch[Institution Name],AccountabilityInd[[#This Row],[Institution Name]],InputResearch[Biological &amp; Other Life Sci. PNP])
+SUMIF(InputResearch[Institution Name],AccountabilityInd[[#This Row],[Institution Name]],InputResearch[Comp. Sci. PNP])
+SUMIF(InputResearch[Institution Name],AccountabilityInd[[#This Row],[Institution Name]],InputResearch[Engineering PNP])
+SUMIF(InputResearch[Institution Name],AccountabilityInd[[#This Row],[Institution Name]],InputResearch[Env Sci. PNP])
+SUMIF(InputResearch[Institution Name],AccountabilityInd[[#This Row],[Institution Name]],InputResearch[Math PNP])
+SUMIF(InputResearch[Institution Name],AccountabilityInd[[#This Row],[Institution Name]],InputResearch[Medical PNP])
+SUMIF(InputResearch[Institution Name],AccountabilityInd[[#This Row],[Institution Name]],InputResearch[Physical Sci. PNP])
+SUMIF(InputResearch[Institution Name],AccountabilityInd[[#This Row],[Institution Name]],InputResearch[Psychology PNP])
+SUMIF(InputResearch[Institution Name],AccountabilityInd[[#This Row],[Institution Name]],InputResearch[Social Sci. PNP])
+SUMIF(InputResearch[Institution Name],AccountabilityInd[[#This Row],[Institution Name]],InputResearch[Other Sci. PNP])
+SUMIF(InputResearch[Institution Name],AccountabilityInd[[#This Row],[Institution Name]],InputResearch[Arts &amp; Humanities PNP])
+SUMIF(InputResearch[Institution Name],AccountabilityInd[[#This Row],[Institution Name]],InputResearch[Business PNP])
+SUMIF(InputResearch[Institution Name],AccountabilityInd[[#This Row],[Institution Name]],InputResearch[Education PNP])
+SUMIF(InputResearch[Institution Name],AccountabilityInd[[#This Row],[Institution Name]],InputResearch[Law PNP])
+SUMIF(InputResearch[Institution Name],AccountabilityInd[[#This Row],[Institution Name]],InputResearch[Other Non-Sci. PNP])</f>
        <v>34468452</v>
      </c>
      <c r="K132" s="270">
        <f>SUM(AccountabilityInd[[#This Row],[Private 
For Profit]],AccountabilityInd[[#This Row],[Private 
Nonprofit]])</f>
        <v>41974240</v>
      </c>
      <c r="L132" s="270">
        <f>SUM(AccountabilityInd[[#This Row],[Federal]],AccountabilityInd[[#This Row],[State]],AccountabilityInd[[#This Row],[Institutional 
Resources]],AccountabilityInd[[#This Row],[Private]])</f>
        <v>253152022</v>
      </c>
      <c r="M132" s="88"/>
      <c r="N132" s="88"/>
      <c r="O132" s="88"/>
    </row>
    <row r="133" spans="1:15">
      <c r="A133" s="113"/>
      <c r="B133" s="212"/>
      <c r="C133" s="4"/>
      <c r="D133" s="333">
        <f>SUBTOTAL(109,AccountabilityInd[Federal])</f>
        <v>168909314</v>
      </c>
      <c r="E133" s="333">
        <f>SUBTOTAL(109,AccountabilityInd[State 
Appropriation])</f>
        <v>0</v>
      </c>
      <c r="F133" s="333">
        <f>SUBTOTAL(109,AccountabilityInd[State 
Contracts/Grants])</f>
        <v>14407100</v>
      </c>
      <c r="G133" s="333">
        <f>SUBTOTAL(109,AccountabilityInd[State])</f>
        <v>14407100</v>
      </c>
      <c r="H133" s="333">
        <f>SUBTOTAL(109,AccountabilityInd[Institutional 
Resources])</f>
        <v>146714284</v>
      </c>
      <c r="I133" s="333">
        <f>SUBTOTAL(109,AccountabilityInd[Private 
For Profit])</f>
        <v>23505374</v>
      </c>
      <c r="J133" s="333">
        <f>SUBTOTAL(109,AccountabilityInd[Private 
Nonprofit])</f>
        <v>52988484</v>
      </c>
      <c r="K133" s="333">
        <f>SUBTOTAL(109,AccountabilityInd[Private])</f>
        <v>76493858</v>
      </c>
      <c r="L133" s="333">
        <f>SUBTOTAL(109,AccountabilityInd[Total Research 
Expenditures])</f>
        <v>406524556</v>
      </c>
      <c r="M133" s="88"/>
      <c r="N133" s="88"/>
      <c r="O133" s="88"/>
    </row>
    <row r="134" spans="1:15" ht="15.6">
      <c r="A134" s="481" t="s">
        <v>965</v>
      </c>
      <c r="B134" s="481"/>
      <c r="C134" s="481"/>
      <c r="D134" s="481"/>
      <c r="E134" s="481"/>
      <c r="F134" s="481"/>
      <c r="G134" s="481"/>
      <c r="H134" s="481"/>
      <c r="I134" s="481"/>
      <c r="J134" s="481"/>
      <c r="K134" s="481"/>
      <c r="L134" s="481"/>
      <c r="M134" s="339"/>
      <c r="N134" s="88"/>
      <c r="O134" s="88"/>
    </row>
    <row r="135" spans="1:15">
      <c r="A135" s="88"/>
      <c r="B135" s="89"/>
      <c r="C135" s="88"/>
      <c r="D135" s="88"/>
      <c r="E135" s="88"/>
      <c r="F135" s="88"/>
      <c r="G135" s="88"/>
      <c r="H135" s="88"/>
      <c r="I135" s="88"/>
      <c r="J135" s="88"/>
      <c r="K135" s="88"/>
      <c r="L135" s="88"/>
      <c r="M135" s="88"/>
      <c r="N135" s="88"/>
      <c r="O135" s="88"/>
    </row>
    <row r="136" spans="1:15">
      <c r="A136" s="88"/>
      <c r="B136" s="89"/>
      <c r="C136" s="88"/>
      <c r="D136" s="88"/>
      <c r="E136" s="88"/>
      <c r="F136" s="88"/>
      <c r="G136" s="88"/>
      <c r="H136" s="88"/>
      <c r="I136" s="88"/>
      <c r="J136" s="88"/>
      <c r="K136" s="88"/>
      <c r="L136" s="88"/>
      <c r="M136" s="88"/>
      <c r="N136" s="88"/>
      <c r="O136" s="88"/>
    </row>
    <row r="146" spans="1:4">
      <c r="A146" s="142"/>
      <c r="B146" s="143"/>
      <c r="C146" s="142"/>
      <c r="D146" s="142"/>
    </row>
    <row r="147" spans="1:4">
      <c r="A147" s="142"/>
      <c r="B147" s="143"/>
      <c r="C147" s="142"/>
      <c r="D147" s="142"/>
    </row>
    <row r="148" spans="1:4">
      <c r="A148" s="142"/>
      <c r="B148" s="143"/>
      <c r="C148" s="142"/>
      <c r="D148" s="142"/>
    </row>
    <row r="149" spans="1:4">
      <c r="A149" s="142"/>
      <c r="B149" s="143"/>
      <c r="C149" s="142"/>
      <c r="D149" s="142"/>
    </row>
    <row r="150" spans="1:4">
      <c r="A150" s="142"/>
      <c r="B150" s="268"/>
      <c r="C150" s="144"/>
      <c r="D150" s="144"/>
    </row>
    <row r="151" spans="1:4">
      <c r="A151" s="142"/>
      <c r="B151" s="268"/>
      <c r="C151" s="144"/>
      <c r="D151" s="144"/>
    </row>
    <row r="152" spans="1:4">
      <c r="A152" s="142"/>
      <c r="B152" s="268"/>
      <c r="C152" s="144"/>
      <c r="D152" s="144"/>
    </row>
    <row r="153" spans="1:4">
      <c r="A153" s="142"/>
      <c r="B153" s="268"/>
      <c r="C153" s="144"/>
      <c r="D153" s="144"/>
    </row>
    <row r="154" spans="1:4">
      <c r="A154" s="142"/>
      <c r="B154" s="268"/>
      <c r="C154" s="144"/>
      <c r="D154" s="144"/>
    </row>
    <row r="155" spans="1:4">
      <c r="A155" s="142"/>
      <c r="B155" s="268"/>
      <c r="C155" s="144"/>
      <c r="D155" s="144"/>
    </row>
    <row r="156" spans="1:4">
      <c r="A156" s="142"/>
      <c r="B156" s="268"/>
      <c r="C156" s="144"/>
      <c r="D156" s="144"/>
    </row>
    <row r="157" spans="1:4">
      <c r="A157" s="142"/>
      <c r="B157" s="268"/>
      <c r="C157" s="144"/>
      <c r="D157" s="144"/>
    </row>
    <row r="158" spans="1:4">
      <c r="A158" s="142"/>
      <c r="B158" s="268"/>
      <c r="C158" s="144"/>
      <c r="D158" s="144"/>
    </row>
    <row r="159" spans="1:4">
      <c r="A159" s="142"/>
      <c r="B159" s="268"/>
      <c r="C159" s="144"/>
      <c r="D159" s="144"/>
    </row>
    <row r="160" spans="1:4">
      <c r="A160" s="142"/>
      <c r="B160" s="268"/>
      <c r="C160" s="144"/>
      <c r="D160" s="144"/>
    </row>
    <row r="161" spans="1:4">
      <c r="A161" s="142"/>
      <c r="B161" s="268"/>
      <c r="C161" s="144"/>
      <c r="D161" s="144"/>
    </row>
    <row r="162" spans="1:4">
      <c r="A162" s="142"/>
      <c r="B162" s="268"/>
      <c r="C162" s="144"/>
      <c r="D162" s="144"/>
    </row>
    <row r="163" spans="1:4">
      <c r="A163" s="142"/>
      <c r="B163" s="268"/>
      <c r="C163" s="144"/>
      <c r="D163" s="144"/>
    </row>
    <row r="164" spans="1:4">
      <c r="A164" s="142"/>
      <c r="B164" s="268"/>
      <c r="C164" s="144"/>
      <c r="D164" s="144"/>
    </row>
    <row r="165" spans="1:4">
      <c r="A165" s="142"/>
      <c r="B165" s="268"/>
      <c r="C165" s="144"/>
      <c r="D165" s="144"/>
    </row>
    <row r="166" spans="1:4">
      <c r="A166" s="142"/>
      <c r="B166" s="268"/>
      <c r="C166" s="144"/>
      <c r="D166" s="144"/>
    </row>
    <row r="167" spans="1:4">
      <c r="A167" s="142"/>
      <c r="B167" s="268"/>
      <c r="C167" s="144"/>
      <c r="D167" s="144"/>
    </row>
    <row r="168" spans="1:4">
      <c r="A168" s="142"/>
      <c r="B168" s="268"/>
      <c r="C168" s="144"/>
      <c r="D168" s="144"/>
    </row>
    <row r="169" spans="1:4">
      <c r="A169" s="142"/>
      <c r="B169" s="268"/>
      <c r="C169" s="144"/>
      <c r="D169" s="144"/>
    </row>
    <row r="170" spans="1:4">
      <c r="A170" s="142"/>
      <c r="B170" s="268"/>
      <c r="C170" s="144"/>
      <c r="D170" s="144"/>
    </row>
    <row r="171" spans="1:4">
      <c r="A171" s="142"/>
      <c r="B171" s="268"/>
      <c r="C171" s="144"/>
      <c r="D171" s="144"/>
    </row>
    <row r="172" spans="1:4">
      <c r="A172" s="142"/>
      <c r="B172" s="268"/>
      <c r="C172" s="144"/>
      <c r="D172" s="144"/>
    </row>
    <row r="173" spans="1:4">
      <c r="A173" s="142"/>
      <c r="B173" s="268"/>
      <c r="C173" s="144"/>
      <c r="D173" s="144"/>
    </row>
    <row r="174" spans="1:4">
      <c r="A174" s="142"/>
      <c r="B174" s="268"/>
      <c r="C174" s="144"/>
      <c r="D174" s="144"/>
    </row>
    <row r="175" spans="1:4">
      <c r="A175" s="142"/>
      <c r="B175" s="268"/>
      <c r="C175" s="144"/>
      <c r="D175" s="144"/>
    </row>
    <row r="176" spans="1:4">
      <c r="A176" s="142"/>
      <c r="B176" s="268"/>
      <c r="C176" s="144"/>
      <c r="D176" s="144"/>
    </row>
    <row r="177" spans="1:4">
      <c r="A177" s="142"/>
      <c r="B177" s="268"/>
      <c r="C177" s="144"/>
      <c r="D177" s="144"/>
    </row>
    <row r="178" spans="1:4">
      <c r="A178" s="142"/>
      <c r="B178" s="268"/>
      <c r="C178" s="144"/>
      <c r="D178" s="144"/>
    </row>
    <row r="179" spans="1:4">
      <c r="A179" s="142"/>
      <c r="B179" s="268"/>
      <c r="C179" s="144"/>
      <c r="D179" s="144"/>
    </row>
    <row r="180" spans="1:4">
      <c r="A180" s="142"/>
      <c r="B180" s="268"/>
      <c r="C180" s="144"/>
      <c r="D180" s="144"/>
    </row>
    <row r="181" spans="1:4">
      <c r="A181" s="142"/>
      <c r="B181" s="268"/>
      <c r="C181" s="144"/>
      <c r="D181" s="144"/>
    </row>
    <row r="182" spans="1:4">
      <c r="A182" s="142"/>
      <c r="B182" s="268"/>
      <c r="C182" s="144"/>
      <c r="D182" s="144"/>
    </row>
    <row r="183" spans="1:4">
      <c r="A183" s="142"/>
      <c r="B183" s="268"/>
      <c r="C183" s="144"/>
      <c r="D183" s="144"/>
    </row>
    <row r="184" spans="1:4">
      <c r="A184" s="142"/>
      <c r="B184" s="268"/>
      <c r="C184" s="144"/>
      <c r="D184" s="144"/>
    </row>
    <row r="185" spans="1:4">
      <c r="A185" s="142"/>
      <c r="B185" s="268"/>
      <c r="C185" s="144"/>
      <c r="D185" s="144"/>
    </row>
    <row r="186" spans="1:4">
      <c r="A186" s="142"/>
      <c r="B186" s="268"/>
      <c r="C186" s="144"/>
      <c r="D186" s="144"/>
    </row>
    <row r="187" spans="1:4">
      <c r="A187" s="142"/>
      <c r="B187" s="143"/>
      <c r="C187" s="144"/>
      <c r="D187" s="144"/>
    </row>
    <row r="188" spans="1:4">
      <c r="A188" s="142"/>
      <c r="B188" s="143"/>
      <c r="C188" s="142"/>
      <c r="D188" s="142"/>
    </row>
    <row r="189" spans="1:4">
      <c r="A189" s="142"/>
      <c r="B189" s="143"/>
      <c r="C189" s="142"/>
      <c r="D189" s="142"/>
    </row>
    <row r="190" spans="1:4">
      <c r="A190" s="142"/>
      <c r="B190" s="143"/>
      <c r="C190" s="142"/>
      <c r="D190" s="142"/>
    </row>
    <row r="191" spans="1:4">
      <c r="A191" s="142"/>
      <c r="B191" s="143"/>
      <c r="C191" s="142"/>
      <c r="D191" s="142"/>
    </row>
    <row r="192" spans="1:4">
      <c r="A192" s="142"/>
      <c r="B192" s="143"/>
      <c r="C192" s="142"/>
      <c r="D192" s="142"/>
    </row>
    <row r="193" spans="1:4">
      <c r="A193" s="142"/>
      <c r="B193" s="143"/>
      <c r="C193" s="142"/>
      <c r="D193" s="142"/>
    </row>
    <row r="194" spans="1:4">
      <c r="A194" s="142"/>
      <c r="B194" s="143"/>
      <c r="C194" s="142"/>
      <c r="D194" s="142"/>
    </row>
  </sheetData>
  <sheetProtection algorithmName="SHA-512" hashValue="KLTWcyJ30SPDv5Pe1/s8mB+anNspEGj35kqr2tSLhLhydfUPLB1/D69lnFYZ5NUTPivspZGenCE0pTkx+8icdw==" saltValue="wYb+xfLaUxkbzh/8OUKsYQ==" spinCount="100000" sheet="1" objects="1" scenarios="1" formatColumns="0"/>
  <mergeCells count="19">
    <mergeCell ref="A21:M21"/>
    <mergeCell ref="A1:L1"/>
    <mergeCell ref="A2:M2"/>
    <mergeCell ref="A3:M3"/>
    <mergeCell ref="A134:L134"/>
    <mergeCell ref="A23:L23"/>
    <mergeCell ref="A24:L24"/>
    <mergeCell ref="A39:N39"/>
    <mergeCell ref="A40:N40"/>
    <mergeCell ref="A83:L83"/>
    <mergeCell ref="A84:L84"/>
    <mergeCell ref="A112:L112"/>
    <mergeCell ref="A113:L113"/>
    <mergeCell ref="A37:L37"/>
    <mergeCell ref="A80:N80"/>
    <mergeCell ref="A81:N81"/>
    <mergeCell ref="A99:L99"/>
    <mergeCell ref="A102:L102"/>
    <mergeCell ref="A101:L101"/>
  </mergeCells>
  <phoneticPr fontId="7" type="noConversion"/>
  <conditionalFormatting sqref="B150:B186">
    <cfRule type="duplicateValues" dxfId="0" priority="1"/>
  </conditionalFormatting>
  <printOptions horizontalCentered="1"/>
  <pageMargins left="0.25" right="0.25" top="0.5" bottom="0.5" header="0.25" footer="0.25"/>
  <pageSetup scale="49" orientation="landscape" r:id="rId1"/>
  <headerFooter>
    <oddHeader>&amp;C&amp;"-,Bold"&amp;18Research Expenditures reported to the Accountability system</oddHeader>
    <oddFooter>&amp;RPrinted on: &amp;D</oddFooter>
  </headerFooter>
  <drawing r:id="rId2"/>
  <legacyDrawing r:id="rId3"/>
  <tableParts count="6">
    <tablePart r:id="rId4"/>
    <tablePart r:id="rId5"/>
    <tablePart r:id="rId6"/>
    <tablePart r:id="rId7"/>
    <tablePart r:id="rId8"/>
    <tablePart r:id="rId9"/>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46</vt:i4>
      </vt:variant>
    </vt:vector>
  </HeadingPairs>
  <TitlesOfParts>
    <vt:vector size="63" baseType="lpstr">
      <vt:lpstr>Index</vt:lpstr>
      <vt:lpstr>Research Expenditures</vt:lpstr>
      <vt:lpstr>Research Exp (Summary)</vt:lpstr>
      <vt:lpstr>Research Exp (Discipline)</vt:lpstr>
      <vt:lpstr>Research Exp (by Inst Type)</vt:lpstr>
      <vt:lpstr>Restricted Research</vt:lpstr>
      <vt:lpstr>Restricted Research List</vt:lpstr>
      <vt:lpstr>Academic Space Model</vt:lpstr>
      <vt:lpstr>Accountability</vt:lpstr>
      <vt:lpstr>Almanac</vt:lpstr>
      <vt:lpstr>Definitions</vt:lpstr>
      <vt:lpstr>Healthcare Research</vt:lpstr>
      <vt:lpstr>Input</vt:lpstr>
      <vt:lpstr>FTSE | FTFE</vt:lpstr>
      <vt:lpstr>Contact Information</vt:lpstr>
      <vt:lpstr>Statements of Sources and Uses	</vt:lpstr>
      <vt:lpstr>Hidden</vt:lpstr>
      <vt:lpstr>Agricultural</vt:lpstr>
      <vt:lpstr>Arts</vt:lpstr>
      <vt:lpstr>Biological</vt:lpstr>
      <vt:lpstr>Business</vt:lpstr>
      <vt:lpstr>Capital</vt:lpstr>
      <vt:lpstr>Computer</vt:lpstr>
      <vt:lpstr>Development</vt:lpstr>
      <vt:lpstr>Education</vt:lpstr>
      <vt:lpstr>Engineering</vt:lpstr>
      <vt:lpstr>Environmental</vt:lpstr>
      <vt:lpstr>Federal</vt:lpstr>
      <vt:lpstr>Fiscal</vt:lpstr>
      <vt:lpstr>FooterText2</vt:lpstr>
      <vt:lpstr>Institution</vt:lpstr>
      <vt:lpstr>Institution_Names_Types</vt:lpstr>
      <vt:lpstr>Law</vt:lpstr>
      <vt:lpstr>Mathematical</vt:lpstr>
      <vt:lpstr>Medical</vt:lpstr>
      <vt:lpstr>NamesList</vt:lpstr>
      <vt:lpstr>Other1</vt:lpstr>
      <vt:lpstr>Other2</vt:lpstr>
      <vt:lpstr>Physical</vt:lpstr>
      <vt:lpstr>'Academic Space Model'!Print_Area</vt:lpstr>
      <vt:lpstr>Accountability!Print_Area</vt:lpstr>
      <vt:lpstr>Almanac!Print_Area</vt:lpstr>
      <vt:lpstr>'FTSE | FTFE'!Print_Area</vt:lpstr>
      <vt:lpstr>'Healthcare Research'!Print_Area</vt:lpstr>
      <vt:lpstr>'Research Exp (by Inst Type)'!Print_Area</vt:lpstr>
      <vt:lpstr>'Research Exp (Discipline)'!Print_Area</vt:lpstr>
      <vt:lpstr>'Restricted Research'!Print_Area</vt:lpstr>
      <vt:lpstr>'Restricted Research List'!Print_Area</vt:lpstr>
      <vt:lpstr>Private</vt:lpstr>
      <vt:lpstr>Psychology</vt:lpstr>
      <vt:lpstr>RandD1</vt:lpstr>
      <vt:lpstr>RandD2</vt:lpstr>
      <vt:lpstr>Research</vt:lpstr>
      <vt:lpstr>RestrictedResearchList</vt:lpstr>
      <vt:lpstr>RResearch</vt:lpstr>
      <vt:lpstr>SearchNames</vt:lpstr>
      <vt:lpstr>SearchTypes</vt:lpstr>
      <vt:lpstr>Social</vt:lpstr>
      <vt:lpstr>State</vt:lpstr>
      <vt:lpstr>StmtSU</vt:lpstr>
      <vt:lpstr>Type_Dropdown</vt:lpstr>
      <vt:lpstr>UNIV_Only</vt:lpstr>
      <vt:lpstr>ZText1</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Sources and Uses Research Detail All Sectors - FY 2023</dc:title>
  <dc:subject>Research Expenditures</dc:subject>
  <dc:creator>Funding and Resource Planning</dc:creator>
  <cp:keywords>Sources and Uses, Research Expenditures, Universities, Health-Related Institutions, State Colleges, Technical Colleges</cp:keywords>
  <cp:lastModifiedBy>King, Clifford</cp:lastModifiedBy>
  <cp:lastPrinted>2024-04-29T18:18:13Z</cp:lastPrinted>
  <dcterms:created xsi:type="dcterms:W3CDTF">2024-02-05T20:43:05Z</dcterms:created>
  <dcterms:modified xsi:type="dcterms:W3CDTF">2024-05-15T22:40:01Z</dcterms:modified>
</cp:coreProperties>
</file>